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Users\acer\OneDrive\Desktop\"/>
    </mc:Choice>
  </mc:AlternateContent>
  <xr:revisionPtr revIDLastSave="0" documentId="8_{82735ADE-A485-41D5-900B-7B8D68AAE048}" xr6:coauthVersionLast="47" xr6:coauthVersionMax="47" xr10:uidLastSave="{00000000-0000-0000-0000-000000000000}"/>
  <bookViews>
    <workbookView xWindow="-120" yWindow="-120" windowWidth="20730" windowHeight="11040" tabRatio="864" firstSheet="4" activeTab="4" xr2:uid="{00000000-000D-0000-FFFF-FFFF00000000}"/>
  </bookViews>
  <sheets>
    <sheet name="โอนเปลี่ยนแปลง" sheetId="20" state="hidden" r:id="rId1"/>
    <sheet name="รายงานเสนอ (2)" sheetId="36" state="hidden" r:id="rId2"/>
    <sheet name="zfma46" sheetId="37" state="hidden" r:id="rId3"/>
    <sheet name="Sheet1" sheetId="38" state="hidden" r:id="rId4"/>
    <sheet name="ภาพรวม" sheetId="1032" r:id="rId5"/>
    <sheet name="ส่วนกลาง" sheetId="1033" r:id="rId6"/>
    <sheet name="จังหวัด" sheetId="1034" r:id="rId7"/>
    <sheet name="ศพช. " sheetId="1035" r:id="rId8"/>
    <sheet name="เรียงตามเขตตรวจราชการ" sheetId="1036" r:id="rId9"/>
    <sheet name="งบลงทุน" sheetId="770" state="hidden" r:id="rId10"/>
    <sheet name="รายละเอียดงบลงทุน" sheetId="1038" r:id="rId11"/>
    <sheet name="ลงทุน-ส่วนกลาง  " sheetId="1040" r:id="rId12"/>
    <sheet name="สรุป-จังหวัด" sheetId="499" state="hidden" r:id="rId13"/>
    <sheet name="ลงทุน-ศพช. " sheetId="1041" r:id="rId14"/>
    <sheet name="สรุปลงทุน-จังหวัด " sheetId="1042" r:id="rId15"/>
    <sheet name="เบิกแทน " sheetId="1043" r:id="rId16"/>
    <sheet name="งบกลาง" sheetId="1044" r:id="rId17"/>
    <sheet name="งบรายจ่ายอื่น" sheetId="1045" r:id="rId18"/>
    <sheet name="Sheet13 " sheetId="196" r:id="rId19"/>
    <sheet name="Sheet14 " sheetId="197" r:id="rId20"/>
    <sheet name="Sheet15 " sheetId="198" r:id="rId21"/>
    <sheet name="Sheet16" sheetId="223" r:id="rId22"/>
    <sheet name="Sheet17" sheetId="225" r:id="rId23"/>
    <sheet name="Sheet18 " sheetId="226" r:id="rId24"/>
    <sheet name="งบเพิ่มเติม61 OTOP นวัตวิถี" sheetId="61" state="hidden" r:id="rId25"/>
    <sheet name="Sheet6" sheetId="58" state="hidden" r:id="rId26"/>
    <sheet name="สรุปเงินกันงบเพิ่มเติม60" sheetId="55" state="hidden" r:id="rId27"/>
    <sheet name="ราละเอียดโครงการงบเพิ่มเติม" sheetId="48" state="hidden" r:id="rId28"/>
    <sheet name="ให้ ผอ.ทุกศุกร์" sheetId="47" state="hidden" r:id="rId29"/>
    <sheet name="รายละเอียด-งบเพิ่มเติม" sheetId="54" state="hidden" r:id="rId30"/>
    <sheet name="ทศนิยมงบเพิ่มเติม" sheetId="56" state="hidden" r:id="rId31"/>
    <sheet name="Sheet7" sheetId="60" state="hidden" r:id="rId32"/>
    <sheet name="Sheet13" sheetId="90" state="hidden" r:id="rId33"/>
    <sheet name="Sheet14" sheetId="91" state="hidden" r:id="rId34"/>
    <sheet name="Sheet15" sheetId="92" state="hidden" r:id="rId35"/>
    <sheet name="GF งบเพิ่มเติม" sheetId="62" state="hidden" r:id="rId36"/>
    <sheet name="แผนเป้า" sheetId="40" state="hidden" r:id="rId37"/>
    <sheet name="Sheet3" sheetId="42" state="hidden" r:id="rId38"/>
    <sheet name="Sheet5" sheetId="50" state="hidden" r:id="rId39"/>
    <sheet name="Sheet4" sheetId="46" state="hidden" r:id="rId40"/>
    <sheet name="Sheet2" sheetId="57" state="hidden" r:id="rId41"/>
    <sheet name="Sheet9" sheetId="433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9" hidden="1">งบลงทุน!$F$1:$F$1272</definedName>
    <definedName name="_xlnm._FilterDatabase" localSheetId="6" hidden="1">จังหวัด!$C$14:$S$89</definedName>
    <definedName name="_xlnm._FilterDatabase" localSheetId="10" hidden="1">รายละเอียดงบลงทุน!$A$258:$X$690</definedName>
    <definedName name="_xlnm._FilterDatabase" localSheetId="8" hidden="1">เรียงตามเขตตรวจราชการ!$A$1:$A$140</definedName>
    <definedName name="_xlnm._FilterDatabase" localSheetId="5" hidden="1">ส่วนกลาง!$B$10:$AE$23</definedName>
    <definedName name="JR_PAGE_ANCHOR_0_1" localSheetId="9">#REF!</definedName>
    <definedName name="JR_PAGE_ANCHOR_0_1" localSheetId="4">#REF!</definedName>
    <definedName name="JR_PAGE_ANCHOR_0_1" localSheetId="10">#REF!</definedName>
    <definedName name="JR_PAGE_ANCHOR_0_1" localSheetId="13">#REF!</definedName>
    <definedName name="JR_PAGE_ANCHOR_0_1" localSheetId="11">#REF!</definedName>
    <definedName name="JR_PAGE_ANCHOR_0_1" localSheetId="14">#REF!</definedName>
    <definedName name="JR_PAGE_ANCHOR_0_1">#REF!</definedName>
    <definedName name="nat" localSheetId="4">ภาพรวม!$4:$6</definedName>
    <definedName name="nat" localSheetId="0">โอนเปลี่ยนแปลง!$3:$4</definedName>
    <definedName name="_xlnm.Print_Area" localSheetId="16">งบกลาง!$A$1:$K$14</definedName>
    <definedName name="_xlnm.Print_Area" localSheetId="17">งบรายจ่ายอื่น!$A$1:$K$16</definedName>
    <definedName name="_xlnm.Print_Area" localSheetId="9">งบลงทุน!$A$1:$Y$373</definedName>
    <definedName name="_xlnm.Print_Area" localSheetId="6">จังหวัด!$A$1:$AC$90</definedName>
    <definedName name="_xlnm.Print_Area" localSheetId="15">'เบิกแทน '!$A$1:$K$21</definedName>
    <definedName name="_xlnm.Print_Area" localSheetId="4">ภาพรวม!$A$1:$P$59</definedName>
    <definedName name="_xlnm.Print_Area" localSheetId="10">รายละเอียดงบลงทุน!$A$1:$V$10</definedName>
    <definedName name="_xlnm.Print_Area" localSheetId="8">เรียงตามเขตตรวจราชการ!$A$1:$S$104</definedName>
    <definedName name="_xlnm.Print_Area" localSheetId="13">'ลงทุน-ศพช. '!$A$1:$N$19</definedName>
    <definedName name="_xlnm.Print_Area" localSheetId="11">'ลงทุน-ส่วนกลาง  '!$A$1:$V$660</definedName>
    <definedName name="_xlnm.Print_Area" localSheetId="7">'ศพช. '!$A$1:$Z$23</definedName>
    <definedName name="_xlnm.Print_Area" localSheetId="5">ส่วนกลาง!$A$1:$AK$25</definedName>
    <definedName name="_xlnm.Print_Titles" localSheetId="35">'GF งบเพิ่มเติม'!$5:$5</definedName>
    <definedName name="_xlnm.Print_Titles" localSheetId="9">งบลงทุน!$3:$6</definedName>
    <definedName name="_xlnm.Print_Titles" localSheetId="6">จังหวัด!$9:$13</definedName>
    <definedName name="_xlnm.Print_Titles" localSheetId="15">'เบิกแทน '!$1:$7</definedName>
    <definedName name="_xlnm.Print_Titles" localSheetId="4">ภาพรวม!$4:$6</definedName>
    <definedName name="_xlnm.Print_Titles" localSheetId="10">รายละเอียดงบลงทุน!$3:$7</definedName>
    <definedName name="_xlnm.Print_Titles" localSheetId="8">เรียงตามเขตตรวจราชการ!$7:$9</definedName>
    <definedName name="_xlnm.Print_Titles" localSheetId="13">'ลงทุน-ศพช. '!$1:$6</definedName>
    <definedName name="_xlnm.Print_Titles" localSheetId="12">'สรุป-จังหวัด'!$4:$8</definedName>
    <definedName name="_xlnm.Print_Titles" localSheetId="14">'สรุปลงทุน-จังหวัด '!$5:$9</definedName>
    <definedName name="ฟ1" localSheetId="9">'[1]ผลผลิตที่ 1'!#REF!</definedName>
    <definedName name="ฟ1" localSheetId="6">'[1]ผลผลิตที่ 1'!#REF!</definedName>
    <definedName name="ฟ1" localSheetId="13">'[1]ผลผลิตที่ 1'!#REF!</definedName>
    <definedName name="ฟ1" localSheetId="11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041" l="1"/>
  <c r="L17" i="1041" s="1"/>
  <c r="K18" i="1041"/>
  <c r="L18" i="1041" s="1"/>
  <c r="K19" i="1041"/>
  <c r="L19" i="1041" s="1"/>
  <c r="K15" i="1041"/>
  <c r="L15" i="1041" s="1"/>
  <c r="L9" i="1041"/>
  <c r="H9" i="1045"/>
  <c r="J9" i="1045" s="1"/>
  <c r="F9" i="1045"/>
  <c r="H8" i="1045"/>
  <c r="J8" i="1045" s="1"/>
  <c r="J7" i="1045" s="1"/>
  <c r="F8" i="1045"/>
  <c r="G7" i="1045"/>
  <c r="E7" i="1045"/>
  <c r="F7" i="1045" s="1"/>
  <c r="D7" i="1045"/>
  <c r="H13" i="1044"/>
  <c r="J13" i="1044" s="1"/>
  <c r="F13" i="1044"/>
  <c r="H12" i="1044"/>
  <c r="J12" i="1044" s="1"/>
  <c r="F12" i="1044"/>
  <c r="J11" i="1044"/>
  <c r="I11" i="1044"/>
  <c r="H11" i="1044"/>
  <c r="F11" i="1044"/>
  <c r="H10" i="1044"/>
  <c r="I10" i="1044" s="1"/>
  <c r="F10" i="1044"/>
  <c r="D10" i="1044"/>
  <c r="J10" i="1044" s="1"/>
  <c r="H9" i="1044"/>
  <c r="J9" i="1044" s="1"/>
  <c r="F9" i="1044"/>
  <c r="G8" i="1044"/>
  <c r="E8" i="1044"/>
  <c r="F8" i="1044" s="1"/>
  <c r="D8" i="1044"/>
  <c r="H20" i="1043"/>
  <c r="J20" i="1043" s="1"/>
  <c r="F20" i="1043"/>
  <c r="J19" i="1043"/>
  <c r="H19" i="1043"/>
  <c r="I19" i="1043" s="1"/>
  <c r="F19" i="1043"/>
  <c r="H18" i="1043"/>
  <c r="J18" i="1043" s="1"/>
  <c r="F18" i="1043"/>
  <c r="H17" i="1043"/>
  <c r="J17" i="1043" s="1"/>
  <c r="F17" i="1043"/>
  <c r="J16" i="1043"/>
  <c r="H16" i="1043"/>
  <c r="I16" i="1043" s="1"/>
  <c r="F16" i="1043"/>
  <c r="H15" i="1043"/>
  <c r="J15" i="1043" s="1"/>
  <c r="F15" i="1043"/>
  <c r="H14" i="1043"/>
  <c r="J14" i="1043" s="1"/>
  <c r="F14" i="1043"/>
  <c r="J13" i="1043"/>
  <c r="H13" i="1043"/>
  <c r="I13" i="1043" s="1"/>
  <c r="F13" i="1043"/>
  <c r="H12" i="1043"/>
  <c r="J12" i="1043" s="1"/>
  <c r="F12" i="1043"/>
  <c r="H11" i="1043"/>
  <c r="J11" i="1043" s="1"/>
  <c r="F11" i="1043"/>
  <c r="J10" i="1043"/>
  <c r="H10" i="1043"/>
  <c r="I10" i="1043" s="1"/>
  <c r="F10" i="1043"/>
  <c r="H9" i="1043"/>
  <c r="J9" i="1043" s="1"/>
  <c r="J8" i="1043" s="1"/>
  <c r="F9" i="1043"/>
  <c r="H8" i="1043"/>
  <c r="I8" i="1043" s="1"/>
  <c r="G8" i="1043"/>
  <c r="F8" i="1043"/>
  <c r="E8" i="1043"/>
  <c r="D8" i="1043"/>
  <c r="H7" i="1045" l="1"/>
  <c r="I7" i="1045" s="1"/>
  <c r="I8" i="1045"/>
  <c r="I9" i="1045"/>
  <c r="J8" i="1044"/>
  <c r="H8" i="1044"/>
  <c r="I8" i="1044" s="1"/>
  <c r="I9" i="1044"/>
  <c r="I12" i="1044"/>
  <c r="I13" i="1044"/>
  <c r="I9" i="1043"/>
  <c r="I12" i="1043"/>
  <c r="I15" i="1043"/>
  <c r="I18" i="1043"/>
  <c r="I11" i="1043"/>
  <c r="I14" i="1043"/>
  <c r="I17" i="1043"/>
  <c r="I20" i="1043"/>
  <c r="O87" i="1042" l="1"/>
  <c r="L86" i="1042"/>
  <c r="M86" i="1042" s="1"/>
  <c r="N86" i="1042" s="1"/>
  <c r="J86" i="1042"/>
  <c r="K86" i="1042" s="1"/>
  <c r="I86" i="1042"/>
  <c r="Q86" i="1042" s="1"/>
  <c r="S86" i="1042" s="1"/>
  <c r="L85" i="1042"/>
  <c r="M85" i="1042" s="1"/>
  <c r="J85" i="1042"/>
  <c r="K85" i="1042" s="1"/>
  <c r="I85" i="1042"/>
  <c r="Q85" i="1042" s="1"/>
  <c r="S85" i="1042" s="1"/>
  <c r="E85" i="1042"/>
  <c r="L59" i="1042"/>
  <c r="M59" i="1042" s="1"/>
  <c r="J59" i="1042"/>
  <c r="K59" i="1042" s="1"/>
  <c r="I59" i="1042"/>
  <c r="E59" i="1042"/>
  <c r="L84" i="1042"/>
  <c r="M84" i="1042" s="1"/>
  <c r="N84" i="1042" s="1"/>
  <c r="J84" i="1042"/>
  <c r="K84" i="1042" s="1"/>
  <c r="I84" i="1042"/>
  <c r="E84" i="1042"/>
  <c r="L58" i="1042"/>
  <c r="J58" i="1042"/>
  <c r="I58" i="1042"/>
  <c r="E58" i="1042"/>
  <c r="L57" i="1042"/>
  <c r="M57" i="1042" s="1"/>
  <c r="J57" i="1042"/>
  <c r="I57" i="1042"/>
  <c r="E57" i="1042"/>
  <c r="L81" i="1042"/>
  <c r="J81" i="1042"/>
  <c r="K81" i="1042" s="1"/>
  <c r="I81" i="1042"/>
  <c r="E81" i="1042"/>
  <c r="L56" i="1042"/>
  <c r="M56" i="1042" s="1"/>
  <c r="J56" i="1042"/>
  <c r="I56" i="1042"/>
  <c r="Q56" i="1042" s="1"/>
  <c r="S56" i="1042" s="1"/>
  <c r="E56" i="1042"/>
  <c r="L76" i="1042"/>
  <c r="M76" i="1042" s="1"/>
  <c r="N76" i="1042" s="1"/>
  <c r="J76" i="1042"/>
  <c r="K76" i="1042" s="1"/>
  <c r="I76" i="1042"/>
  <c r="E76" i="1042"/>
  <c r="L79" i="1042"/>
  <c r="M79" i="1042" s="1"/>
  <c r="J79" i="1042"/>
  <c r="I79" i="1042"/>
  <c r="O79" i="1042" s="1"/>
  <c r="E79" i="1042"/>
  <c r="L83" i="1042"/>
  <c r="J83" i="1042"/>
  <c r="I83" i="1042"/>
  <c r="E83" i="1042"/>
  <c r="L68" i="1042"/>
  <c r="M68" i="1042" s="1"/>
  <c r="N68" i="1042" s="1"/>
  <c r="J68" i="1042"/>
  <c r="K68" i="1042" s="1"/>
  <c r="I68" i="1042"/>
  <c r="E68" i="1042"/>
  <c r="L55" i="1042"/>
  <c r="M55" i="1042" s="1"/>
  <c r="J55" i="1042"/>
  <c r="I55" i="1042"/>
  <c r="E55" i="1042"/>
  <c r="Q73" i="1042"/>
  <c r="S73" i="1042" s="1"/>
  <c r="L54" i="1042"/>
  <c r="J54" i="1042"/>
  <c r="K54" i="1042" s="1"/>
  <c r="I54" i="1042"/>
  <c r="E54" i="1042"/>
  <c r="L82" i="1042"/>
  <c r="M82" i="1042" s="1"/>
  <c r="N82" i="1042" s="1"/>
  <c r="J82" i="1042"/>
  <c r="I82" i="1042"/>
  <c r="Q82" i="1042" s="1"/>
  <c r="S82" i="1042" s="1"/>
  <c r="E82" i="1042"/>
  <c r="L62" i="1042"/>
  <c r="M62" i="1042" s="1"/>
  <c r="J62" i="1042"/>
  <c r="I62" i="1042"/>
  <c r="Q71" i="1042" s="1"/>
  <c r="S71" i="1042" s="1"/>
  <c r="E62" i="1042"/>
  <c r="L53" i="1042"/>
  <c r="M53" i="1042" s="1"/>
  <c r="N53" i="1042" s="1"/>
  <c r="J53" i="1042"/>
  <c r="K53" i="1042" s="1"/>
  <c r="I53" i="1042"/>
  <c r="E53" i="1042"/>
  <c r="L75" i="1042"/>
  <c r="M75" i="1042" s="1"/>
  <c r="J75" i="1042"/>
  <c r="K75" i="1042" s="1"/>
  <c r="I75" i="1042"/>
  <c r="E75" i="1042"/>
  <c r="L52" i="1042"/>
  <c r="M52" i="1042" s="1"/>
  <c r="J52" i="1042"/>
  <c r="I52" i="1042"/>
  <c r="O52" i="1042" s="1"/>
  <c r="E52" i="1042"/>
  <c r="L51" i="1042"/>
  <c r="M51" i="1042" s="1"/>
  <c r="N51" i="1042" s="1"/>
  <c r="J51" i="1042"/>
  <c r="I51" i="1042"/>
  <c r="E51" i="1042"/>
  <c r="L65" i="1042"/>
  <c r="M65" i="1042" s="1"/>
  <c r="J65" i="1042"/>
  <c r="K65" i="1042" s="1"/>
  <c r="I65" i="1042"/>
  <c r="Q65" i="1042" s="1"/>
  <c r="S65" i="1042" s="1"/>
  <c r="E65" i="1042"/>
  <c r="L50" i="1042"/>
  <c r="M50" i="1042" s="1"/>
  <c r="J50" i="1042"/>
  <c r="I50" i="1042"/>
  <c r="E50" i="1042"/>
  <c r="L71" i="1042"/>
  <c r="M71" i="1042" s="1"/>
  <c r="J71" i="1042"/>
  <c r="I71" i="1042"/>
  <c r="E71" i="1042"/>
  <c r="L49" i="1042"/>
  <c r="M49" i="1042" s="1"/>
  <c r="J49" i="1042"/>
  <c r="I49" i="1042"/>
  <c r="O49" i="1042" s="1"/>
  <c r="E49" i="1042"/>
  <c r="Q62" i="1042"/>
  <c r="S62" i="1042" s="1"/>
  <c r="L73" i="1042"/>
  <c r="M73" i="1042" s="1"/>
  <c r="J73" i="1042"/>
  <c r="I73" i="1042"/>
  <c r="O73" i="1042" s="1"/>
  <c r="E73" i="1042"/>
  <c r="L77" i="1042"/>
  <c r="M77" i="1042" s="1"/>
  <c r="J77" i="1042"/>
  <c r="K77" i="1042" s="1"/>
  <c r="I77" i="1042"/>
  <c r="E77" i="1042"/>
  <c r="L61" i="1042"/>
  <c r="J61" i="1042"/>
  <c r="K61" i="1042" s="1"/>
  <c r="I61" i="1042"/>
  <c r="E61" i="1042"/>
  <c r="Q59" i="1042"/>
  <c r="S59" i="1042" s="1"/>
  <c r="L48" i="1042"/>
  <c r="M48" i="1042" s="1"/>
  <c r="N48" i="1042" s="1"/>
  <c r="J48" i="1042"/>
  <c r="K48" i="1042" s="1"/>
  <c r="I48" i="1042"/>
  <c r="O48" i="1042" s="1"/>
  <c r="E48" i="1042"/>
  <c r="L67" i="1042"/>
  <c r="J67" i="1042"/>
  <c r="K67" i="1042" s="1"/>
  <c r="I67" i="1042"/>
  <c r="E67" i="1042"/>
  <c r="L74" i="1042"/>
  <c r="J74" i="1042"/>
  <c r="K74" i="1042" s="1"/>
  <c r="I74" i="1042"/>
  <c r="Q57" i="1042" s="1"/>
  <c r="S57" i="1042" s="1"/>
  <c r="E74" i="1042"/>
  <c r="L47" i="1042"/>
  <c r="J47" i="1042"/>
  <c r="K47" i="1042" s="1"/>
  <c r="I47" i="1042"/>
  <c r="E47" i="1042"/>
  <c r="Q55" i="1042"/>
  <c r="S55" i="1042" s="1"/>
  <c r="L46" i="1042"/>
  <c r="J46" i="1042"/>
  <c r="K46" i="1042" s="1"/>
  <c r="I46" i="1042"/>
  <c r="E46" i="1042"/>
  <c r="L69" i="1042"/>
  <c r="M69" i="1042" s="1"/>
  <c r="J69" i="1042"/>
  <c r="K69" i="1042" s="1"/>
  <c r="I69" i="1042"/>
  <c r="Q54" i="1042" s="1"/>
  <c r="S54" i="1042" s="1"/>
  <c r="E69" i="1042"/>
  <c r="Q53" i="1042"/>
  <c r="S53" i="1042" s="1"/>
  <c r="L72" i="1042"/>
  <c r="J72" i="1042"/>
  <c r="I72" i="1042"/>
  <c r="E72" i="1042"/>
  <c r="L66" i="1042"/>
  <c r="M66" i="1042" s="1"/>
  <c r="N66" i="1042" s="1"/>
  <c r="J66" i="1042"/>
  <c r="K66" i="1042" s="1"/>
  <c r="I66" i="1042"/>
  <c r="Q66" i="1042" s="1"/>
  <c r="S66" i="1042" s="1"/>
  <c r="E66" i="1042"/>
  <c r="L45" i="1042"/>
  <c r="M45" i="1042" s="1"/>
  <c r="N45" i="1042" s="1"/>
  <c r="J45" i="1042"/>
  <c r="K45" i="1042" s="1"/>
  <c r="I45" i="1042"/>
  <c r="Q51" i="1042" s="1"/>
  <c r="S51" i="1042" s="1"/>
  <c r="E45" i="1042"/>
  <c r="L44" i="1042"/>
  <c r="J44" i="1042"/>
  <c r="K44" i="1042" s="1"/>
  <c r="I44" i="1042"/>
  <c r="E44" i="1042"/>
  <c r="L43" i="1042"/>
  <c r="M43" i="1042" s="1"/>
  <c r="J43" i="1042"/>
  <c r="K43" i="1042" s="1"/>
  <c r="I43" i="1042"/>
  <c r="E43" i="1042"/>
  <c r="Q48" i="1042"/>
  <c r="S48" i="1042" s="1"/>
  <c r="L80" i="1042"/>
  <c r="M80" i="1042" s="1"/>
  <c r="J80" i="1042"/>
  <c r="I80" i="1042"/>
  <c r="Q80" i="1042" s="1"/>
  <c r="S80" i="1042" s="1"/>
  <c r="E80" i="1042"/>
  <c r="S47" i="1042"/>
  <c r="Q47" i="1042"/>
  <c r="L42" i="1042"/>
  <c r="M42" i="1042" s="1"/>
  <c r="N42" i="1042" s="1"/>
  <c r="J42" i="1042"/>
  <c r="K42" i="1042" s="1"/>
  <c r="I42" i="1042"/>
  <c r="E42" i="1042"/>
  <c r="L41" i="1042"/>
  <c r="M41" i="1042" s="1"/>
  <c r="J41" i="1042"/>
  <c r="I41" i="1042"/>
  <c r="Q46" i="1042" s="1"/>
  <c r="S46" i="1042" s="1"/>
  <c r="E41" i="1042"/>
  <c r="Q45" i="1042"/>
  <c r="S45" i="1042" s="1"/>
  <c r="L64" i="1042"/>
  <c r="M64" i="1042" s="1"/>
  <c r="O64" i="1042" s="1"/>
  <c r="J64" i="1042"/>
  <c r="I64" i="1042"/>
  <c r="Q64" i="1042" s="1"/>
  <c r="S64" i="1042" s="1"/>
  <c r="E64" i="1042"/>
  <c r="Q44" i="1042"/>
  <c r="S44" i="1042" s="1"/>
  <c r="L40" i="1042"/>
  <c r="M40" i="1042" s="1"/>
  <c r="J40" i="1042"/>
  <c r="I40" i="1042"/>
  <c r="K40" i="1042" s="1"/>
  <c r="E40" i="1042"/>
  <c r="L63" i="1042"/>
  <c r="M63" i="1042" s="1"/>
  <c r="J63" i="1042"/>
  <c r="I63" i="1042"/>
  <c r="Q43" i="1042" s="1"/>
  <c r="S43" i="1042" s="1"/>
  <c r="E63" i="1042"/>
  <c r="Q42" i="1042"/>
  <c r="S42" i="1042" s="1"/>
  <c r="L39" i="1042"/>
  <c r="M39" i="1042" s="1"/>
  <c r="N39" i="1042" s="1"/>
  <c r="J39" i="1042"/>
  <c r="K39" i="1042" s="1"/>
  <c r="I39" i="1042"/>
  <c r="O39" i="1042" s="1"/>
  <c r="E39" i="1042"/>
  <c r="L38" i="1042"/>
  <c r="J38" i="1042"/>
  <c r="I38" i="1042"/>
  <c r="Q41" i="1042" s="1"/>
  <c r="S41" i="1042" s="1"/>
  <c r="C38" i="1042"/>
  <c r="L37" i="1042"/>
  <c r="J37" i="1042"/>
  <c r="M37" i="1042" s="1"/>
  <c r="N37" i="1042" s="1"/>
  <c r="I37" i="1042"/>
  <c r="Q40" i="1042" s="1"/>
  <c r="S40" i="1042" s="1"/>
  <c r="E37" i="1042"/>
  <c r="L78" i="1042"/>
  <c r="J78" i="1042"/>
  <c r="I78" i="1042"/>
  <c r="E78" i="1042"/>
  <c r="Q38" i="1042"/>
  <c r="S38" i="1042" s="1"/>
  <c r="L36" i="1042"/>
  <c r="M36" i="1042" s="1"/>
  <c r="N36" i="1042" s="1"/>
  <c r="J36" i="1042"/>
  <c r="I36" i="1042"/>
  <c r="O36" i="1042" s="1"/>
  <c r="E36" i="1042"/>
  <c r="L35" i="1042"/>
  <c r="M35" i="1042" s="1"/>
  <c r="O35" i="1042" s="1"/>
  <c r="J35" i="1042"/>
  <c r="I35" i="1042"/>
  <c r="Q37" i="1042" s="1"/>
  <c r="S37" i="1042" s="1"/>
  <c r="E35" i="1042"/>
  <c r="L34" i="1042"/>
  <c r="J34" i="1042"/>
  <c r="K34" i="1042" s="1"/>
  <c r="I34" i="1042"/>
  <c r="E34" i="1042"/>
  <c r="L33" i="1042"/>
  <c r="J33" i="1042"/>
  <c r="M33" i="1042" s="1"/>
  <c r="I33" i="1042"/>
  <c r="E33" i="1042"/>
  <c r="L32" i="1042"/>
  <c r="J32" i="1042"/>
  <c r="M32" i="1042" s="1"/>
  <c r="N32" i="1042" s="1"/>
  <c r="I32" i="1042"/>
  <c r="E32" i="1042"/>
  <c r="L31" i="1042"/>
  <c r="J31" i="1042"/>
  <c r="I31" i="1042"/>
  <c r="E31" i="1042"/>
  <c r="Q32" i="1042"/>
  <c r="S32" i="1042" s="1"/>
  <c r="L30" i="1042"/>
  <c r="M30" i="1042" s="1"/>
  <c r="N30" i="1042" s="1"/>
  <c r="J30" i="1042"/>
  <c r="I30" i="1042"/>
  <c r="E30" i="1042"/>
  <c r="M29" i="1042"/>
  <c r="N29" i="1042" s="1"/>
  <c r="L29" i="1042"/>
  <c r="K29" i="1042"/>
  <c r="J29" i="1042"/>
  <c r="I29" i="1042"/>
  <c r="Q31" i="1042" s="1"/>
  <c r="S31" i="1042" s="1"/>
  <c r="E29" i="1042"/>
  <c r="L28" i="1042"/>
  <c r="J28" i="1042"/>
  <c r="K28" i="1042" s="1"/>
  <c r="I28" i="1042"/>
  <c r="E28" i="1042"/>
  <c r="L27" i="1042"/>
  <c r="J27" i="1042"/>
  <c r="M27" i="1042" s="1"/>
  <c r="N27" i="1042" s="1"/>
  <c r="I27" i="1042"/>
  <c r="Q29" i="1042" s="1"/>
  <c r="S29" i="1042" s="1"/>
  <c r="E27" i="1042"/>
  <c r="S28" i="1042"/>
  <c r="Q28" i="1042"/>
  <c r="L60" i="1042"/>
  <c r="J60" i="1042"/>
  <c r="M60" i="1042" s="1"/>
  <c r="N60" i="1042" s="1"/>
  <c r="I60" i="1042"/>
  <c r="E60" i="1042"/>
  <c r="L70" i="1042"/>
  <c r="J70" i="1042"/>
  <c r="K70" i="1042" s="1"/>
  <c r="I70" i="1042"/>
  <c r="E70" i="1042"/>
  <c r="L26" i="1042"/>
  <c r="M26" i="1042" s="1"/>
  <c r="J26" i="1042"/>
  <c r="K26" i="1042" s="1"/>
  <c r="I26" i="1042"/>
  <c r="O26" i="1042" s="1"/>
  <c r="E26" i="1042"/>
  <c r="L25" i="1042"/>
  <c r="J25" i="1042"/>
  <c r="I25" i="1042"/>
  <c r="Q25" i="1042" s="1"/>
  <c r="S25" i="1042" s="1"/>
  <c r="E25" i="1042"/>
  <c r="L24" i="1042"/>
  <c r="M24" i="1042" s="1"/>
  <c r="N24" i="1042" s="1"/>
  <c r="J24" i="1042"/>
  <c r="K24" i="1042" s="1"/>
  <c r="I24" i="1042"/>
  <c r="Q24" i="1042" s="1"/>
  <c r="S24" i="1042" s="1"/>
  <c r="E24" i="1042"/>
  <c r="L23" i="1042"/>
  <c r="M23" i="1042" s="1"/>
  <c r="N23" i="1042" s="1"/>
  <c r="J23" i="1042"/>
  <c r="I23" i="1042"/>
  <c r="O23" i="1042" s="1"/>
  <c r="L22" i="1042"/>
  <c r="J22" i="1042"/>
  <c r="K22" i="1042" s="1"/>
  <c r="I22" i="1042"/>
  <c r="E22" i="1042"/>
  <c r="L21" i="1042"/>
  <c r="M21" i="1042" s="1"/>
  <c r="N21" i="1042" s="1"/>
  <c r="J21" i="1042"/>
  <c r="K21" i="1042" s="1"/>
  <c r="I21" i="1042"/>
  <c r="Q21" i="1042" s="1"/>
  <c r="S21" i="1042" s="1"/>
  <c r="C21" i="1042"/>
  <c r="L20" i="1042"/>
  <c r="M20" i="1042" s="1"/>
  <c r="O20" i="1042" s="1"/>
  <c r="J20" i="1042"/>
  <c r="K20" i="1042" s="1"/>
  <c r="I20" i="1042"/>
  <c r="Q20" i="1042" s="1"/>
  <c r="S20" i="1042" s="1"/>
  <c r="E20" i="1042"/>
  <c r="L19" i="1042"/>
  <c r="M19" i="1042" s="1"/>
  <c r="J19" i="1042"/>
  <c r="K19" i="1042" s="1"/>
  <c r="I19" i="1042"/>
  <c r="Q19" i="1042" s="1"/>
  <c r="S19" i="1042" s="1"/>
  <c r="E19" i="1042"/>
  <c r="L18" i="1042"/>
  <c r="M18" i="1042" s="1"/>
  <c r="J18" i="1042"/>
  <c r="K18" i="1042" s="1"/>
  <c r="I18" i="1042"/>
  <c r="Q18" i="1042" s="1"/>
  <c r="S18" i="1042" s="1"/>
  <c r="L17" i="1042"/>
  <c r="J17" i="1042"/>
  <c r="K17" i="1042" s="1"/>
  <c r="I17" i="1042"/>
  <c r="Q17" i="1042" s="1"/>
  <c r="S17" i="1042" s="1"/>
  <c r="E17" i="1042"/>
  <c r="L16" i="1042"/>
  <c r="M16" i="1042" s="1"/>
  <c r="N16" i="1042" s="1"/>
  <c r="J16" i="1042"/>
  <c r="K16" i="1042" s="1"/>
  <c r="I16" i="1042"/>
  <c r="Q16" i="1042" s="1"/>
  <c r="S16" i="1042" s="1"/>
  <c r="E16" i="1042"/>
  <c r="L15" i="1042"/>
  <c r="M15" i="1042" s="1"/>
  <c r="N15" i="1042" s="1"/>
  <c r="J15" i="1042"/>
  <c r="K15" i="1042" s="1"/>
  <c r="I15" i="1042"/>
  <c r="Q15" i="1042" s="1"/>
  <c r="S15" i="1042" s="1"/>
  <c r="E15" i="1042"/>
  <c r="Q14" i="1042"/>
  <c r="S14" i="1042" s="1"/>
  <c r="L14" i="1042"/>
  <c r="J14" i="1042"/>
  <c r="K14" i="1042" s="1"/>
  <c r="I14" i="1042"/>
  <c r="C14" i="1042"/>
  <c r="L13" i="1042"/>
  <c r="M13" i="1042" s="1"/>
  <c r="O13" i="1042" s="1"/>
  <c r="J13" i="1042"/>
  <c r="I13" i="1042"/>
  <c r="K13" i="1042" s="1"/>
  <c r="E13" i="1042"/>
  <c r="L12" i="1042"/>
  <c r="J12" i="1042"/>
  <c r="I12" i="1042"/>
  <c r="C12" i="1042"/>
  <c r="L11" i="1042"/>
  <c r="J11" i="1042"/>
  <c r="K11" i="1042" s="1"/>
  <c r="I11" i="1042"/>
  <c r="C11" i="1042"/>
  <c r="Q10" i="1042"/>
  <c r="S10" i="1042" s="1"/>
  <c r="O10" i="1042"/>
  <c r="H9" i="1042"/>
  <c r="F9" i="1042"/>
  <c r="D9" i="1042"/>
  <c r="A3" i="1042"/>
  <c r="J19" i="1041"/>
  <c r="H19" i="1041"/>
  <c r="I19" i="1041" s="1"/>
  <c r="D19" i="1041"/>
  <c r="G19" i="1041" s="1"/>
  <c r="M19" i="1041" s="1"/>
  <c r="J18" i="1041"/>
  <c r="H18" i="1041"/>
  <c r="D18" i="1041"/>
  <c r="G18" i="1041" s="1"/>
  <c r="M18" i="1041" s="1"/>
  <c r="J17" i="1041"/>
  <c r="H17" i="1041"/>
  <c r="G17" i="1041"/>
  <c r="D17" i="1041"/>
  <c r="J16" i="1041"/>
  <c r="H16" i="1041"/>
  <c r="I16" i="1041" s="1"/>
  <c r="D16" i="1041"/>
  <c r="G16" i="1041" s="1"/>
  <c r="J15" i="1041"/>
  <c r="H15" i="1041"/>
  <c r="G15" i="1041"/>
  <c r="D15" i="1041"/>
  <c r="J14" i="1041"/>
  <c r="H14" i="1041"/>
  <c r="D14" i="1041"/>
  <c r="G14" i="1041" s="1"/>
  <c r="J13" i="1041"/>
  <c r="K13" i="1041" s="1"/>
  <c r="H13" i="1041"/>
  <c r="D13" i="1041"/>
  <c r="G13" i="1041" s="1"/>
  <c r="M13" i="1041" s="1"/>
  <c r="J12" i="1041"/>
  <c r="H12" i="1041"/>
  <c r="K12" i="1041" s="1"/>
  <c r="D12" i="1041"/>
  <c r="G12" i="1041" s="1"/>
  <c r="M12" i="1041" s="1"/>
  <c r="J11" i="1041"/>
  <c r="J8" i="1041" s="1"/>
  <c r="J7" i="1041" s="1"/>
  <c r="H11" i="1041"/>
  <c r="I11" i="1041" s="1"/>
  <c r="D11" i="1041"/>
  <c r="G11" i="1041" s="1"/>
  <c r="J10" i="1041"/>
  <c r="K10" i="1041" s="1"/>
  <c r="H10" i="1041"/>
  <c r="E10" i="1041"/>
  <c r="E8" i="1041" s="1"/>
  <c r="E7" i="1041" s="1"/>
  <c r="D10" i="1041"/>
  <c r="J9" i="1041"/>
  <c r="K9" i="1041" s="1"/>
  <c r="H9" i="1041"/>
  <c r="D9" i="1041"/>
  <c r="D8" i="1041" s="1"/>
  <c r="D7" i="1041" s="1"/>
  <c r="H8" i="1041"/>
  <c r="C8" i="1041"/>
  <c r="H7" i="1041"/>
  <c r="C7" i="1041"/>
  <c r="A3" i="1041"/>
  <c r="F17" i="1040"/>
  <c r="P16" i="1040"/>
  <c r="K16" i="1040"/>
  <c r="S16" i="1040" s="1"/>
  <c r="AI15" i="1040"/>
  <c r="AJ15" i="1040" s="1"/>
  <c r="AJ14" i="1040" s="1"/>
  <c r="P15" i="1040"/>
  <c r="Q15" i="1040" s="1"/>
  <c r="K15" i="1040"/>
  <c r="S15" i="1040" s="1"/>
  <c r="AI14" i="1040"/>
  <c r="AH14" i="1040"/>
  <c r="AG14" i="1040"/>
  <c r="AF14" i="1040"/>
  <c r="P14" i="1040"/>
  <c r="K14" i="1040"/>
  <c r="S14" i="1040" s="1"/>
  <c r="AA13" i="1040"/>
  <c r="AA10" i="1040" s="1"/>
  <c r="V13" i="1040"/>
  <c r="L13" i="1040"/>
  <c r="P13" i="1040" s="1"/>
  <c r="G13" i="1040"/>
  <c r="G10" i="1040" s="1"/>
  <c r="K11" i="1040"/>
  <c r="Z10" i="1040"/>
  <c r="Y10" i="1040"/>
  <c r="X10" i="1040"/>
  <c r="W10" i="1040"/>
  <c r="V10" i="1040" s="1"/>
  <c r="R10" i="1040"/>
  <c r="O10" i="1040"/>
  <c r="N10" i="1040"/>
  <c r="L10" i="1040"/>
  <c r="M10" i="1040" s="1"/>
  <c r="K10" i="1040"/>
  <c r="J10" i="1040"/>
  <c r="I10" i="1040"/>
  <c r="H10" i="1040"/>
  <c r="F10" i="1040"/>
  <c r="D5" i="1040"/>
  <c r="P691" i="1038"/>
  <c r="R691" i="1038" s="1"/>
  <c r="N691" i="1038"/>
  <c r="R690" i="1038"/>
  <c r="S690" i="1038" s="1"/>
  <c r="P690" i="1038"/>
  <c r="Q690" i="1038" s="1"/>
  <c r="N690" i="1038"/>
  <c r="O690" i="1038" s="1"/>
  <c r="M690" i="1038"/>
  <c r="Q689" i="1038"/>
  <c r="P689" i="1038"/>
  <c r="N689" i="1038"/>
  <c r="O689" i="1038" s="1"/>
  <c r="M689" i="1038"/>
  <c r="R688" i="1038"/>
  <c r="S688" i="1038" s="1"/>
  <c r="P688" i="1038"/>
  <c r="N688" i="1038"/>
  <c r="M688" i="1038"/>
  <c r="R687" i="1038"/>
  <c r="U687" i="1038" s="1"/>
  <c r="P687" i="1038"/>
  <c r="Q687" i="1038" s="1"/>
  <c r="N687" i="1038"/>
  <c r="O687" i="1038" s="1"/>
  <c r="M687" i="1038"/>
  <c r="H687" i="1038"/>
  <c r="P686" i="1038"/>
  <c r="O686" i="1038"/>
  <c r="N686" i="1038"/>
  <c r="M686" i="1038"/>
  <c r="H686" i="1038"/>
  <c r="R685" i="1038"/>
  <c r="P685" i="1038"/>
  <c r="Q685" i="1038" s="1"/>
  <c r="N685" i="1038"/>
  <c r="M685" i="1038"/>
  <c r="H685" i="1038"/>
  <c r="R684" i="1038"/>
  <c r="S684" i="1038" s="1"/>
  <c r="Q684" i="1038"/>
  <c r="P684" i="1038"/>
  <c r="O684" i="1038"/>
  <c r="N684" i="1038"/>
  <c r="M684" i="1038"/>
  <c r="U684" i="1038" s="1"/>
  <c r="H684" i="1038"/>
  <c r="R683" i="1038"/>
  <c r="U683" i="1038" s="1"/>
  <c r="P683" i="1038"/>
  <c r="Q683" i="1038" s="1"/>
  <c r="N683" i="1038"/>
  <c r="O683" i="1038" s="1"/>
  <c r="M683" i="1038"/>
  <c r="P682" i="1038"/>
  <c r="N682" i="1038"/>
  <c r="M682" i="1038"/>
  <c r="Q682" i="1038" s="1"/>
  <c r="P681" i="1038"/>
  <c r="R681" i="1038" s="1"/>
  <c r="S681" i="1038" s="1"/>
  <c r="N681" i="1038"/>
  <c r="O681" i="1038" s="1"/>
  <c r="M681" i="1038"/>
  <c r="S680" i="1038"/>
  <c r="R680" i="1038"/>
  <c r="P680" i="1038"/>
  <c r="Q680" i="1038" s="1"/>
  <c r="N680" i="1038"/>
  <c r="O680" i="1038" s="1"/>
  <c r="M680" i="1038"/>
  <c r="Q679" i="1038"/>
  <c r="P679" i="1038"/>
  <c r="R679" i="1038" s="1"/>
  <c r="O679" i="1038"/>
  <c r="N679" i="1038"/>
  <c r="M679" i="1038"/>
  <c r="P678" i="1038"/>
  <c r="R678" i="1038" s="1"/>
  <c r="S678" i="1038" s="1"/>
  <c r="N678" i="1038"/>
  <c r="O678" i="1038" s="1"/>
  <c r="M678" i="1038"/>
  <c r="R677" i="1038"/>
  <c r="S677" i="1038" s="1"/>
  <c r="P677" i="1038"/>
  <c r="Q677" i="1038" s="1"/>
  <c r="N677" i="1038"/>
  <c r="O677" i="1038" s="1"/>
  <c r="M677" i="1038"/>
  <c r="Q676" i="1038"/>
  <c r="P676" i="1038"/>
  <c r="R676" i="1038" s="1"/>
  <c r="N676" i="1038"/>
  <c r="O676" i="1038" s="1"/>
  <c r="M676" i="1038"/>
  <c r="P675" i="1038"/>
  <c r="R675" i="1038" s="1"/>
  <c r="S675" i="1038" s="1"/>
  <c r="N675" i="1038"/>
  <c r="O675" i="1038" s="1"/>
  <c r="M675" i="1038"/>
  <c r="R674" i="1038"/>
  <c r="U674" i="1038" s="1"/>
  <c r="Q674" i="1038"/>
  <c r="P674" i="1038"/>
  <c r="N674" i="1038"/>
  <c r="O674" i="1038" s="1"/>
  <c r="M674" i="1038"/>
  <c r="Q673" i="1038"/>
  <c r="P673" i="1038"/>
  <c r="R673" i="1038" s="1"/>
  <c r="N673" i="1038"/>
  <c r="O673" i="1038" s="1"/>
  <c r="M673" i="1038"/>
  <c r="P672" i="1038"/>
  <c r="R672" i="1038" s="1"/>
  <c r="S672" i="1038" s="1"/>
  <c r="N672" i="1038"/>
  <c r="O672" i="1038" s="1"/>
  <c r="M672" i="1038"/>
  <c r="R671" i="1038"/>
  <c r="S671" i="1038" s="1"/>
  <c r="P671" i="1038"/>
  <c r="N671" i="1038"/>
  <c r="M671" i="1038"/>
  <c r="Q670" i="1038"/>
  <c r="P670" i="1038"/>
  <c r="N670" i="1038"/>
  <c r="O670" i="1038" s="1"/>
  <c r="M670" i="1038"/>
  <c r="P669" i="1038"/>
  <c r="R669" i="1038" s="1"/>
  <c r="S669" i="1038" s="1"/>
  <c r="N669" i="1038"/>
  <c r="M669" i="1038"/>
  <c r="R668" i="1038"/>
  <c r="S668" i="1038" s="1"/>
  <c r="P668" i="1038"/>
  <c r="Q668" i="1038" s="1"/>
  <c r="N668" i="1038"/>
  <c r="O668" i="1038" s="1"/>
  <c r="M668" i="1038"/>
  <c r="Q667" i="1038"/>
  <c r="P667" i="1038"/>
  <c r="O667" i="1038"/>
  <c r="N667" i="1038"/>
  <c r="M667" i="1038"/>
  <c r="P666" i="1038"/>
  <c r="R666" i="1038" s="1"/>
  <c r="S666" i="1038" s="1"/>
  <c r="N666" i="1038"/>
  <c r="O666" i="1038" s="1"/>
  <c r="M666" i="1038"/>
  <c r="R665" i="1038"/>
  <c r="S665" i="1038" s="1"/>
  <c r="P665" i="1038"/>
  <c r="Q665" i="1038" s="1"/>
  <c r="N665" i="1038"/>
  <c r="O665" i="1038" s="1"/>
  <c r="M665" i="1038"/>
  <c r="P664" i="1038"/>
  <c r="N664" i="1038"/>
  <c r="R664" i="1038" s="1"/>
  <c r="M664" i="1038"/>
  <c r="Q664" i="1038" s="1"/>
  <c r="P663" i="1038"/>
  <c r="R663" i="1038" s="1"/>
  <c r="S663" i="1038" s="1"/>
  <c r="N663" i="1038"/>
  <c r="M663" i="1038"/>
  <c r="R662" i="1038"/>
  <c r="S662" i="1038" s="1"/>
  <c r="P662" i="1038"/>
  <c r="Q662" i="1038" s="1"/>
  <c r="N662" i="1038"/>
  <c r="O662" i="1038" s="1"/>
  <c r="M662" i="1038"/>
  <c r="P661" i="1038"/>
  <c r="N661" i="1038"/>
  <c r="R661" i="1038" s="1"/>
  <c r="M661" i="1038"/>
  <c r="Q661" i="1038" s="1"/>
  <c r="P660" i="1038"/>
  <c r="R660" i="1038" s="1"/>
  <c r="S660" i="1038" s="1"/>
  <c r="N660" i="1038"/>
  <c r="O660" i="1038" s="1"/>
  <c r="M660" i="1038"/>
  <c r="R659" i="1038"/>
  <c r="S659" i="1038" s="1"/>
  <c r="P659" i="1038"/>
  <c r="Q659" i="1038" s="1"/>
  <c r="N659" i="1038"/>
  <c r="O659" i="1038" s="1"/>
  <c r="M659" i="1038"/>
  <c r="Q658" i="1038"/>
  <c r="P658" i="1038"/>
  <c r="N658" i="1038"/>
  <c r="O658" i="1038" s="1"/>
  <c r="M658" i="1038"/>
  <c r="P657" i="1038"/>
  <c r="R657" i="1038" s="1"/>
  <c r="S657" i="1038" s="1"/>
  <c r="N657" i="1038"/>
  <c r="O657" i="1038" s="1"/>
  <c r="M657" i="1038"/>
  <c r="S656" i="1038"/>
  <c r="R656" i="1038"/>
  <c r="U656" i="1038" s="1"/>
  <c r="Q656" i="1038"/>
  <c r="P656" i="1038"/>
  <c r="O656" i="1038"/>
  <c r="N656" i="1038"/>
  <c r="M656" i="1038"/>
  <c r="Q655" i="1038"/>
  <c r="P655" i="1038"/>
  <c r="O655" i="1038"/>
  <c r="N655" i="1038"/>
  <c r="M655" i="1038"/>
  <c r="P654" i="1038"/>
  <c r="R654" i="1038" s="1"/>
  <c r="S654" i="1038" s="1"/>
  <c r="N654" i="1038"/>
  <c r="O654" i="1038" s="1"/>
  <c r="M654" i="1038"/>
  <c r="R653" i="1038"/>
  <c r="S653" i="1038" s="1"/>
  <c r="P653" i="1038"/>
  <c r="Q653" i="1038" s="1"/>
  <c r="N653" i="1038"/>
  <c r="O653" i="1038" s="1"/>
  <c r="M653" i="1038"/>
  <c r="Q652" i="1038"/>
  <c r="P652" i="1038"/>
  <c r="R652" i="1038" s="1"/>
  <c r="S652" i="1038" s="1"/>
  <c r="O652" i="1038"/>
  <c r="N652" i="1038"/>
  <c r="M652" i="1038"/>
  <c r="P651" i="1038"/>
  <c r="R651" i="1038" s="1"/>
  <c r="S651" i="1038" s="1"/>
  <c r="N651" i="1038"/>
  <c r="O651" i="1038" s="1"/>
  <c r="M651" i="1038"/>
  <c r="U651" i="1038" s="1"/>
  <c r="R650" i="1038"/>
  <c r="S650" i="1038" s="1"/>
  <c r="P650" i="1038"/>
  <c r="Q650" i="1038" s="1"/>
  <c r="N650" i="1038"/>
  <c r="O650" i="1038" s="1"/>
  <c r="M650" i="1038"/>
  <c r="Q649" i="1038"/>
  <c r="P649" i="1038"/>
  <c r="R649" i="1038" s="1"/>
  <c r="S649" i="1038" s="1"/>
  <c r="N649" i="1038"/>
  <c r="O649" i="1038" s="1"/>
  <c r="M649" i="1038"/>
  <c r="P648" i="1038"/>
  <c r="R648" i="1038" s="1"/>
  <c r="N648" i="1038"/>
  <c r="M648" i="1038"/>
  <c r="U648" i="1038" s="1"/>
  <c r="R647" i="1038"/>
  <c r="U647" i="1038" s="1"/>
  <c r="Q647" i="1038"/>
  <c r="P647" i="1038"/>
  <c r="N647" i="1038"/>
  <c r="O647" i="1038" s="1"/>
  <c r="M647" i="1038"/>
  <c r="Q646" i="1038"/>
  <c r="P646" i="1038"/>
  <c r="R646" i="1038" s="1"/>
  <c r="S646" i="1038" s="1"/>
  <c r="N646" i="1038"/>
  <c r="O646" i="1038" s="1"/>
  <c r="M646" i="1038"/>
  <c r="P645" i="1038"/>
  <c r="R645" i="1038" s="1"/>
  <c r="S645" i="1038" s="1"/>
  <c r="N645" i="1038"/>
  <c r="M645" i="1038"/>
  <c r="U645" i="1038" s="1"/>
  <c r="R644" i="1038"/>
  <c r="P644" i="1038"/>
  <c r="N644" i="1038"/>
  <c r="M644" i="1038"/>
  <c r="S644" i="1038" s="1"/>
  <c r="Q643" i="1038"/>
  <c r="P643" i="1038"/>
  <c r="R643" i="1038" s="1"/>
  <c r="S643" i="1038" s="1"/>
  <c r="O643" i="1038"/>
  <c r="N643" i="1038"/>
  <c r="M643" i="1038"/>
  <c r="P642" i="1038"/>
  <c r="R642" i="1038" s="1"/>
  <c r="N642" i="1038"/>
  <c r="M642" i="1038"/>
  <c r="U642" i="1038" s="1"/>
  <c r="R641" i="1038"/>
  <c r="S641" i="1038" s="1"/>
  <c r="P641" i="1038"/>
  <c r="Q641" i="1038" s="1"/>
  <c r="N641" i="1038"/>
  <c r="M641" i="1038"/>
  <c r="O641" i="1038" s="1"/>
  <c r="Q640" i="1038"/>
  <c r="P640" i="1038"/>
  <c r="N640" i="1038"/>
  <c r="O640" i="1038" s="1"/>
  <c r="M640" i="1038"/>
  <c r="P639" i="1038"/>
  <c r="R639" i="1038" s="1"/>
  <c r="N639" i="1038"/>
  <c r="M639" i="1038"/>
  <c r="U639" i="1038" s="1"/>
  <c r="R638" i="1038"/>
  <c r="U638" i="1038" s="1"/>
  <c r="Q638" i="1038"/>
  <c r="P638" i="1038"/>
  <c r="N638" i="1038"/>
  <c r="O638" i="1038" s="1"/>
  <c r="M638" i="1038"/>
  <c r="Q637" i="1038"/>
  <c r="P637" i="1038"/>
  <c r="R637" i="1038" s="1"/>
  <c r="S637" i="1038" s="1"/>
  <c r="O637" i="1038"/>
  <c r="N637" i="1038"/>
  <c r="M637" i="1038"/>
  <c r="U637" i="1038" s="1"/>
  <c r="P636" i="1038"/>
  <c r="R636" i="1038" s="1"/>
  <c r="S636" i="1038" s="1"/>
  <c r="N636" i="1038"/>
  <c r="M636" i="1038"/>
  <c r="R635" i="1038"/>
  <c r="U635" i="1038" s="1"/>
  <c r="Q635" i="1038"/>
  <c r="P635" i="1038"/>
  <c r="N635" i="1038"/>
  <c r="M635" i="1038"/>
  <c r="O635" i="1038" s="1"/>
  <c r="Q634" i="1038"/>
  <c r="P634" i="1038"/>
  <c r="O634" i="1038"/>
  <c r="N634" i="1038"/>
  <c r="M634" i="1038"/>
  <c r="P633" i="1038"/>
  <c r="R633" i="1038" s="1"/>
  <c r="S633" i="1038" s="1"/>
  <c r="N633" i="1038"/>
  <c r="M633" i="1038"/>
  <c r="R632" i="1038"/>
  <c r="S632" i="1038" s="1"/>
  <c r="P632" i="1038"/>
  <c r="Q632" i="1038" s="1"/>
  <c r="N632" i="1038"/>
  <c r="O632" i="1038" s="1"/>
  <c r="M632" i="1038"/>
  <c r="Q631" i="1038"/>
  <c r="P631" i="1038"/>
  <c r="R631" i="1038" s="1"/>
  <c r="S631" i="1038" s="1"/>
  <c r="O631" i="1038"/>
  <c r="N631" i="1038"/>
  <c r="M631" i="1038"/>
  <c r="R630" i="1038"/>
  <c r="S630" i="1038" s="1"/>
  <c r="P630" i="1038"/>
  <c r="N630" i="1038"/>
  <c r="M630" i="1038"/>
  <c r="U630" i="1038" s="1"/>
  <c r="L630" i="1038"/>
  <c r="P629" i="1038"/>
  <c r="R629" i="1038" s="1"/>
  <c r="U629" i="1038" s="1"/>
  <c r="N629" i="1038"/>
  <c r="M629" i="1038"/>
  <c r="O629" i="1038" s="1"/>
  <c r="P628" i="1038"/>
  <c r="O628" i="1038"/>
  <c r="N628" i="1038"/>
  <c r="P627" i="1038"/>
  <c r="R627" i="1038" s="1"/>
  <c r="S627" i="1038" s="1"/>
  <c r="N627" i="1038"/>
  <c r="M627" i="1038"/>
  <c r="U627" i="1038" s="1"/>
  <c r="R626" i="1038"/>
  <c r="S626" i="1038" s="1"/>
  <c r="P626" i="1038"/>
  <c r="Q626" i="1038" s="1"/>
  <c r="N626" i="1038"/>
  <c r="O626" i="1038" s="1"/>
  <c r="M626" i="1038"/>
  <c r="U626" i="1038" s="1"/>
  <c r="P625" i="1038"/>
  <c r="N625" i="1038"/>
  <c r="M625" i="1038"/>
  <c r="Q625" i="1038" s="1"/>
  <c r="P624" i="1038"/>
  <c r="R624" i="1038" s="1"/>
  <c r="N624" i="1038"/>
  <c r="M624" i="1038"/>
  <c r="R623" i="1038"/>
  <c r="P623" i="1038"/>
  <c r="N623" i="1038"/>
  <c r="M623" i="1038"/>
  <c r="U623" i="1038" s="1"/>
  <c r="P622" i="1038"/>
  <c r="R622" i="1038" s="1"/>
  <c r="N622" i="1038"/>
  <c r="M622" i="1038"/>
  <c r="U622" i="1038" s="1"/>
  <c r="P621" i="1038"/>
  <c r="R621" i="1038" s="1"/>
  <c r="S621" i="1038" s="1"/>
  <c r="N621" i="1038"/>
  <c r="M621" i="1038"/>
  <c r="U621" i="1038" s="1"/>
  <c r="S620" i="1038"/>
  <c r="R620" i="1038"/>
  <c r="P620" i="1038"/>
  <c r="N620" i="1038"/>
  <c r="M620" i="1038"/>
  <c r="Q619" i="1038"/>
  <c r="P619" i="1038"/>
  <c r="N619" i="1038"/>
  <c r="O619" i="1038" s="1"/>
  <c r="M619" i="1038"/>
  <c r="P618" i="1038"/>
  <c r="R618" i="1038" s="1"/>
  <c r="S618" i="1038" s="1"/>
  <c r="N618" i="1038"/>
  <c r="M618" i="1038"/>
  <c r="U618" i="1038" s="1"/>
  <c r="R617" i="1038"/>
  <c r="S617" i="1038" s="1"/>
  <c r="P617" i="1038"/>
  <c r="Q617" i="1038" s="1"/>
  <c r="N617" i="1038"/>
  <c r="O617" i="1038" s="1"/>
  <c r="M617" i="1038"/>
  <c r="Q616" i="1038"/>
  <c r="P616" i="1038"/>
  <c r="O616" i="1038"/>
  <c r="N616" i="1038"/>
  <c r="M616" i="1038"/>
  <c r="P615" i="1038"/>
  <c r="R615" i="1038" s="1"/>
  <c r="N615" i="1038"/>
  <c r="M615" i="1038"/>
  <c r="R614" i="1038"/>
  <c r="S614" i="1038" s="1"/>
  <c r="P614" i="1038"/>
  <c r="N614" i="1038"/>
  <c r="M614" i="1038"/>
  <c r="Q613" i="1038"/>
  <c r="P613" i="1038"/>
  <c r="R613" i="1038" s="1"/>
  <c r="S613" i="1038" s="1"/>
  <c r="O613" i="1038"/>
  <c r="N613" i="1038"/>
  <c r="M613" i="1038"/>
  <c r="R612" i="1038"/>
  <c r="S612" i="1038" s="1"/>
  <c r="P612" i="1038"/>
  <c r="N612" i="1038"/>
  <c r="M612" i="1038"/>
  <c r="U612" i="1038" s="1"/>
  <c r="R611" i="1038"/>
  <c r="S611" i="1038" s="1"/>
  <c r="P611" i="1038"/>
  <c r="Q611" i="1038" s="1"/>
  <c r="N611" i="1038"/>
  <c r="O611" i="1038" s="1"/>
  <c r="M611" i="1038"/>
  <c r="Q610" i="1038"/>
  <c r="P610" i="1038"/>
  <c r="N610" i="1038"/>
  <c r="O610" i="1038" s="1"/>
  <c r="M610" i="1038"/>
  <c r="P609" i="1038"/>
  <c r="R609" i="1038" s="1"/>
  <c r="S609" i="1038" s="1"/>
  <c r="N609" i="1038"/>
  <c r="M609" i="1038"/>
  <c r="S608" i="1038"/>
  <c r="R608" i="1038"/>
  <c r="P608" i="1038"/>
  <c r="Q608" i="1038" s="1"/>
  <c r="N608" i="1038"/>
  <c r="O608" i="1038" s="1"/>
  <c r="M608" i="1038"/>
  <c r="U608" i="1038" s="1"/>
  <c r="Q607" i="1038"/>
  <c r="P607" i="1038"/>
  <c r="R607" i="1038" s="1"/>
  <c r="S607" i="1038" s="1"/>
  <c r="O607" i="1038"/>
  <c r="N607" i="1038"/>
  <c r="M607" i="1038"/>
  <c r="U607" i="1038" s="1"/>
  <c r="P606" i="1038"/>
  <c r="R606" i="1038" s="1"/>
  <c r="N606" i="1038"/>
  <c r="M606" i="1038"/>
  <c r="R605" i="1038"/>
  <c r="S605" i="1038" s="1"/>
  <c r="P605" i="1038"/>
  <c r="Q605" i="1038" s="1"/>
  <c r="N605" i="1038"/>
  <c r="O605" i="1038" s="1"/>
  <c r="M605" i="1038"/>
  <c r="U605" i="1038" s="1"/>
  <c r="P604" i="1038"/>
  <c r="N604" i="1038"/>
  <c r="M604" i="1038"/>
  <c r="Q604" i="1038" s="1"/>
  <c r="P603" i="1038"/>
  <c r="R603" i="1038" s="1"/>
  <c r="S603" i="1038" s="1"/>
  <c r="N603" i="1038"/>
  <c r="M603" i="1038"/>
  <c r="U603" i="1038" s="1"/>
  <c r="R602" i="1038"/>
  <c r="S602" i="1038" s="1"/>
  <c r="P602" i="1038"/>
  <c r="N602" i="1038"/>
  <c r="M602" i="1038"/>
  <c r="Q601" i="1038"/>
  <c r="P601" i="1038"/>
  <c r="O601" i="1038"/>
  <c r="N601" i="1038"/>
  <c r="M601" i="1038"/>
  <c r="P600" i="1038"/>
  <c r="R600" i="1038" s="1"/>
  <c r="S600" i="1038" s="1"/>
  <c r="N600" i="1038"/>
  <c r="M600" i="1038"/>
  <c r="S599" i="1038"/>
  <c r="R599" i="1038"/>
  <c r="P599" i="1038"/>
  <c r="Q599" i="1038" s="1"/>
  <c r="N599" i="1038"/>
  <c r="O599" i="1038" s="1"/>
  <c r="M599" i="1038"/>
  <c r="Q598" i="1038"/>
  <c r="P598" i="1038"/>
  <c r="R598" i="1038" s="1"/>
  <c r="S598" i="1038" s="1"/>
  <c r="O598" i="1038"/>
  <c r="N598" i="1038"/>
  <c r="M598" i="1038"/>
  <c r="P597" i="1038"/>
  <c r="R597" i="1038" s="1"/>
  <c r="S597" i="1038" s="1"/>
  <c r="N597" i="1038"/>
  <c r="M597" i="1038"/>
  <c r="U597" i="1038" s="1"/>
  <c r="R596" i="1038"/>
  <c r="S596" i="1038" s="1"/>
  <c r="P596" i="1038"/>
  <c r="Q596" i="1038" s="1"/>
  <c r="N596" i="1038"/>
  <c r="O596" i="1038" s="1"/>
  <c r="M596" i="1038"/>
  <c r="U596" i="1038" s="1"/>
  <c r="Q595" i="1038"/>
  <c r="P595" i="1038"/>
  <c r="N595" i="1038"/>
  <c r="R595" i="1038" s="1"/>
  <c r="M595" i="1038"/>
  <c r="P594" i="1038"/>
  <c r="R594" i="1038" s="1"/>
  <c r="S594" i="1038" s="1"/>
  <c r="N594" i="1038"/>
  <c r="O594" i="1038" s="1"/>
  <c r="M594" i="1038"/>
  <c r="U594" i="1038" s="1"/>
  <c r="R593" i="1038"/>
  <c r="S593" i="1038" s="1"/>
  <c r="P593" i="1038"/>
  <c r="Q593" i="1038" s="1"/>
  <c r="N593" i="1038"/>
  <c r="O593" i="1038" s="1"/>
  <c r="M593" i="1038"/>
  <c r="Q592" i="1038"/>
  <c r="P592" i="1038"/>
  <c r="O592" i="1038"/>
  <c r="N592" i="1038"/>
  <c r="M592" i="1038"/>
  <c r="P591" i="1038"/>
  <c r="R591" i="1038" s="1"/>
  <c r="S591" i="1038" s="1"/>
  <c r="N591" i="1038"/>
  <c r="O591" i="1038" s="1"/>
  <c r="M591" i="1038"/>
  <c r="R590" i="1038"/>
  <c r="S590" i="1038" s="1"/>
  <c r="Q590" i="1038"/>
  <c r="P590" i="1038"/>
  <c r="O590" i="1038"/>
  <c r="N590" i="1038"/>
  <c r="M590" i="1038"/>
  <c r="P589" i="1038"/>
  <c r="N589" i="1038"/>
  <c r="L589" i="1038"/>
  <c r="M589" i="1038" s="1"/>
  <c r="P588" i="1038"/>
  <c r="R588" i="1038" s="1"/>
  <c r="S588" i="1038" s="1"/>
  <c r="N588" i="1038"/>
  <c r="O588" i="1038" s="1"/>
  <c r="M588" i="1038"/>
  <c r="U588" i="1038" s="1"/>
  <c r="P587" i="1038"/>
  <c r="R587" i="1038" s="1"/>
  <c r="N587" i="1038"/>
  <c r="M587" i="1038"/>
  <c r="P586" i="1038"/>
  <c r="O586" i="1038"/>
  <c r="N586" i="1038"/>
  <c r="M586" i="1038"/>
  <c r="P585" i="1038"/>
  <c r="R585" i="1038" s="1"/>
  <c r="N585" i="1038"/>
  <c r="M585" i="1038"/>
  <c r="U585" i="1038" s="1"/>
  <c r="U584" i="1038"/>
  <c r="R584" i="1038"/>
  <c r="S584" i="1038" s="1"/>
  <c r="Q584" i="1038"/>
  <c r="P584" i="1038"/>
  <c r="O584" i="1038"/>
  <c r="N584" i="1038"/>
  <c r="M584" i="1038"/>
  <c r="P583" i="1038"/>
  <c r="O583" i="1038"/>
  <c r="N583" i="1038"/>
  <c r="M583" i="1038"/>
  <c r="Q582" i="1038"/>
  <c r="P582" i="1038"/>
  <c r="N582" i="1038"/>
  <c r="R582" i="1038" s="1"/>
  <c r="M582" i="1038"/>
  <c r="P581" i="1038"/>
  <c r="R581" i="1038" s="1"/>
  <c r="S581" i="1038" s="1"/>
  <c r="N581" i="1038"/>
  <c r="O581" i="1038" s="1"/>
  <c r="M581" i="1038"/>
  <c r="P580" i="1038"/>
  <c r="O580" i="1038"/>
  <c r="N580" i="1038"/>
  <c r="M580" i="1038"/>
  <c r="Q579" i="1038"/>
  <c r="P579" i="1038"/>
  <c r="N579" i="1038"/>
  <c r="R579" i="1038" s="1"/>
  <c r="S579" i="1038" s="1"/>
  <c r="M579" i="1038"/>
  <c r="U579" i="1038" s="1"/>
  <c r="P578" i="1038"/>
  <c r="R578" i="1038" s="1"/>
  <c r="U578" i="1038" s="1"/>
  <c r="N578" i="1038"/>
  <c r="O578" i="1038" s="1"/>
  <c r="M578" i="1038"/>
  <c r="P577" i="1038"/>
  <c r="O577" i="1038"/>
  <c r="N577" i="1038"/>
  <c r="M577" i="1038"/>
  <c r="Q576" i="1038"/>
  <c r="P576" i="1038"/>
  <c r="N576" i="1038"/>
  <c r="R576" i="1038" s="1"/>
  <c r="M576" i="1038"/>
  <c r="P575" i="1038"/>
  <c r="R575" i="1038" s="1"/>
  <c r="U575" i="1038" s="1"/>
  <c r="N575" i="1038"/>
  <c r="M575" i="1038"/>
  <c r="L575" i="1038"/>
  <c r="P574" i="1038"/>
  <c r="N574" i="1038"/>
  <c r="O574" i="1038" s="1"/>
  <c r="M574" i="1038"/>
  <c r="R573" i="1038"/>
  <c r="P573" i="1038"/>
  <c r="N573" i="1038"/>
  <c r="M573" i="1038"/>
  <c r="P572" i="1038"/>
  <c r="R572" i="1038" s="1"/>
  <c r="N572" i="1038"/>
  <c r="M572" i="1038"/>
  <c r="U572" i="1038" s="1"/>
  <c r="P571" i="1038"/>
  <c r="N571" i="1038"/>
  <c r="O571" i="1038" s="1"/>
  <c r="M571" i="1038"/>
  <c r="P570" i="1038"/>
  <c r="R570" i="1038" s="1"/>
  <c r="S570" i="1038" s="1"/>
  <c r="N570" i="1038"/>
  <c r="O570" i="1038" s="1"/>
  <c r="M570" i="1038"/>
  <c r="P569" i="1038"/>
  <c r="R569" i="1038" s="1"/>
  <c r="N569" i="1038"/>
  <c r="M569" i="1038"/>
  <c r="U569" i="1038" s="1"/>
  <c r="Q568" i="1038"/>
  <c r="P568" i="1038"/>
  <c r="R568" i="1038" s="1"/>
  <c r="S568" i="1038" s="1"/>
  <c r="N568" i="1038"/>
  <c r="O568" i="1038" s="1"/>
  <c r="M568" i="1038"/>
  <c r="P567" i="1038"/>
  <c r="R567" i="1038" s="1"/>
  <c r="S567" i="1038" s="1"/>
  <c r="N567" i="1038"/>
  <c r="O567" i="1038" s="1"/>
  <c r="M567" i="1038"/>
  <c r="U567" i="1038" s="1"/>
  <c r="P566" i="1038"/>
  <c r="R566" i="1038" s="1"/>
  <c r="S566" i="1038" s="1"/>
  <c r="N566" i="1038"/>
  <c r="O566" i="1038" s="1"/>
  <c r="M566" i="1038"/>
  <c r="P565" i="1038"/>
  <c r="R565" i="1038" s="1"/>
  <c r="N565" i="1038"/>
  <c r="O565" i="1038" s="1"/>
  <c r="M565" i="1038"/>
  <c r="U565" i="1038" s="1"/>
  <c r="P564" i="1038"/>
  <c r="R564" i="1038" s="1"/>
  <c r="N564" i="1038"/>
  <c r="M564" i="1038"/>
  <c r="P563" i="1038"/>
  <c r="R563" i="1038" s="1"/>
  <c r="S563" i="1038" s="1"/>
  <c r="N563" i="1038"/>
  <c r="O563" i="1038" s="1"/>
  <c r="M563" i="1038"/>
  <c r="P562" i="1038"/>
  <c r="R562" i="1038" s="1"/>
  <c r="S562" i="1038" s="1"/>
  <c r="N562" i="1038"/>
  <c r="O562" i="1038" s="1"/>
  <c r="M562" i="1038"/>
  <c r="P561" i="1038"/>
  <c r="R561" i="1038" s="1"/>
  <c r="N561" i="1038"/>
  <c r="M561" i="1038"/>
  <c r="R560" i="1038"/>
  <c r="S560" i="1038" s="1"/>
  <c r="Q560" i="1038"/>
  <c r="P560" i="1038"/>
  <c r="N560" i="1038"/>
  <c r="O560" i="1038" s="1"/>
  <c r="M560" i="1038"/>
  <c r="P559" i="1038"/>
  <c r="R559" i="1038" s="1"/>
  <c r="S559" i="1038" s="1"/>
  <c r="N559" i="1038"/>
  <c r="O559" i="1038" s="1"/>
  <c r="M559" i="1038"/>
  <c r="P558" i="1038"/>
  <c r="R558" i="1038" s="1"/>
  <c r="S558" i="1038" s="1"/>
  <c r="N558" i="1038"/>
  <c r="M558" i="1038"/>
  <c r="P557" i="1038"/>
  <c r="N557" i="1038"/>
  <c r="R557" i="1038" s="1"/>
  <c r="S557" i="1038" s="1"/>
  <c r="M557" i="1038"/>
  <c r="Q557" i="1038" s="1"/>
  <c r="P556" i="1038"/>
  <c r="R556" i="1038" s="1"/>
  <c r="N556" i="1038"/>
  <c r="M556" i="1038"/>
  <c r="P555" i="1038"/>
  <c r="N555" i="1038"/>
  <c r="M555" i="1038"/>
  <c r="P554" i="1038"/>
  <c r="R554" i="1038" s="1"/>
  <c r="N554" i="1038"/>
  <c r="M554" i="1038"/>
  <c r="U554" i="1038" s="1"/>
  <c r="P553" i="1038"/>
  <c r="R553" i="1038" s="1"/>
  <c r="N553" i="1038"/>
  <c r="M553" i="1038"/>
  <c r="P552" i="1038"/>
  <c r="N552" i="1038"/>
  <c r="M552" i="1038"/>
  <c r="P551" i="1038"/>
  <c r="R551" i="1038" s="1"/>
  <c r="S551" i="1038" s="1"/>
  <c r="N551" i="1038"/>
  <c r="O551" i="1038" s="1"/>
  <c r="M551" i="1038"/>
  <c r="P550" i="1038"/>
  <c r="R550" i="1038" s="1"/>
  <c r="S550" i="1038" s="1"/>
  <c r="N550" i="1038"/>
  <c r="O550" i="1038" s="1"/>
  <c r="M550" i="1038"/>
  <c r="P549" i="1038"/>
  <c r="N549" i="1038"/>
  <c r="M549" i="1038"/>
  <c r="P548" i="1038"/>
  <c r="R548" i="1038" s="1"/>
  <c r="S548" i="1038" s="1"/>
  <c r="O548" i="1038"/>
  <c r="N548" i="1038"/>
  <c r="M548" i="1038"/>
  <c r="Q547" i="1038"/>
  <c r="P547" i="1038"/>
  <c r="R547" i="1038" s="1"/>
  <c r="S547" i="1038" s="1"/>
  <c r="N547" i="1038"/>
  <c r="O547" i="1038" s="1"/>
  <c r="M547" i="1038"/>
  <c r="P546" i="1038"/>
  <c r="N546" i="1038"/>
  <c r="O546" i="1038" s="1"/>
  <c r="M546" i="1038"/>
  <c r="L546" i="1038"/>
  <c r="P545" i="1038"/>
  <c r="R545" i="1038" s="1"/>
  <c r="S545" i="1038" s="1"/>
  <c r="N545" i="1038"/>
  <c r="O545" i="1038" s="1"/>
  <c r="M545" i="1038"/>
  <c r="R544" i="1038"/>
  <c r="S544" i="1038" s="1"/>
  <c r="Q544" i="1038"/>
  <c r="P544" i="1038"/>
  <c r="N544" i="1038"/>
  <c r="O544" i="1038" s="1"/>
  <c r="M544" i="1038"/>
  <c r="Q543" i="1038"/>
  <c r="P543" i="1038"/>
  <c r="R543" i="1038" s="1"/>
  <c r="S543" i="1038" s="1"/>
  <c r="N543" i="1038"/>
  <c r="O543" i="1038" s="1"/>
  <c r="M543" i="1038"/>
  <c r="P542" i="1038"/>
  <c r="R542" i="1038" s="1"/>
  <c r="S542" i="1038" s="1"/>
  <c r="N542" i="1038"/>
  <c r="O542" i="1038" s="1"/>
  <c r="M542" i="1038"/>
  <c r="R541" i="1038"/>
  <c r="S541" i="1038" s="1"/>
  <c r="Q541" i="1038"/>
  <c r="P541" i="1038"/>
  <c r="N541" i="1038"/>
  <c r="O541" i="1038" s="1"/>
  <c r="M541" i="1038"/>
  <c r="Q540" i="1038"/>
  <c r="P540" i="1038"/>
  <c r="R540" i="1038" s="1"/>
  <c r="S540" i="1038" s="1"/>
  <c r="N540" i="1038"/>
  <c r="O540" i="1038" s="1"/>
  <c r="M540" i="1038"/>
  <c r="P539" i="1038"/>
  <c r="R539" i="1038" s="1"/>
  <c r="S539" i="1038" s="1"/>
  <c r="N539" i="1038"/>
  <c r="O539" i="1038" s="1"/>
  <c r="M539" i="1038"/>
  <c r="R538" i="1038"/>
  <c r="P538" i="1038"/>
  <c r="N538" i="1038"/>
  <c r="M538" i="1038"/>
  <c r="U538" i="1038" s="1"/>
  <c r="Q537" i="1038"/>
  <c r="P537" i="1038"/>
  <c r="R537" i="1038" s="1"/>
  <c r="S537" i="1038" s="1"/>
  <c r="N537" i="1038"/>
  <c r="O537" i="1038" s="1"/>
  <c r="M537" i="1038"/>
  <c r="P536" i="1038"/>
  <c r="R536" i="1038" s="1"/>
  <c r="N536" i="1038"/>
  <c r="M536" i="1038"/>
  <c r="R535" i="1038"/>
  <c r="S535" i="1038" s="1"/>
  <c r="Q535" i="1038"/>
  <c r="P535" i="1038"/>
  <c r="N535" i="1038"/>
  <c r="O535" i="1038" s="1"/>
  <c r="M535" i="1038"/>
  <c r="U535" i="1038" s="1"/>
  <c r="P534" i="1038"/>
  <c r="R534" i="1038" s="1"/>
  <c r="N534" i="1038"/>
  <c r="M534" i="1038"/>
  <c r="P533" i="1038"/>
  <c r="N533" i="1038"/>
  <c r="O533" i="1038" s="1"/>
  <c r="M533" i="1038"/>
  <c r="R532" i="1038"/>
  <c r="S532" i="1038" s="1"/>
  <c r="Q532" i="1038"/>
  <c r="P532" i="1038"/>
  <c r="N532" i="1038"/>
  <c r="O532" i="1038" s="1"/>
  <c r="M532" i="1038"/>
  <c r="P531" i="1038"/>
  <c r="N531" i="1038"/>
  <c r="M531" i="1038"/>
  <c r="R530" i="1038"/>
  <c r="Q530" i="1038"/>
  <c r="P530" i="1038"/>
  <c r="O530" i="1038"/>
  <c r="N530" i="1038"/>
  <c r="M530" i="1038"/>
  <c r="P529" i="1038"/>
  <c r="R529" i="1038" s="1"/>
  <c r="N529" i="1038"/>
  <c r="M529" i="1038"/>
  <c r="U529" i="1038" s="1"/>
  <c r="P528" i="1038"/>
  <c r="N528" i="1038"/>
  <c r="M528" i="1038"/>
  <c r="R527" i="1038"/>
  <c r="Q527" i="1038"/>
  <c r="P527" i="1038"/>
  <c r="O527" i="1038"/>
  <c r="N527" i="1038"/>
  <c r="M527" i="1038"/>
  <c r="P526" i="1038"/>
  <c r="R526" i="1038" s="1"/>
  <c r="N526" i="1038"/>
  <c r="M526" i="1038"/>
  <c r="U526" i="1038" s="1"/>
  <c r="P525" i="1038"/>
  <c r="N525" i="1038"/>
  <c r="M525" i="1038"/>
  <c r="R524" i="1038"/>
  <c r="Q524" i="1038"/>
  <c r="P524" i="1038"/>
  <c r="O524" i="1038"/>
  <c r="N524" i="1038"/>
  <c r="M524" i="1038"/>
  <c r="P523" i="1038"/>
  <c r="R523" i="1038" s="1"/>
  <c r="N523" i="1038"/>
  <c r="O523" i="1038" s="1"/>
  <c r="M523" i="1038"/>
  <c r="P522" i="1038"/>
  <c r="N522" i="1038"/>
  <c r="M522" i="1038"/>
  <c r="R521" i="1038"/>
  <c r="Q521" i="1038"/>
  <c r="P521" i="1038"/>
  <c r="O521" i="1038"/>
  <c r="N521" i="1038"/>
  <c r="M521" i="1038"/>
  <c r="P520" i="1038"/>
  <c r="N520" i="1038"/>
  <c r="M520" i="1038"/>
  <c r="P519" i="1038"/>
  <c r="N519" i="1038"/>
  <c r="M519" i="1038"/>
  <c r="R518" i="1038"/>
  <c r="Q518" i="1038"/>
  <c r="P518" i="1038"/>
  <c r="O518" i="1038"/>
  <c r="N518" i="1038"/>
  <c r="M518" i="1038"/>
  <c r="P517" i="1038"/>
  <c r="R517" i="1038" s="1"/>
  <c r="S517" i="1038" s="1"/>
  <c r="N517" i="1038"/>
  <c r="M517" i="1038"/>
  <c r="U517" i="1038" s="1"/>
  <c r="P516" i="1038"/>
  <c r="N516" i="1038"/>
  <c r="M516" i="1038"/>
  <c r="R515" i="1038"/>
  <c r="Q515" i="1038"/>
  <c r="P515" i="1038"/>
  <c r="N515" i="1038"/>
  <c r="M515" i="1038"/>
  <c r="O515" i="1038" s="1"/>
  <c r="P514" i="1038"/>
  <c r="R514" i="1038" s="1"/>
  <c r="N514" i="1038"/>
  <c r="M514" i="1038"/>
  <c r="U514" i="1038" s="1"/>
  <c r="P513" i="1038"/>
  <c r="N513" i="1038"/>
  <c r="M513" i="1038"/>
  <c r="R512" i="1038"/>
  <c r="Q512" i="1038"/>
  <c r="P512" i="1038"/>
  <c r="O512" i="1038"/>
  <c r="N512" i="1038"/>
  <c r="M512" i="1038"/>
  <c r="P511" i="1038"/>
  <c r="R511" i="1038" s="1"/>
  <c r="S511" i="1038" s="1"/>
  <c r="N511" i="1038"/>
  <c r="M511" i="1038"/>
  <c r="U511" i="1038" s="1"/>
  <c r="P510" i="1038"/>
  <c r="N510" i="1038"/>
  <c r="M510" i="1038"/>
  <c r="R509" i="1038"/>
  <c r="Q509" i="1038"/>
  <c r="P509" i="1038"/>
  <c r="O509" i="1038"/>
  <c r="N509" i="1038"/>
  <c r="M509" i="1038"/>
  <c r="P508" i="1038"/>
  <c r="R508" i="1038" s="1"/>
  <c r="N508" i="1038"/>
  <c r="M508" i="1038"/>
  <c r="P507" i="1038"/>
  <c r="N507" i="1038"/>
  <c r="O507" i="1038" s="1"/>
  <c r="M507" i="1038"/>
  <c r="R506" i="1038"/>
  <c r="Q506" i="1038"/>
  <c r="P506" i="1038"/>
  <c r="N506" i="1038"/>
  <c r="M506" i="1038"/>
  <c r="O506" i="1038" s="1"/>
  <c r="P505" i="1038"/>
  <c r="R505" i="1038" s="1"/>
  <c r="N505" i="1038"/>
  <c r="O505" i="1038" s="1"/>
  <c r="M505" i="1038"/>
  <c r="P504" i="1038"/>
  <c r="N504" i="1038"/>
  <c r="O504" i="1038" s="1"/>
  <c r="M504" i="1038"/>
  <c r="R503" i="1038"/>
  <c r="Q503" i="1038"/>
  <c r="P503" i="1038"/>
  <c r="O503" i="1038"/>
  <c r="N503" i="1038"/>
  <c r="M503" i="1038"/>
  <c r="P502" i="1038"/>
  <c r="N502" i="1038"/>
  <c r="M502" i="1038"/>
  <c r="P501" i="1038"/>
  <c r="N501" i="1038"/>
  <c r="O501" i="1038" s="1"/>
  <c r="M501" i="1038"/>
  <c r="R500" i="1038"/>
  <c r="Q500" i="1038"/>
  <c r="P500" i="1038"/>
  <c r="O500" i="1038"/>
  <c r="N500" i="1038"/>
  <c r="M500" i="1038"/>
  <c r="P499" i="1038"/>
  <c r="R499" i="1038" s="1"/>
  <c r="S499" i="1038" s="1"/>
  <c r="N499" i="1038"/>
  <c r="M499" i="1038"/>
  <c r="U499" i="1038" s="1"/>
  <c r="P498" i="1038"/>
  <c r="N498" i="1038"/>
  <c r="O498" i="1038" s="1"/>
  <c r="M498" i="1038"/>
  <c r="R497" i="1038"/>
  <c r="Q497" i="1038"/>
  <c r="P497" i="1038"/>
  <c r="O497" i="1038"/>
  <c r="N497" i="1038"/>
  <c r="M497" i="1038"/>
  <c r="P496" i="1038"/>
  <c r="R496" i="1038" s="1"/>
  <c r="N496" i="1038"/>
  <c r="M496" i="1038"/>
  <c r="U496" i="1038" s="1"/>
  <c r="P495" i="1038"/>
  <c r="N495" i="1038"/>
  <c r="M495" i="1038"/>
  <c r="R494" i="1038"/>
  <c r="Q494" i="1038"/>
  <c r="P494" i="1038"/>
  <c r="O494" i="1038"/>
  <c r="N494" i="1038"/>
  <c r="M494" i="1038"/>
  <c r="P493" i="1038"/>
  <c r="R493" i="1038" s="1"/>
  <c r="S493" i="1038" s="1"/>
  <c r="N493" i="1038"/>
  <c r="M493" i="1038"/>
  <c r="U493" i="1038" s="1"/>
  <c r="P492" i="1038"/>
  <c r="N492" i="1038"/>
  <c r="M492" i="1038"/>
  <c r="R491" i="1038"/>
  <c r="Q491" i="1038"/>
  <c r="P491" i="1038"/>
  <c r="O491" i="1038"/>
  <c r="N491" i="1038"/>
  <c r="M491" i="1038"/>
  <c r="P490" i="1038"/>
  <c r="R490" i="1038" s="1"/>
  <c r="N490" i="1038"/>
  <c r="M490" i="1038"/>
  <c r="U490" i="1038" s="1"/>
  <c r="P489" i="1038"/>
  <c r="N489" i="1038"/>
  <c r="M489" i="1038"/>
  <c r="R488" i="1038"/>
  <c r="Q488" i="1038"/>
  <c r="P488" i="1038"/>
  <c r="N488" i="1038"/>
  <c r="M488" i="1038"/>
  <c r="O488" i="1038" s="1"/>
  <c r="P487" i="1038"/>
  <c r="R487" i="1038" s="1"/>
  <c r="N487" i="1038"/>
  <c r="O487" i="1038" s="1"/>
  <c r="M487" i="1038"/>
  <c r="P486" i="1038"/>
  <c r="O486" i="1038"/>
  <c r="N486" i="1038"/>
  <c r="M486" i="1038"/>
  <c r="R485" i="1038"/>
  <c r="Q485" i="1038"/>
  <c r="P485" i="1038"/>
  <c r="O485" i="1038"/>
  <c r="N485" i="1038"/>
  <c r="M485" i="1038"/>
  <c r="P484" i="1038"/>
  <c r="N484" i="1038"/>
  <c r="O484" i="1038" s="1"/>
  <c r="M484" i="1038"/>
  <c r="P483" i="1038"/>
  <c r="O483" i="1038"/>
  <c r="N483" i="1038"/>
  <c r="M483" i="1038"/>
  <c r="R482" i="1038"/>
  <c r="Q482" i="1038"/>
  <c r="P482" i="1038"/>
  <c r="O482" i="1038"/>
  <c r="N482" i="1038"/>
  <c r="M482" i="1038"/>
  <c r="P481" i="1038"/>
  <c r="R481" i="1038" s="1"/>
  <c r="N481" i="1038"/>
  <c r="M481" i="1038"/>
  <c r="P480" i="1038"/>
  <c r="O480" i="1038"/>
  <c r="N480" i="1038"/>
  <c r="M480" i="1038"/>
  <c r="R479" i="1038"/>
  <c r="Q479" i="1038"/>
  <c r="P479" i="1038"/>
  <c r="O479" i="1038"/>
  <c r="N479" i="1038"/>
  <c r="M479" i="1038"/>
  <c r="P478" i="1038"/>
  <c r="N478" i="1038"/>
  <c r="M478" i="1038"/>
  <c r="P477" i="1038"/>
  <c r="O477" i="1038"/>
  <c r="N477" i="1038"/>
  <c r="M477" i="1038"/>
  <c r="R476" i="1038"/>
  <c r="Q476" i="1038"/>
  <c r="P476" i="1038"/>
  <c r="O476" i="1038"/>
  <c r="N476" i="1038"/>
  <c r="L476" i="1038"/>
  <c r="P475" i="1038"/>
  <c r="R475" i="1038" s="1"/>
  <c r="N475" i="1038"/>
  <c r="M475" i="1038"/>
  <c r="P474" i="1038"/>
  <c r="O474" i="1038"/>
  <c r="N474" i="1038"/>
  <c r="M474" i="1038"/>
  <c r="R473" i="1038"/>
  <c r="P473" i="1038"/>
  <c r="N473" i="1038"/>
  <c r="M473" i="1038"/>
  <c r="U473" i="1038" s="1"/>
  <c r="P472" i="1038"/>
  <c r="N472" i="1038"/>
  <c r="M472" i="1038"/>
  <c r="P471" i="1038"/>
  <c r="O471" i="1038"/>
  <c r="N471" i="1038"/>
  <c r="M471" i="1038"/>
  <c r="R470" i="1038"/>
  <c r="S470" i="1038" s="1"/>
  <c r="Q470" i="1038"/>
  <c r="P470" i="1038"/>
  <c r="O470" i="1038"/>
  <c r="N470" i="1038"/>
  <c r="M470" i="1038"/>
  <c r="P469" i="1038"/>
  <c r="N469" i="1038"/>
  <c r="M469" i="1038"/>
  <c r="P468" i="1038"/>
  <c r="N468" i="1038"/>
  <c r="M468" i="1038"/>
  <c r="O468" i="1038" s="1"/>
  <c r="U467" i="1038"/>
  <c r="R467" i="1038"/>
  <c r="S467" i="1038" s="1"/>
  <c r="Q467" i="1038"/>
  <c r="P467" i="1038"/>
  <c r="O467" i="1038"/>
  <c r="N467" i="1038"/>
  <c r="M467" i="1038"/>
  <c r="P466" i="1038"/>
  <c r="N466" i="1038"/>
  <c r="M466" i="1038"/>
  <c r="P465" i="1038"/>
  <c r="O465" i="1038"/>
  <c r="N465" i="1038"/>
  <c r="M465" i="1038"/>
  <c r="R464" i="1038"/>
  <c r="S464" i="1038" s="1"/>
  <c r="Q464" i="1038"/>
  <c r="P464" i="1038"/>
  <c r="N464" i="1038"/>
  <c r="M464" i="1038"/>
  <c r="O464" i="1038" s="1"/>
  <c r="P463" i="1038"/>
  <c r="N463" i="1038"/>
  <c r="M463" i="1038"/>
  <c r="P462" i="1038"/>
  <c r="N462" i="1038"/>
  <c r="M462" i="1038"/>
  <c r="R461" i="1038"/>
  <c r="Q461" i="1038"/>
  <c r="P461" i="1038"/>
  <c r="O461" i="1038"/>
  <c r="N461" i="1038"/>
  <c r="M461" i="1038"/>
  <c r="P460" i="1038"/>
  <c r="N460" i="1038"/>
  <c r="O460" i="1038" s="1"/>
  <c r="M460" i="1038"/>
  <c r="P459" i="1038"/>
  <c r="N459" i="1038"/>
  <c r="O459" i="1038" s="1"/>
  <c r="M459" i="1038"/>
  <c r="R458" i="1038"/>
  <c r="S458" i="1038" s="1"/>
  <c r="Q458" i="1038"/>
  <c r="P458" i="1038"/>
  <c r="N458" i="1038"/>
  <c r="M458" i="1038"/>
  <c r="O458" i="1038" s="1"/>
  <c r="P457" i="1038"/>
  <c r="N457" i="1038"/>
  <c r="M457" i="1038"/>
  <c r="P456" i="1038"/>
  <c r="N456" i="1038"/>
  <c r="M456" i="1038"/>
  <c r="R455" i="1038"/>
  <c r="S455" i="1038" s="1"/>
  <c r="Q455" i="1038"/>
  <c r="P455" i="1038"/>
  <c r="O455" i="1038"/>
  <c r="N455" i="1038"/>
  <c r="M455" i="1038"/>
  <c r="P454" i="1038"/>
  <c r="N454" i="1038"/>
  <c r="M454" i="1038"/>
  <c r="P453" i="1038"/>
  <c r="N453" i="1038"/>
  <c r="O453" i="1038" s="1"/>
  <c r="M453" i="1038"/>
  <c r="R452" i="1038"/>
  <c r="S452" i="1038" s="1"/>
  <c r="Q452" i="1038"/>
  <c r="P452" i="1038"/>
  <c r="O452" i="1038"/>
  <c r="N452" i="1038"/>
  <c r="M452" i="1038"/>
  <c r="P451" i="1038"/>
  <c r="N451" i="1038"/>
  <c r="M451" i="1038"/>
  <c r="P450" i="1038"/>
  <c r="N450" i="1038"/>
  <c r="M450" i="1038"/>
  <c r="R449" i="1038"/>
  <c r="Q449" i="1038"/>
  <c r="P449" i="1038"/>
  <c r="O449" i="1038"/>
  <c r="N449" i="1038"/>
  <c r="M449" i="1038"/>
  <c r="P448" i="1038"/>
  <c r="N448" i="1038"/>
  <c r="O448" i="1038" s="1"/>
  <c r="M448" i="1038"/>
  <c r="P447" i="1038"/>
  <c r="N447" i="1038"/>
  <c r="M447" i="1038"/>
  <c r="R446" i="1038"/>
  <c r="S446" i="1038" s="1"/>
  <c r="Q446" i="1038"/>
  <c r="P446" i="1038"/>
  <c r="O446" i="1038"/>
  <c r="N446" i="1038"/>
  <c r="M446" i="1038"/>
  <c r="P445" i="1038"/>
  <c r="N445" i="1038"/>
  <c r="M445" i="1038"/>
  <c r="P444" i="1038"/>
  <c r="N444" i="1038"/>
  <c r="O444" i="1038" s="1"/>
  <c r="M444" i="1038"/>
  <c r="R443" i="1038"/>
  <c r="S443" i="1038" s="1"/>
  <c r="Q443" i="1038"/>
  <c r="P443" i="1038"/>
  <c r="O443" i="1038"/>
  <c r="N443" i="1038"/>
  <c r="M443" i="1038"/>
  <c r="P442" i="1038"/>
  <c r="N442" i="1038"/>
  <c r="M442" i="1038"/>
  <c r="P441" i="1038"/>
  <c r="N441" i="1038"/>
  <c r="O441" i="1038" s="1"/>
  <c r="M441" i="1038"/>
  <c r="U440" i="1038"/>
  <c r="R440" i="1038"/>
  <c r="S440" i="1038" s="1"/>
  <c r="Q440" i="1038"/>
  <c r="P440" i="1038"/>
  <c r="O440" i="1038"/>
  <c r="N440" i="1038"/>
  <c r="M440" i="1038"/>
  <c r="P439" i="1038"/>
  <c r="N439" i="1038"/>
  <c r="M439" i="1038"/>
  <c r="P438" i="1038"/>
  <c r="N438" i="1038"/>
  <c r="O438" i="1038" s="1"/>
  <c r="M438" i="1038"/>
  <c r="R437" i="1038"/>
  <c r="Q437" i="1038"/>
  <c r="P437" i="1038"/>
  <c r="O437" i="1038"/>
  <c r="N437" i="1038"/>
  <c r="M437" i="1038"/>
  <c r="P436" i="1038"/>
  <c r="N436" i="1038"/>
  <c r="O436" i="1038" s="1"/>
  <c r="M436" i="1038"/>
  <c r="P435" i="1038"/>
  <c r="N435" i="1038"/>
  <c r="O435" i="1038" s="1"/>
  <c r="M435" i="1038"/>
  <c r="R434" i="1038"/>
  <c r="S434" i="1038" s="1"/>
  <c r="Q434" i="1038"/>
  <c r="P434" i="1038"/>
  <c r="O434" i="1038"/>
  <c r="N434" i="1038"/>
  <c r="M434" i="1038"/>
  <c r="P433" i="1038"/>
  <c r="N433" i="1038"/>
  <c r="M433" i="1038"/>
  <c r="P432" i="1038"/>
  <c r="N432" i="1038"/>
  <c r="O432" i="1038" s="1"/>
  <c r="M432" i="1038"/>
  <c r="R431" i="1038"/>
  <c r="S431" i="1038" s="1"/>
  <c r="Q431" i="1038"/>
  <c r="P431" i="1038"/>
  <c r="O431" i="1038"/>
  <c r="N431" i="1038"/>
  <c r="M431" i="1038"/>
  <c r="P430" i="1038"/>
  <c r="N430" i="1038"/>
  <c r="M430" i="1038"/>
  <c r="P429" i="1038"/>
  <c r="N429" i="1038"/>
  <c r="M429" i="1038"/>
  <c r="U428" i="1038"/>
  <c r="R428" i="1038"/>
  <c r="S428" i="1038" s="1"/>
  <c r="Q428" i="1038"/>
  <c r="P428" i="1038"/>
  <c r="N428" i="1038"/>
  <c r="M428" i="1038"/>
  <c r="O428" i="1038" s="1"/>
  <c r="P427" i="1038"/>
  <c r="N427" i="1038"/>
  <c r="O427" i="1038" s="1"/>
  <c r="M427" i="1038"/>
  <c r="P426" i="1038"/>
  <c r="R426" i="1038" s="1"/>
  <c r="S426" i="1038" s="1"/>
  <c r="N426" i="1038"/>
  <c r="O426" i="1038" s="1"/>
  <c r="M426" i="1038"/>
  <c r="P425" i="1038"/>
  <c r="N425" i="1038"/>
  <c r="M425" i="1038"/>
  <c r="O425" i="1038" s="1"/>
  <c r="P424" i="1038"/>
  <c r="N424" i="1038"/>
  <c r="O424" i="1038" s="1"/>
  <c r="M424" i="1038"/>
  <c r="P423" i="1038"/>
  <c r="R423" i="1038" s="1"/>
  <c r="N423" i="1038"/>
  <c r="L423" i="1038"/>
  <c r="M423" i="1038" s="1"/>
  <c r="R422" i="1038"/>
  <c r="S422" i="1038" s="1"/>
  <c r="Q422" i="1038"/>
  <c r="P422" i="1038"/>
  <c r="N422" i="1038"/>
  <c r="M422" i="1038"/>
  <c r="P421" i="1038"/>
  <c r="R421" i="1038" s="1"/>
  <c r="N421" i="1038"/>
  <c r="M421" i="1038"/>
  <c r="Q421" i="1038" s="1"/>
  <c r="R420" i="1038"/>
  <c r="P420" i="1038"/>
  <c r="N420" i="1038"/>
  <c r="M420" i="1038"/>
  <c r="R419" i="1038"/>
  <c r="P419" i="1038"/>
  <c r="N419" i="1038"/>
  <c r="M419" i="1038"/>
  <c r="U419" i="1038" s="1"/>
  <c r="Q418" i="1038"/>
  <c r="P418" i="1038"/>
  <c r="R418" i="1038" s="1"/>
  <c r="S418" i="1038" s="1"/>
  <c r="N418" i="1038"/>
  <c r="M418" i="1038"/>
  <c r="R417" i="1038"/>
  <c r="P417" i="1038"/>
  <c r="N417" i="1038"/>
  <c r="M417" i="1038"/>
  <c r="R416" i="1038"/>
  <c r="S416" i="1038" s="1"/>
  <c r="Q416" i="1038"/>
  <c r="P416" i="1038"/>
  <c r="N416" i="1038"/>
  <c r="O416" i="1038" s="1"/>
  <c r="M416" i="1038"/>
  <c r="P415" i="1038"/>
  <c r="R415" i="1038" s="1"/>
  <c r="N415" i="1038"/>
  <c r="M415" i="1038"/>
  <c r="R414" i="1038"/>
  <c r="S414" i="1038" s="1"/>
  <c r="P414" i="1038"/>
  <c r="N414" i="1038"/>
  <c r="M414" i="1038"/>
  <c r="R413" i="1038"/>
  <c r="S413" i="1038" s="1"/>
  <c r="Q413" i="1038"/>
  <c r="P413" i="1038"/>
  <c r="N413" i="1038"/>
  <c r="O413" i="1038" s="1"/>
  <c r="M413" i="1038"/>
  <c r="P412" i="1038"/>
  <c r="R412" i="1038" s="1"/>
  <c r="N412" i="1038"/>
  <c r="M412" i="1038"/>
  <c r="R411" i="1038"/>
  <c r="S411" i="1038" s="1"/>
  <c r="P411" i="1038"/>
  <c r="N411" i="1038"/>
  <c r="M411" i="1038"/>
  <c r="U410" i="1038"/>
  <c r="S410" i="1038"/>
  <c r="R410" i="1038"/>
  <c r="Q410" i="1038"/>
  <c r="P410" i="1038"/>
  <c r="N410" i="1038"/>
  <c r="O410" i="1038" s="1"/>
  <c r="M410" i="1038"/>
  <c r="P409" i="1038"/>
  <c r="R409" i="1038" s="1"/>
  <c r="N409" i="1038"/>
  <c r="M409" i="1038"/>
  <c r="R408" i="1038"/>
  <c r="P408" i="1038"/>
  <c r="N408" i="1038"/>
  <c r="M408" i="1038"/>
  <c r="R407" i="1038"/>
  <c r="U407" i="1038" s="1"/>
  <c r="Q407" i="1038"/>
  <c r="P407" i="1038"/>
  <c r="N407" i="1038"/>
  <c r="O407" i="1038" s="1"/>
  <c r="M407" i="1038"/>
  <c r="Q406" i="1038"/>
  <c r="P406" i="1038"/>
  <c r="R406" i="1038" s="1"/>
  <c r="N406" i="1038"/>
  <c r="M406" i="1038"/>
  <c r="R405" i="1038"/>
  <c r="P405" i="1038"/>
  <c r="N405" i="1038"/>
  <c r="M405" i="1038"/>
  <c r="R404" i="1038"/>
  <c r="S404" i="1038" s="1"/>
  <c r="Q404" i="1038"/>
  <c r="P404" i="1038"/>
  <c r="N404" i="1038"/>
  <c r="O404" i="1038" s="1"/>
  <c r="M404" i="1038"/>
  <c r="Q403" i="1038"/>
  <c r="P403" i="1038"/>
  <c r="R403" i="1038" s="1"/>
  <c r="N403" i="1038"/>
  <c r="M403" i="1038"/>
  <c r="R402" i="1038"/>
  <c r="P402" i="1038"/>
  <c r="N402" i="1038"/>
  <c r="M402" i="1038"/>
  <c r="U401" i="1038"/>
  <c r="R401" i="1038"/>
  <c r="S401" i="1038" s="1"/>
  <c r="Q401" i="1038"/>
  <c r="P401" i="1038"/>
  <c r="N401" i="1038"/>
  <c r="O401" i="1038" s="1"/>
  <c r="M401" i="1038"/>
  <c r="P400" i="1038"/>
  <c r="R400" i="1038" s="1"/>
  <c r="N400" i="1038"/>
  <c r="M400" i="1038"/>
  <c r="R399" i="1038"/>
  <c r="S399" i="1038" s="1"/>
  <c r="P399" i="1038"/>
  <c r="N399" i="1038"/>
  <c r="M399" i="1038"/>
  <c r="R398" i="1038"/>
  <c r="S398" i="1038" s="1"/>
  <c r="P398" i="1038"/>
  <c r="N398" i="1038"/>
  <c r="M398" i="1038"/>
  <c r="U398" i="1038" s="1"/>
  <c r="P397" i="1038"/>
  <c r="R397" i="1038" s="1"/>
  <c r="N397" i="1038"/>
  <c r="M397" i="1038"/>
  <c r="R396" i="1038"/>
  <c r="P396" i="1038"/>
  <c r="N396" i="1038"/>
  <c r="M396" i="1038"/>
  <c r="S395" i="1038"/>
  <c r="R395" i="1038"/>
  <c r="U395" i="1038" s="1"/>
  <c r="Q395" i="1038"/>
  <c r="P395" i="1038"/>
  <c r="N395" i="1038"/>
  <c r="O395" i="1038" s="1"/>
  <c r="M395" i="1038"/>
  <c r="Q394" i="1038"/>
  <c r="P394" i="1038"/>
  <c r="R394" i="1038" s="1"/>
  <c r="N394" i="1038"/>
  <c r="M394" i="1038"/>
  <c r="R393" i="1038"/>
  <c r="P393" i="1038"/>
  <c r="N393" i="1038"/>
  <c r="M393" i="1038"/>
  <c r="S392" i="1038"/>
  <c r="R392" i="1038"/>
  <c r="U392" i="1038" s="1"/>
  <c r="Q392" i="1038"/>
  <c r="P392" i="1038"/>
  <c r="N392" i="1038"/>
  <c r="O392" i="1038" s="1"/>
  <c r="M392" i="1038"/>
  <c r="P391" i="1038"/>
  <c r="R391" i="1038" s="1"/>
  <c r="N391" i="1038"/>
  <c r="M391" i="1038"/>
  <c r="R390" i="1038"/>
  <c r="P390" i="1038"/>
  <c r="N390" i="1038"/>
  <c r="M390" i="1038"/>
  <c r="R389" i="1038"/>
  <c r="S389" i="1038" s="1"/>
  <c r="P389" i="1038"/>
  <c r="N389" i="1038"/>
  <c r="M389" i="1038"/>
  <c r="Q389" i="1038" s="1"/>
  <c r="P388" i="1038"/>
  <c r="R388" i="1038" s="1"/>
  <c r="N388" i="1038"/>
  <c r="M388" i="1038"/>
  <c r="R387" i="1038"/>
  <c r="P387" i="1038"/>
  <c r="N387" i="1038"/>
  <c r="M387" i="1038"/>
  <c r="L387" i="1038"/>
  <c r="R386" i="1038"/>
  <c r="P386" i="1038"/>
  <c r="N386" i="1038"/>
  <c r="M386" i="1038"/>
  <c r="Q386" i="1038" s="1"/>
  <c r="P385" i="1038"/>
  <c r="Q385" i="1038" s="1"/>
  <c r="N385" i="1038"/>
  <c r="M385" i="1038"/>
  <c r="P384" i="1038"/>
  <c r="N384" i="1038"/>
  <c r="M384" i="1038"/>
  <c r="R383" i="1038"/>
  <c r="Q383" i="1038"/>
  <c r="P383" i="1038"/>
  <c r="N383" i="1038"/>
  <c r="O383" i="1038" s="1"/>
  <c r="P382" i="1038"/>
  <c r="R382" i="1038" s="1"/>
  <c r="N382" i="1038"/>
  <c r="M382" i="1038"/>
  <c r="P381" i="1038"/>
  <c r="R381" i="1038" s="1"/>
  <c r="N381" i="1038"/>
  <c r="M381" i="1038"/>
  <c r="R380" i="1038"/>
  <c r="S380" i="1038" s="1"/>
  <c r="Q380" i="1038"/>
  <c r="P380" i="1038"/>
  <c r="N380" i="1038"/>
  <c r="M380" i="1038"/>
  <c r="U380" i="1038" s="1"/>
  <c r="P379" i="1038"/>
  <c r="R379" i="1038" s="1"/>
  <c r="S379" i="1038" s="1"/>
  <c r="N379" i="1038"/>
  <c r="M379" i="1038"/>
  <c r="Q379" i="1038" s="1"/>
  <c r="L379" i="1038"/>
  <c r="P378" i="1038"/>
  <c r="N378" i="1038"/>
  <c r="M378" i="1038"/>
  <c r="R377" i="1038"/>
  <c r="Q377" i="1038"/>
  <c r="P377" i="1038"/>
  <c r="N377" i="1038"/>
  <c r="O377" i="1038" s="1"/>
  <c r="M377" i="1038"/>
  <c r="R376" i="1038"/>
  <c r="P376" i="1038"/>
  <c r="N376" i="1038"/>
  <c r="M376" i="1038"/>
  <c r="U376" i="1038" s="1"/>
  <c r="P375" i="1038"/>
  <c r="N375" i="1038"/>
  <c r="M375" i="1038"/>
  <c r="R374" i="1038"/>
  <c r="Q374" i="1038"/>
  <c r="P374" i="1038"/>
  <c r="N374" i="1038"/>
  <c r="O374" i="1038" s="1"/>
  <c r="M374" i="1038"/>
  <c r="R373" i="1038"/>
  <c r="P373" i="1038"/>
  <c r="N373" i="1038"/>
  <c r="M373" i="1038"/>
  <c r="U373" i="1038" s="1"/>
  <c r="P372" i="1038"/>
  <c r="N372" i="1038"/>
  <c r="M372" i="1038"/>
  <c r="R371" i="1038"/>
  <c r="P371" i="1038"/>
  <c r="N371" i="1038"/>
  <c r="M371" i="1038"/>
  <c r="Q371" i="1038" s="1"/>
  <c r="P370" i="1038"/>
  <c r="Q370" i="1038" s="1"/>
  <c r="N370" i="1038"/>
  <c r="M370" i="1038"/>
  <c r="P369" i="1038"/>
  <c r="N369" i="1038"/>
  <c r="M369" i="1038"/>
  <c r="R368" i="1038"/>
  <c r="P368" i="1038"/>
  <c r="N368" i="1038"/>
  <c r="O368" i="1038" s="1"/>
  <c r="M368" i="1038"/>
  <c r="Q368" i="1038" s="1"/>
  <c r="P367" i="1038"/>
  <c r="Q367" i="1038" s="1"/>
  <c r="N367" i="1038"/>
  <c r="M367" i="1038"/>
  <c r="L367" i="1038"/>
  <c r="P366" i="1038"/>
  <c r="N366" i="1038"/>
  <c r="R366" i="1038" s="1"/>
  <c r="S366" i="1038" s="1"/>
  <c r="M366" i="1038"/>
  <c r="U366" i="1038" s="1"/>
  <c r="P365" i="1038"/>
  <c r="R365" i="1038" s="1"/>
  <c r="O365" i="1038"/>
  <c r="N365" i="1038"/>
  <c r="M365" i="1038"/>
  <c r="R364" i="1038"/>
  <c r="S364" i="1038" s="1"/>
  <c r="Q364" i="1038"/>
  <c r="P364" i="1038"/>
  <c r="O364" i="1038"/>
  <c r="N364" i="1038"/>
  <c r="M364" i="1038"/>
  <c r="U364" i="1038" s="1"/>
  <c r="P363" i="1038"/>
  <c r="O363" i="1038"/>
  <c r="N363" i="1038"/>
  <c r="R363" i="1038" s="1"/>
  <c r="S363" i="1038" s="1"/>
  <c r="M363" i="1038"/>
  <c r="P362" i="1038"/>
  <c r="R362" i="1038" s="1"/>
  <c r="O362" i="1038"/>
  <c r="N362" i="1038"/>
  <c r="M362" i="1038"/>
  <c r="R361" i="1038"/>
  <c r="S361" i="1038" s="1"/>
  <c r="Q361" i="1038"/>
  <c r="P361" i="1038"/>
  <c r="O361" i="1038"/>
  <c r="N361" i="1038"/>
  <c r="M361" i="1038"/>
  <c r="U361" i="1038" s="1"/>
  <c r="P360" i="1038"/>
  <c r="O360" i="1038"/>
  <c r="N360" i="1038"/>
  <c r="R360" i="1038" s="1"/>
  <c r="S360" i="1038" s="1"/>
  <c r="M360" i="1038"/>
  <c r="P359" i="1038"/>
  <c r="R359" i="1038" s="1"/>
  <c r="S359" i="1038" s="1"/>
  <c r="N359" i="1038"/>
  <c r="M359" i="1038"/>
  <c r="U359" i="1038" s="1"/>
  <c r="R358" i="1038"/>
  <c r="S358" i="1038" s="1"/>
  <c r="P358" i="1038"/>
  <c r="O358" i="1038"/>
  <c r="N358" i="1038"/>
  <c r="M358" i="1038"/>
  <c r="U358" i="1038" s="1"/>
  <c r="P357" i="1038"/>
  <c r="N357" i="1038"/>
  <c r="R357" i="1038" s="1"/>
  <c r="M357" i="1038"/>
  <c r="U357" i="1038" s="1"/>
  <c r="S356" i="1038"/>
  <c r="P356" i="1038"/>
  <c r="R356" i="1038" s="1"/>
  <c r="N356" i="1038"/>
  <c r="O356" i="1038" s="1"/>
  <c r="M356" i="1038"/>
  <c r="R355" i="1038"/>
  <c r="S355" i="1038" s="1"/>
  <c r="Q355" i="1038"/>
  <c r="P355" i="1038"/>
  <c r="O355" i="1038"/>
  <c r="N355" i="1038"/>
  <c r="M355" i="1038"/>
  <c r="P354" i="1038"/>
  <c r="O354" i="1038"/>
  <c r="N354" i="1038"/>
  <c r="R354" i="1038" s="1"/>
  <c r="S354" i="1038" s="1"/>
  <c r="M354" i="1038"/>
  <c r="P353" i="1038"/>
  <c r="R353" i="1038" s="1"/>
  <c r="S353" i="1038" s="1"/>
  <c r="N353" i="1038"/>
  <c r="O353" i="1038" s="1"/>
  <c r="M353" i="1038"/>
  <c r="R352" i="1038"/>
  <c r="S352" i="1038" s="1"/>
  <c r="Q352" i="1038"/>
  <c r="P352" i="1038"/>
  <c r="O352" i="1038"/>
  <c r="N352" i="1038"/>
  <c r="M352" i="1038"/>
  <c r="P351" i="1038"/>
  <c r="O351" i="1038"/>
  <c r="N351" i="1038"/>
  <c r="R351" i="1038" s="1"/>
  <c r="S351" i="1038" s="1"/>
  <c r="M351" i="1038"/>
  <c r="S350" i="1038"/>
  <c r="P350" i="1038"/>
  <c r="R350" i="1038" s="1"/>
  <c r="N350" i="1038"/>
  <c r="O350" i="1038" s="1"/>
  <c r="M350" i="1038"/>
  <c r="R349" i="1038"/>
  <c r="S349" i="1038" s="1"/>
  <c r="Q349" i="1038"/>
  <c r="P349" i="1038"/>
  <c r="O349" i="1038"/>
  <c r="N349" i="1038"/>
  <c r="M349" i="1038"/>
  <c r="U349" i="1038" s="1"/>
  <c r="P348" i="1038"/>
  <c r="R348" i="1038" s="1"/>
  <c r="S348" i="1038" s="1"/>
  <c r="O348" i="1038"/>
  <c r="N348" i="1038"/>
  <c r="M348" i="1038"/>
  <c r="P347" i="1038"/>
  <c r="R347" i="1038" s="1"/>
  <c r="S347" i="1038" s="1"/>
  <c r="N347" i="1038"/>
  <c r="O347" i="1038" s="1"/>
  <c r="M347" i="1038"/>
  <c r="R346" i="1038"/>
  <c r="U346" i="1038" s="1"/>
  <c r="Q346" i="1038"/>
  <c r="P346" i="1038"/>
  <c r="O346" i="1038"/>
  <c r="N346" i="1038"/>
  <c r="M346" i="1038"/>
  <c r="P345" i="1038"/>
  <c r="R345" i="1038" s="1"/>
  <c r="N345" i="1038"/>
  <c r="M345" i="1038"/>
  <c r="U345" i="1038" s="1"/>
  <c r="L345" i="1038"/>
  <c r="P344" i="1038"/>
  <c r="R344" i="1038" s="1"/>
  <c r="N344" i="1038"/>
  <c r="M344" i="1038"/>
  <c r="P343" i="1038"/>
  <c r="N343" i="1038"/>
  <c r="O343" i="1038" s="1"/>
  <c r="M343" i="1038"/>
  <c r="P342" i="1038"/>
  <c r="N342" i="1038"/>
  <c r="O342" i="1038" s="1"/>
  <c r="M342" i="1038"/>
  <c r="P341" i="1038"/>
  <c r="R341" i="1038" s="1"/>
  <c r="S341" i="1038" s="1"/>
  <c r="N341" i="1038"/>
  <c r="M341" i="1038"/>
  <c r="Q341" i="1038" s="1"/>
  <c r="P340" i="1038"/>
  <c r="N340" i="1038"/>
  <c r="M340" i="1038"/>
  <c r="P339" i="1038"/>
  <c r="N339" i="1038"/>
  <c r="O339" i="1038" s="1"/>
  <c r="M339" i="1038"/>
  <c r="P338" i="1038"/>
  <c r="R338" i="1038" s="1"/>
  <c r="N338" i="1038"/>
  <c r="M338" i="1038"/>
  <c r="P337" i="1038"/>
  <c r="N337" i="1038"/>
  <c r="O337" i="1038" s="1"/>
  <c r="M337" i="1038"/>
  <c r="P336" i="1038"/>
  <c r="N336" i="1038"/>
  <c r="O336" i="1038" s="1"/>
  <c r="M336" i="1038"/>
  <c r="P335" i="1038"/>
  <c r="R335" i="1038" s="1"/>
  <c r="S335" i="1038" s="1"/>
  <c r="N335" i="1038"/>
  <c r="O335" i="1038" s="1"/>
  <c r="M335" i="1038"/>
  <c r="P334" i="1038"/>
  <c r="N334" i="1038"/>
  <c r="O334" i="1038" s="1"/>
  <c r="M334" i="1038"/>
  <c r="P333" i="1038"/>
  <c r="N333" i="1038"/>
  <c r="O333" i="1038" s="1"/>
  <c r="M333" i="1038"/>
  <c r="P332" i="1038"/>
  <c r="R332" i="1038" s="1"/>
  <c r="S332" i="1038" s="1"/>
  <c r="N332" i="1038"/>
  <c r="O332" i="1038" s="1"/>
  <c r="M332" i="1038"/>
  <c r="P331" i="1038"/>
  <c r="N331" i="1038"/>
  <c r="M331" i="1038"/>
  <c r="O331" i="1038" s="1"/>
  <c r="P330" i="1038"/>
  <c r="N330" i="1038"/>
  <c r="O330" i="1038" s="1"/>
  <c r="M330" i="1038"/>
  <c r="P329" i="1038"/>
  <c r="R329" i="1038" s="1"/>
  <c r="N329" i="1038"/>
  <c r="O329" i="1038" s="1"/>
  <c r="M329" i="1038"/>
  <c r="P328" i="1038"/>
  <c r="N328" i="1038"/>
  <c r="O328" i="1038" s="1"/>
  <c r="M328" i="1038"/>
  <c r="P327" i="1038"/>
  <c r="N327" i="1038"/>
  <c r="O327" i="1038" s="1"/>
  <c r="M327" i="1038"/>
  <c r="P326" i="1038"/>
  <c r="R326" i="1038" s="1"/>
  <c r="S326" i="1038" s="1"/>
  <c r="N326" i="1038"/>
  <c r="O326" i="1038" s="1"/>
  <c r="M326" i="1038"/>
  <c r="P325" i="1038"/>
  <c r="N325" i="1038"/>
  <c r="O325" i="1038" s="1"/>
  <c r="M325" i="1038"/>
  <c r="P324" i="1038"/>
  <c r="N324" i="1038"/>
  <c r="O324" i="1038" s="1"/>
  <c r="M324" i="1038"/>
  <c r="P323" i="1038"/>
  <c r="R323" i="1038" s="1"/>
  <c r="S323" i="1038" s="1"/>
  <c r="N323" i="1038"/>
  <c r="M323" i="1038"/>
  <c r="O323" i="1038" s="1"/>
  <c r="P322" i="1038"/>
  <c r="N322" i="1038"/>
  <c r="O322" i="1038" s="1"/>
  <c r="M322" i="1038"/>
  <c r="P321" i="1038"/>
  <c r="N321" i="1038"/>
  <c r="O321" i="1038" s="1"/>
  <c r="M321" i="1038"/>
  <c r="P320" i="1038"/>
  <c r="R320" i="1038" s="1"/>
  <c r="N320" i="1038"/>
  <c r="O320" i="1038" s="1"/>
  <c r="M320" i="1038"/>
  <c r="P319" i="1038"/>
  <c r="R319" i="1038" s="1"/>
  <c r="S319" i="1038" s="1"/>
  <c r="N319" i="1038"/>
  <c r="O319" i="1038" s="1"/>
  <c r="M319" i="1038"/>
  <c r="P318" i="1038"/>
  <c r="N318" i="1038"/>
  <c r="M318" i="1038"/>
  <c r="P317" i="1038"/>
  <c r="R317" i="1038" s="1"/>
  <c r="N317" i="1038"/>
  <c r="O317" i="1038" s="1"/>
  <c r="M317" i="1038"/>
  <c r="U316" i="1038"/>
  <c r="P316" i="1038"/>
  <c r="R316" i="1038" s="1"/>
  <c r="N316" i="1038"/>
  <c r="M316" i="1038"/>
  <c r="P315" i="1038"/>
  <c r="N315" i="1038"/>
  <c r="O315" i="1038" s="1"/>
  <c r="M315" i="1038"/>
  <c r="P314" i="1038"/>
  <c r="R314" i="1038" s="1"/>
  <c r="N314" i="1038"/>
  <c r="O314" i="1038" s="1"/>
  <c r="M314" i="1038"/>
  <c r="P313" i="1038"/>
  <c r="R313" i="1038" s="1"/>
  <c r="S313" i="1038" s="1"/>
  <c r="N313" i="1038"/>
  <c r="O313" i="1038" s="1"/>
  <c r="M313" i="1038"/>
  <c r="P312" i="1038"/>
  <c r="N312" i="1038"/>
  <c r="O312" i="1038" s="1"/>
  <c r="M312" i="1038"/>
  <c r="P311" i="1038"/>
  <c r="R311" i="1038" s="1"/>
  <c r="N311" i="1038"/>
  <c r="M311" i="1038"/>
  <c r="O311" i="1038" s="1"/>
  <c r="U310" i="1038"/>
  <c r="P310" i="1038"/>
  <c r="R310" i="1038" s="1"/>
  <c r="S310" i="1038" s="1"/>
  <c r="N310" i="1038"/>
  <c r="O310" i="1038" s="1"/>
  <c r="M310" i="1038"/>
  <c r="P309" i="1038"/>
  <c r="N309" i="1038"/>
  <c r="O309" i="1038" s="1"/>
  <c r="M309" i="1038"/>
  <c r="P308" i="1038"/>
  <c r="R308" i="1038" s="1"/>
  <c r="O308" i="1038"/>
  <c r="N308" i="1038"/>
  <c r="M308" i="1038"/>
  <c r="Q307" i="1038"/>
  <c r="P307" i="1038"/>
  <c r="R307" i="1038" s="1"/>
  <c r="S307" i="1038" s="1"/>
  <c r="N307" i="1038"/>
  <c r="O307" i="1038" s="1"/>
  <c r="M307" i="1038"/>
  <c r="P306" i="1038"/>
  <c r="N306" i="1038"/>
  <c r="M306" i="1038"/>
  <c r="P305" i="1038"/>
  <c r="R305" i="1038" s="1"/>
  <c r="N305" i="1038"/>
  <c r="M305" i="1038"/>
  <c r="U305" i="1038" s="1"/>
  <c r="U304" i="1038"/>
  <c r="Q304" i="1038"/>
  <c r="P304" i="1038"/>
  <c r="R304" i="1038" s="1"/>
  <c r="S304" i="1038" s="1"/>
  <c r="N304" i="1038"/>
  <c r="O304" i="1038" s="1"/>
  <c r="M304" i="1038"/>
  <c r="P303" i="1038"/>
  <c r="N303" i="1038"/>
  <c r="M303" i="1038"/>
  <c r="U302" i="1038"/>
  <c r="P302" i="1038"/>
  <c r="R302" i="1038" s="1"/>
  <c r="S302" i="1038" s="1"/>
  <c r="O302" i="1038"/>
  <c r="N302" i="1038"/>
  <c r="M302" i="1038"/>
  <c r="P301" i="1038"/>
  <c r="R301" i="1038" s="1"/>
  <c r="S301" i="1038" s="1"/>
  <c r="N301" i="1038"/>
  <c r="O301" i="1038" s="1"/>
  <c r="M301" i="1038"/>
  <c r="P300" i="1038"/>
  <c r="N300" i="1038"/>
  <c r="M300" i="1038"/>
  <c r="P299" i="1038"/>
  <c r="R299" i="1038" s="1"/>
  <c r="O299" i="1038"/>
  <c r="N299" i="1038"/>
  <c r="M299" i="1038"/>
  <c r="P298" i="1038"/>
  <c r="R298" i="1038" s="1"/>
  <c r="S298" i="1038" s="1"/>
  <c r="N298" i="1038"/>
  <c r="O298" i="1038" s="1"/>
  <c r="M298" i="1038"/>
  <c r="P297" i="1038"/>
  <c r="N297" i="1038"/>
  <c r="O297" i="1038" s="1"/>
  <c r="M297" i="1038"/>
  <c r="Q296" i="1038"/>
  <c r="P296" i="1038"/>
  <c r="R296" i="1038" s="1"/>
  <c r="S296" i="1038" s="1"/>
  <c r="N296" i="1038"/>
  <c r="M296" i="1038"/>
  <c r="O296" i="1038" s="1"/>
  <c r="Q295" i="1038"/>
  <c r="P295" i="1038"/>
  <c r="R295" i="1038" s="1"/>
  <c r="S295" i="1038" s="1"/>
  <c r="N295" i="1038"/>
  <c r="O295" i="1038" s="1"/>
  <c r="M295" i="1038"/>
  <c r="P294" i="1038"/>
  <c r="N294" i="1038"/>
  <c r="M294" i="1038"/>
  <c r="P293" i="1038"/>
  <c r="R293" i="1038" s="1"/>
  <c r="N293" i="1038"/>
  <c r="M293" i="1038"/>
  <c r="Q293" i="1038" s="1"/>
  <c r="P292" i="1038"/>
  <c r="R292" i="1038" s="1"/>
  <c r="N292" i="1038"/>
  <c r="M292" i="1038"/>
  <c r="U292" i="1038" s="1"/>
  <c r="P291" i="1038"/>
  <c r="N291" i="1038"/>
  <c r="O291" i="1038" s="1"/>
  <c r="M291" i="1038"/>
  <c r="P290" i="1038"/>
  <c r="R290" i="1038" s="1"/>
  <c r="N290" i="1038"/>
  <c r="M290" i="1038"/>
  <c r="U290" i="1038" s="1"/>
  <c r="P289" i="1038"/>
  <c r="N289" i="1038"/>
  <c r="O289" i="1038" s="1"/>
  <c r="M289" i="1038"/>
  <c r="P288" i="1038"/>
  <c r="N288" i="1038"/>
  <c r="M288" i="1038"/>
  <c r="U287" i="1038"/>
  <c r="P287" i="1038"/>
  <c r="R287" i="1038" s="1"/>
  <c r="N287" i="1038"/>
  <c r="O287" i="1038" s="1"/>
  <c r="M287" i="1038"/>
  <c r="Q286" i="1038"/>
  <c r="P286" i="1038"/>
  <c r="N286" i="1038"/>
  <c r="M286" i="1038"/>
  <c r="P285" i="1038"/>
  <c r="N285" i="1038"/>
  <c r="M285" i="1038"/>
  <c r="R284" i="1038"/>
  <c r="S284" i="1038" s="1"/>
  <c r="Q284" i="1038"/>
  <c r="P284" i="1038"/>
  <c r="O284" i="1038"/>
  <c r="N284" i="1038"/>
  <c r="M284" i="1038"/>
  <c r="P283" i="1038"/>
  <c r="R283" i="1038" s="1"/>
  <c r="N283" i="1038"/>
  <c r="O283" i="1038" s="1"/>
  <c r="M283" i="1038"/>
  <c r="P282" i="1038"/>
  <c r="N282" i="1038"/>
  <c r="R282" i="1038" s="1"/>
  <c r="S282" i="1038" s="1"/>
  <c r="M282" i="1038"/>
  <c r="U282" i="1038" s="1"/>
  <c r="P281" i="1038"/>
  <c r="N281" i="1038"/>
  <c r="R281" i="1038" s="1"/>
  <c r="M281" i="1038"/>
  <c r="U281" i="1038" s="1"/>
  <c r="P280" i="1038"/>
  <c r="N280" i="1038"/>
  <c r="R280" i="1038" s="1"/>
  <c r="M280" i="1038"/>
  <c r="U280" i="1038" s="1"/>
  <c r="P279" i="1038"/>
  <c r="N279" i="1038"/>
  <c r="M279" i="1038"/>
  <c r="P278" i="1038"/>
  <c r="N278" i="1038"/>
  <c r="R278" i="1038" s="1"/>
  <c r="S278" i="1038" s="1"/>
  <c r="M278" i="1038"/>
  <c r="P277" i="1038"/>
  <c r="N277" i="1038"/>
  <c r="R277" i="1038" s="1"/>
  <c r="S277" i="1038" s="1"/>
  <c r="M277" i="1038"/>
  <c r="U277" i="1038" s="1"/>
  <c r="P276" i="1038"/>
  <c r="Q276" i="1038" s="1"/>
  <c r="N276" i="1038"/>
  <c r="O276" i="1038" s="1"/>
  <c r="M276" i="1038"/>
  <c r="P275" i="1038"/>
  <c r="Q275" i="1038" s="1"/>
  <c r="N275" i="1038"/>
  <c r="R275" i="1038" s="1"/>
  <c r="S275" i="1038" s="1"/>
  <c r="M275" i="1038"/>
  <c r="Q274" i="1038"/>
  <c r="P274" i="1038"/>
  <c r="N274" i="1038"/>
  <c r="R274" i="1038" s="1"/>
  <c r="S274" i="1038" s="1"/>
  <c r="M274" i="1038"/>
  <c r="P273" i="1038"/>
  <c r="R273" i="1038" s="1"/>
  <c r="S273" i="1038" s="1"/>
  <c r="N273" i="1038"/>
  <c r="O273" i="1038" s="1"/>
  <c r="M273" i="1038"/>
  <c r="P272" i="1038"/>
  <c r="N272" i="1038"/>
  <c r="R272" i="1038" s="1"/>
  <c r="M272" i="1038"/>
  <c r="R271" i="1038"/>
  <c r="S271" i="1038" s="1"/>
  <c r="Q271" i="1038"/>
  <c r="P271" i="1038"/>
  <c r="N271" i="1038"/>
  <c r="O271" i="1038" s="1"/>
  <c r="M271" i="1038"/>
  <c r="P270" i="1038"/>
  <c r="N270" i="1038"/>
  <c r="M270" i="1038"/>
  <c r="P269" i="1038"/>
  <c r="Q269" i="1038" s="1"/>
  <c r="N269" i="1038"/>
  <c r="R269" i="1038" s="1"/>
  <c r="S269" i="1038" s="1"/>
  <c r="M269" i="1038"/>
  <c r="R268" i="1038"/>
  <c r="P268" i="1038"/>
  <c r="N268" i="1038"/>
  <c r="M268" i="1038"/>
  <c r="U268" i="1038" s="1"/>
  <c r="R267" i="1038"/>
  <c r="S267" i="1038" s="1"/>
  <c r="P267" i="1038"/>
  <c r="Q267" i="1038" s="1"/>
  <c r="N267" i="1038"/>
  <c r="O267" i="1038" s="1"/>
  <c r="M267" i="1038"/>
  <c r="P266" i="1038"/>
  <c r="N266" i="1038"/>
  <c r="M266" i="1038"/>
  <c r="R265" i="1038"/>
  <c r="P265" i="1038"/>
  <c r="N265" i="1038"/>
  <c r="M265" i="1038"/>
  <c r="U265" i="1038" s="1"/>
  <c r="R264" i="1038"/>
  <c r="S264" i="1038" s="1"/>
  <c r="P264" i="1038"/>
  <c r="Q264" i="1038" s="1"/>
  <c r="N264" i="1038"/>
  <c r="M264" i="1038"/>
  <c r="P263" i="1038"/>
  <c r="R263" i="1038" s="1"/>
  <c r="S263" i="1038" s="1"/>
  <c r="N263" i="1038"/>
  <c r="O263" i="1038" s="1"/>
  <c r="M263" i="1038"/>
  <c r="U262" i="1038"/>
  <c r="R262" i="1038"/>
  <c r="S262" i="1038" s="1"/>
  <c r="Q262" i="1038"/>
  <c r="P262" i="1038"/>
  <c r="O262" i="1038"/>
  <c r="N262" i="1038"/>
  <c r="M262" i="1038"/>
  <c r="R261" i="1038"/>
  <c r="P261" i="1038"/>
  <c r="Q261" i="1038" s="1"/>
  <c r="N261" i="1038"/>
  <c r="O261" i="1038" s="1"/>
  <c r="M261" i="1038"/>
  <c r="P260" i="1038"/>
  <c r="R260" i="1038" s="1"/>
  <c r="S260" i="1038" s="1"/>
  <c r="O260" i="1038"/>
  <c r="N260" i="1038"/>
  <c r="M260" i="1038"/>
  <c r="U260" i="1038" s="1"/>
  <c r="U259" i="1038"/>
  <c r="R259" i="1038"/>
  <c r="S259" i="1038" s="1"/>
  <c r="Q259" i="1038"/>
  <c r="P259" i="1038"/>
  <c r="O259" i="1038"/>
  <c r="N259" i="1038"/>
  <c r="M259" i="1038"/>
  <c r="L258" i="1038"/>
  <c r="J258" i="1038"/>
  <c r="G258" i="1038"/>
  <c r="F258" i="1038"/>
  <c r="L256" i="1038"/>
  <c r="M256" i="1038" s="1"/>
  <c r="U256" i="1038" s="1"/>
  <c r="S255" i="1038"/>
  <c r="P255" i="1038"/>
  <c r="R255" i="1038" s="1"/>
  <c r="N255" i="1038"/>
  <c r="O255" i="1038" s="1"/>
  <c r="M255" i="1038"/>
  <c r="U255" i="1038" s="1"/>
  <c r="H255" i="1038"/>
  <c r="P254" i="1038"/>
  <c r="Q254" i="1038" s="1"/>
  <c r="N254" i="1038"/>
  <c r="O254" i="1038" s="1"/>
  <c r="M254" i="1038"/>
  <c r="H254" i="1038"/>
  <c r="P253" i="1038"/>
  <c r="O253" i="1038"/>
  <c r="N253" i="1038"/>
  <c r="M253" i="1038"/>
  <c r="H253" i="1038"/>
  <c r="P252" i="1038"/>
  <c r="R252" i="1038" s="1"/>
  <c r="N252" i="1038"/>
  <c r="H252" i="1038"/>
  <c r="M252" i="1038" s="1"/>
  <c r="S251" i="1038"/>
  <c r="P251" i="1038"/>
  <c r="R251" i="1038" s="1"/>
  <c r="N251" i="1038"/>
  <c r="O251" i="1038" s="1"/>
  <c r="M251" i="1038"/>
  <c r="U251" i="1038" s="1"/>
  <c r="H251" i="1038"/>
  <c r="B251" i="1038"/>
  <c r="Q250" i="1038"/>
  <c r="P250" i="1038"/>
  <c r="R250" i="1038" s="1"/>
  <c r="U250" i="1038" s="1"/>
  <c r="N250" i="1038"/>
  <c r="O250" i="1038" s="1"/>
  <c r="M250" i="1038"/>
  <c r="H250" i="1038"/>
  <c r="P249" i="1038"/>
  <c r="Q249" i="1038" s="1"/>
  <c r="N249" i="1038"/>
  <c r="O249" i="1038" s="1"/>
  <c r="M249" i="1038"/>
  <c r="H249" i="1038"/>
  <c r="P248" i="1038"/>
  <c r="N248" i="1038"/>
  <c r="O248" i="1038" s="1"/>
  <c r="M248" i="1038"/>
  <c r="H248" i="1038"/>
  <c r="P247" i="1038"/>
  <c r="R247" i="1038" s="1"/>
  <c r="S247" i="1038" s="1"/>
  <c r="N247" i="1038"/>
  <c r="O247" i="1038" s="1"/>
  <c r="M247" i="1038"/>
  <c r="H247" i="1038"/>
  <c r="U246" i="1038"/>
  <c r="S246" i="1038"/>
  <c r="Q246" i="1038"/>
  <c r="P246" i="1038"/>
  <c r="R246" i="1038" s="1"/>
  <c r="N246" i="1038"/>
  <c r="O246" i="1038" s="1"/>
  <c r="M246" i="1038"/>
  <c r="H246" i="1038"/>
  <c r="P245" i="1038"/>
  <c r="R245" i="1038" s="1"/>
  <c r="N245" i="1038"/>
  <c r="O245" i="1038" s="1"/>
  <c r="H245" i="1038"/>
  <c r="P244" i="1038"/>
  <c r="R244" i="1038" s="1"/>
  <c r="N244" i="1038"/>
  <c r="M244" i="1038"/>
  <c r="H244" i="1038"/>
  <c r="P243" i="1038"/>
  <c r="R243" i="1038" s="1"/>
  <c r="S243" i="1038" s="1"/>
  <c r="N243" i="1038"/>
  <c r="O243" i="1038" s="1"/>
  <c r="M243" i="1038"/>
  <c r="U243" i="1038" s="1"/>
  <c r="H243" i="1038"/>
  <c r="R242" i="1038"/>
  <c r="U242" i="1038" s="1"/>
  <c r="P242" i="1038"/>
  <c r="Q242" i="1038" s="1"/>
  <c r="O242" i="1038"/>
  <c r="N242" i="1038"/>
  <c r="M242" i="1038"/>
  <c r="H242" i="1038"/>
  <c r="P241" i="1038"/>
  <c r="N241" i="1038"/>
  <c r="M241" i="1038"/>
  <c r="H241" i="1038"/>
  <c r="P240" i="1038"/>
  <c r="R240" i="1038" s="1"/>
  <c r="O240" i="1038"/>
  <c r="N240" i="1038"/>
  <c r="H240" i="1038"/>
  <c r="U239" i="1038"/>
  <c r="R239" i="1038"/>
  <c r="S239" i="1038" s="1"/>
  <c r="P239" i="1038"/>
  <c r="Q239" i="1038" s="1"/>
  <c r="N239" i="1038"/>
  <c r="O239" i="1038" s="1"/>
  <c r="M239" i="1038"/>
  <c r="H239" i="1038"/>
  <c r="R238" i="1038"/>
  <c r="Q238" i="1038"/>
  <c r="P238" i="1038"/>
  <c r="O238" i="1038"/>
  <c r="N238" i="1038"/>
  <c r="M238" i="1038"/>
  <c r="H238" i="1038"/>
  <c r="Q237" i="1038"/>
  <c r="P237" i="1038"/>
  <c r="N237" i="1038"/>
  <c r="R237" i="1038" s="1"/>
  <c r="S237" i="1038" s="1"/>
  <c r="M237" i="1038"/>
  <c r="H237" i="1038"/>
  <c r="P236" i="1038"/>
  <c r="R236" i="1038" s="1"/>
  <c r="S236" i="1038" s="1"/>
  <c r="N236" i="1038"/>
  <c r="O236" i="1038" s="1"/>
  <c r="M236" i="1038"/>
  <c r="U236" i="1038" s="1"/>
  <c r="H236" i="1038"/>
  <c r="R235" i="1038"/>
  <c r="P235" i="1038"/>
  <c r="Q235" i="1038" s="1"/>
  <c r="N235" i="1038"/>
  <c r="O235" i="1038" s="1"/>
  <c r="M235" i="1038"/>
  <c r="H235" i="1038"/>
  <c r="R234" i="1038"/>
  <c r="Q234" i="1038"/>
  <c r="P234" i="1038"/>
  <c r="O234" i="1038"/>
  <c r="N234" i="1038"/>
  <c r="M234" i="1038"/>
  <c r="H234" i="1038"/>
  <c r="Q233" i="1038"/>
  <c r="P233" i="1038"/>
  <c r="N233" i="1038"/>
  <c r="R233" i="1038" s="1"/>
  <c r="S233" i="1038" s="1"/>
  <c r="M233" i="1038"/>
  <c r="U233" i="1038" s="1"/>
  <c r="H233" i="1038"/>
  <c r="P232" i="1038"/>
  <c r="R232" i="1038" s="1"/>
  <c r="S232" i="1038" s="1"/>
  <c r="O232" i="1038"/>
  <c r="N232" i="1038"/>
  <c r="M232" i="1038"/>
  <c r="H232" i="1038"/>
  <c r="R231" i="1038"/>
  <c r="P231" i="1038"/>
  <c r="Q231" i="1038" s="1"/>
  <c r="N231" i="1038"/>
  <c r="O231" i="1038" s="1"/>
  <c r="M231" i="1038"/>
  <c r="H231" i="1038"/>
  <c r="R230" i="1038"/>
  <c r="Q230" i="1038"/>
  <c r="P230" i="1038"/>
  <c r="O230" i="1038"/>
  <c r="N230" i="1038"/>
  <c r="M230" i="1038"/>
  <c r="H230" i="1038"/>
  <c r="Q229" i="1038"/>
  <c r="P229" i="1038"/>
  <c r="N229" i="1038"/>
  <c r="R229" i="1038" s="1"/>
  <c r="S229" i="1038" s="1"/>
  <c r="M229" i="1038"/>
  <c r="U229" i="1038" s="1"/>
  <c r="H229" i="1038"/>
  <c r="P228" i="1038"/>
  <c r="R228" i="1038" s="1"/>
  <c r="S228" i="1038" s="1"/>
  <c r="N228" i="1038"/>
  <c r="O228" i="1038" s="1"/>
  <c r="M228" i="1038"/>
  <c r="H228" i="1038"/>
  <c r="R227" i="1038"/>
  <c r="S227" i="1038" s="1"/>
  <c r="P227" i="1038"/>
  <c r="Q227" i="1038" s="1"/>
  <c r="N227" i="1038"/>
  <c r="M227" i="1038"/>
  <c r="O227" i="1038" s="1"/>
  <c r="H227" i="1038"/>
  <c r="R226" i="1038"/>
  <c r="S226" i="1038" s="1"/>
  <c r="Q226" i="1038"/>
  <c r="P226" i="1038"/>
  <c r="O226" i="1038"/>
  <c r="N226" i="1038"/>
  <c r="M226" i="1038"/>
  <c r="H226" i="1038"/>
  <c r="P225" i="1038"/>
  <c r="O225" i="1038"/>
  <c r="N225" i="1038"/>
  <c r="M225" i="1038"/>
  <c r="H225" i="1038"/>
  <c r="P224" i="1038"/>
  <c r="R224" i="1038" s="1"/>
  <c r="N224" i="1038"/>
  <c r="O224" i="1038" s="1"/>
  <c r="M224" i="1038"/>
  <c r="H224" i="1038"/>
  <c r="R223" i="1038"/>
  <c r="S223" i="1038" s="1"/>
  <c r="P223" i="1038"/>
  <c r="Q223" i="1038" s="1"/>
  <c r="N223" i="1038"/>
  <c r="O223" i="1038" s="1"/>
  <c r="M223" i="1038"/>
  <c r="H223" i="1038"/>
  <c r="R222" i="1038"/>
  <c r="S222" i="1038" s="1"/>
  <c r="Q222" i="1038"/>
  <c r="P222" i="1038"/>
  <c r="O222" i="1038"/>
  <c r="N222" i="1038"/>
  <c r="M222" i="1038"/>
  <c r="U222" i="1038" s="1"/>
  <c r="H222" i="1038"/>
  <c r="P221" i="1038"/>
  <c r="N221" i="1038"/>
  <c r="O221" i="1038" s="1"/>
  <c r="H221" i="1038"/>
  <c r="U220" i="1038"/>
  <c r="P220" i="1038"/>
  <c r="R220" i="1038" s="1"/>
  <c r="S220" i="1038" s="1"/>
  <c r="O220" i="1038"/>
  <c r="N220" i="1038"/>
  <c r="M220" i="1038"/>
  <c r="H220" i="1038"/>
  <c r="U219" i="1038"/>
  <c r="S219" i="1038"/>
  <c r="Q219" i="1038"/>
  <c r="P219" i="1038"/>
  <c r="R219" i="1038" s="1"/>
  <c r="O219" i="1038"/>
  <c r="N219" i="1038"/>
  <c r="M219" i="1038"/>
  <c r="H219" i="1038"/>
  <c r="P218" i="1038"/>
  <c r="R218" i="1038" s="1"/>
  <c r="N218" i="1038"/>
  <c r="O218" i="1038" s="1"/>
  <c r="H218" i="1038"/>
  <c r="P217" i="1038"/>
  <c r="R217" i="1038" s="1"/>
  <c r="N217" i="1038"/>
  <c r="M217" i="1038"/>
  <c r="U217" i="1038" s="1"/>
  <c r="H217" i="1038"/>
  <c r="S216" i="1038"/>
  <c r="R216" i="1038"/>
  <c r="P216" i="1038"/>
  <c r="N216" i="1038"/>
  <c r="M216" i="1038"/>
  <c r="Q216" i="1038" s="1"/>
  <c r="H216" i="1038"/>
  <c r="R215" i="1038"/>
  <c r="S215" i="1038" s="1"/>
  <c r="P215" i="1038"/>
  <c r="Q215" i="1038" s="1"/>
  <c r="N215" i="1038"/>
  <c r="O215" i="1038" s="1"/>
  <c r="M215" i="1038"/>
  <c r="H215" i="1038"/>
  <c r="P214" i="1038"/>
  <c r="O214" i="1038"/>
  <c r="N214" i="1038"/>
  <c r="M214" i="1038"/>
  <c r="H214" i="1038"/>
  <c r="P213" i="1038"/>
  <c r="R213" i="1038" s="1"/>
  <c r="N213" i="1038"/>
  <c r="M213" i="1038"/>
  <c r="U213" i="1038" s="1"/>
  <c r="H213" i="1038"/>
  <c r="S212" i="1038"/>
  <c r="P212" i="1038"/>
  <c r="R212" i="1038" s="1"/>
  <c r="N212" i="1038"/>
  <c r="O212" i="1038" s="1"/>
  <c r="M212" i="1038"/>
  <c r="U212" i="1038" s="1"/>
  <c r="H212" i="1038"/>
  <c r="P211" i="1038"/>
  <c r="Q211" i="1038" s="1"/>
  <c r="N211" i="1038"/>
  <c r="O211" i="1038" s="1"/>
  <c r="M211" i="1038"/>
  <c r="H211" i="1038"/>
  <c r="P210" i="1038"/>
  <c r="O210" i="1038"/>
  <c r="N210" i="1038"/>
  <c r="M210" i="1038"/>
  <c r="H210" i="1038"/>
  <c r="P209" i="1038"/>
  <c r="R209" i="1038" s="1"/>
  <c r="S209" i="1038" s="1"/>
  <c r="N209" i="1038"/>
  <c r="O209" i="1038" s="1"/>
  <c r="M209" i="1038"/>
  <c r="H209" i="1038"/>
  <c r="Q208" i="1038"/>
  <c r="P208" i="1038"/>
  <c r="R208" i="1038" s="1"/>
  <c r="S208" i="1038" s="1"/>
  <c r="N208" i="1038"/>
  <c r="O208" i="1038" s="1"/>
  <c r="M208" i="1038"/>
  <c r="H208" i="1038"/>
  <c r="P207" i="1038"/>
  <c r="N207" i="1038"/>
  <c r="O207" i="1038" s="1"/>
  <c r="M207" i="1038"/>
  <c r="H207" i="1038"/>
  <c r="P206" i="1038"/>
  <c r="N206" i="1038"/>
  <c r="M206" i="1038"/>
  <c r="H206" i="1038"/>
  <c r="P205" i="1038"/>
  <c r="R205" i="1038" s="1"/>
  <c r="N205" i="1038"/>
  <c r="M205" i="1038"/>
  <c r="U205" i="1038" s="1"/>
  <c r="H205" i="1038"/>
  <c r="S204" i="1038"/>
  <c r="P204" i="1038"/>
  <c r="R204" i="1038" s="1"/>
  <c r="N204" i="1038"/>
  <c r="O204" i="1038" s="1"/>
  <c r="M204" i="1038"/>
  <c r="U204" i="1038" s="1"/>
  <c r="H204" i="1038"/>
  <c r="P203" i="1038"/>
  <c r="Q203" i="1038" s="1"/>
  <c r="N203" i="1038"/>
  <c r="O203" i="1038" s="1"/>
  <c r="M203" i="1038"/>
  <c r="H203" i="1038"/>
  <c r="P202" i="1038"/>
  <c r="O202" i="1038"/>
  <c r="N202" i="1038"/>
  <c r="M202" i="1038"/>
  <c r="H202" i="1038"/>
  <c r="P201" i="1038"/>
  <c r="R201" i="1038" s="1"/>
  <c r="N201" i="1038"/>
  <c r="O201" i="1038" s="1"/>
  <c r="M201" i="1038"/>
  <c r="U201" i="1038" s="1"/>
  <c r="H201" i="1038"/>
  <c r="S200" i="1038"/>
  <c r="P200" i="1038"/>
  <c r="R200" i="1038" s="1"/>
  <c r="N200" i="1038"/>
  <c r="O200" i="1038" s="1"/>
  <c r="M200" i="1038"/>
  <c r="U200" i="1038" s="1"/>
  <c r="K200" i="1038"/>
  <c r="H200" i="1038"/>
  <c r="Q199" i="1038"/>
  <c r="P199" i="1038"/>
  <c r="R199" i="1038" s="1"/>
  <c r="U199" i="1038" s="1"/>
  <c r="N199" i="1038"/>
  <c r="O199" i="1038" s="1"/>
  <c r="M199" i="1038"/>
  <c r="H199" i="1038"/>
  <c r="P198" i="1038"/>
  <c r="Q198" i="1038" s="1"/>
  <c r="N198" i="1038"/>
  <c r="O198" i="1038" s="1"/>
  <c r="H198" i="1038"/>
  <c r="P197" i="1038"/>
  <c r="R197" i="1038" s="1"/>
  <c r="N197" i="1038"/>
  <c r="O197" i="1038" s="1"/>
  <c r="H197" i="1038"/>
  <c r="R196" i="1038"/>
  <c r="S196" i="1038" s="1"/>
  <c r="P196" i="1038"/>
  <c r="Q196" i="1038" s="1"/>
  <c r="N196" i="1038"/>
  <c r="O196" i="1038" s="1"/>
  <c r="M196" i="1038"/>
  <c r="H196" i="1038"/>
  <c r="R195" i="1038"/>
  <c r="S195" i="1038" s="1"/>
  <c r="Q195" i="1038"/>
  <c r="P195" i="1038"/>
  <c r="O195" i="1038"/>
  <c r="N195" i="1038"/>
  <c r="M195" i="1038"/>
  <c r="H195" i="1038"/>
  <c r="P194" i="1038"/>
  <c r="R194" i="1038" s="1"/>
  <c r="S194" i="1038" s="1"/>
  <c r="N194" i="1038"/>
  <c r="O194" i="1038" s="1"/>
  <c r="M194" i="1038"/>
  <c r="H194" i="1038"/>
  <c r="R193" i="1038"/>
  <c r="S193" i="1038" s="1"/>
  <c r="Q193" i="1038"/>
  <c r="P193" i="1038"/>
  <c r="N193" i="1038"/>
  <c r="O193" i="1038" s="1"/>
  <c r="M193" i="1038"/>
  <c r="U193" i="1038" s="1"/>
  <c r="H193" i="1038"/>
  <c r="R192" i="1038"/>
  <c r="S192" i="1038" s="1"/>
  <c r="P192" i="1038"/>
  <c r="Q192" i="1038" s="1"/>
  <c r="N192" i="1038"/>
  <c r="O192" i="1038" s="1"/>
  <c r="M192" i="1038"/>
  <c r="H192" i="1038"/>
  <c r="R191" i="1038"/>
  <c r="S191" i="1038" s="1"/>
  <c r="Q191" i="1038"/>
  <c r="P191" i="1038"/>
  <c r="O191" i="1038"/>
  <c r="N191" i="1038"/>
  <c r="M191" i="1038"/>
  <c r="H191" i="1038"/>
  <c r="P190" i="1038"/>
  <c r="R190" i="1038" s="1"/>
  <c r="S190" i="1038" s="1"/>
  <c r="N190" i="1038"/>
  <c r="O190" i="1038" s="1"/>
  <c r="M190" i="1038"/>
  <c r="H190" i="1038"/>
  <c r="R189" i="1038"/>
  <c r="S189" i="1038" s="1"/>
  <c r="P189" i="1038"/>
  <c r="N189" i="1038"/>
  <c r="M189" i="1038"/>
  <c r="U189" i="1038" s="1"/>
  <c r="H189" i="1038"/>
  <c r="U188" i="1038"/>
  <c r="R188" i="1038"/>
  <c r="S188" i="1038" s="1"/>
  <c r="P188" i="1038"/>
  <c r="Q188" i="1038" s="1"/>
  <c r="O188" i="1038"/>
  <c r="N188" i="1038"/>
  <c r="M188" i="1038"/>
  <c r="H188" i="1038"/>
  <c r="R187" i="1038"/>
  <c r="S187" i="1038" s="1"/>
  <c r="Q187" i="1038"/>
  <c r="P187" i="1038"/>
  <c r="O187" i="1038"/>
  <c r="N187" i="1038"/>
  <c r="M187" i="1038"/>
  <c r="H187" i="1038"/>
  <c r="P186" i="1038"/>
  <c r="R186" i="1038" s="1"/>
  <c r="N186" i="1038"/>
  <c r="O186" i="1038" s="1"/>
  <c r="H186" i="1038"/>
  <c r="P185" i="1038"/>
  <c r="R185" i="1038" s="1"/>
  <c r="S185" i="1038" s="1"/>
  <c r="N185" i="1038"/>
  <c r="O185" i="1038" s="1"/>
  <c r="M185" i="1038"/>
  <c r="H185" i="1038"/>
  <c r="Q184" i="1038"/>
  <c r="P184" i="1038"/>
  <c r="N184" i="1038"/>
  <c r="O184" i="1038" s="1"/>
  <c r="M184" i="1038"/>
  <c r="H184" i="1038"/>
  <c r="P183" i="1038"/>
  <c r="Q183" i="1038" s="1"/>
  <c r="N183" i="1038"/>
  <c r="O183" i="1038" s="1"/>
  <c r="M183" i="1038"/>
  <c r="H183" i="1038"/>
  <c r="P182" i="1038"/>
  <c r="N182" i="1038"/>
  <c r="M182" i="1038"/>
  <c r="H182" i="1038"/>
  <c r="P181" i="1038"/>
  <c r="R181" i="1038" s="1"/>
  <c r="S181" i="1038" s="1"/>
  <c r="N181" i="1038"/>
  <c r="O181" i="1038" s="1"/>
  <c r="M181" i="1038"/>
  <c r="H181" i="1038"/>
  <c r="U180" i="1038"/>
  <c r="S180" i="1038"/>
  <c r="R180" i="1038"/>
  <c r="Q180" i="1038"/>
  <c r="P180" i="1038"/>
  <c r="N180" i="1038"/>
  <c r="M180" i="1038"/>
  <c r="O180" i="1038" s="1"/>
  <c r="H180" i="1038"/>
  <c r="Q179" i="1038"/>
  <c r="P179" i="1038"/>
  <c r="N179" i="1038"/>
  <c r="O179" i="1038" s="1"/>
  <c r="M179" i="1038"/>
  <c r="H179" i="1038"/>
  <c r="P178" i="1038"/>
  <c r="R178" i="1038" s="1"/>
  <c r="S178" i="1038" s="1"/>
  <c r="N178" i="1038"/>
  <c r="M178" i="1038"/>
  <c r="H178" i="1038"/>
  <c r="P177" i="1038"/>
  <c r="R177" i="1038" s="1"/>
  <c r="N177" i="1038"/>
  <c r="O177" i="1038" s="1"/>
  <c r="M177" i="1038"/>
  <c r="H177" i="1038"/>
  <c r="L176" i="1038"/>
  <c r="K176" i="1038"/>
  <c r="I176" i="1038"/>
  <c r="G176" i="1038"/>
  <c r="L175" i="1038"/>
  <c r="S174" i="1038"/>
  <c r="P174" i="1038"/>
  <c r="N174" i="1038"/>
  <c r="R174" i="1038" s="1"/>
  <c r="M174" i="1038"/>
  <c r="Q174" i="1038" s="1"/>
  <c r="R173" i="1038"/>
  <c r="S173" i="1038" s="1"/>
  <c r="Q173" i="1038"/>
  <c r="P173" i="1038"/>
  <c r="O173" i="1038"/>
  <c r="N173" i="1038"/>
  <c r="M173" i="1038"/>
  <c r="U173" i="1038" s="1"/>
  <c r="P172" i="1038"/>
  <c r="N172" i="1038"/>
  <c r="O172" i="1038" s="1"/>
  <c r="M172" i="1038"/>
  <c r="S171" i="1038"/>
  <c r="R171" i="1038"/>
  <c r="P171" i="1038"/>
  <c r="N171" i="1038"/>
  <c r="O171" i="1038" s="1"/>
  <c r="M171" i="1038"/>
  <c r="Q171" i="1038" s="1"/>
  <c r="R170" i="1038"/>
  <c r="S170" i="1038" s="1"/>
  <c r="Q170" i="1038"/>
  <c r="P170" i="1038"/>
  <c r="O170" i="1038"/>
  <c r="N170" i="1038"/>
  <c r="M170" i="1038"/>
  <c r="P169" i="1038"/>
  <c r="R169" i="1038" s="1"/>
  <c r="S169" i="1038" s="1"/>
  <c r="N169" i="1038"/>
  <c r="M169" i="1038"/>
  <c r="S168" i="1038"/>
  <c r="P168" i="1038"/>
  <c r="R168" i="1038" s="1"/>
  <c r="N168" i="1038"/>
  <c r="O168" i="1038" s="1"/>
  <c r="M168" i="1038"/>
  <c r="U168" i="1038" s="1"/>
  <c r="R167" i="1038"/>
  <c r="S167" i="1038" s="1"/>
  <c r="Q167" i="1038"/>
  <c r="P167" i="1038"/>
  <c r="O167" i="1038"/>
  <c r="N167" i="1038"/>
  <c r="M167" i="1038"/>
  <c r="P166" i="1038"/>
  <c r="N166" i="1038"/>
  <c r="M166" i="1038"/>
  <c r="P165" i="1038"/>
  <c r="R165" i="1038" s="1"/>
  <c r="S165" i="1038" s="1"/>
  <c r="N165" i="1038"/>
  <c r="O165" i="1038" s="1"/>
  <c r="M165" i="1038"/>
  <c r="U165" i="1038" s="1"/>
  <c r="R164" i="1038"/>
  <c r="S164" i="1038" s="1"/>
  <c r="Q164" i="1038"/>
  <c r="P164" i="1038"/>
  <c r="O164" i="1038"/>
  <c r="N164" i="1038"/>
  <c r="M164" i="1038"/>
  <c r="U164" i="1038" s="1"/>
  <c r="P163" i="1038"/>
  <c r="N163" i="1038"/>
  <c r="O163" i="1038" s="1"/>
  <c r="M163" i="1038"/>
  <c r="P162" i="1038"/>
  <c r="R162" i="1038" s="1"/>
  <c r="S162" i="1038" s="1"/>
  <c r="N162" i="1038"/>
  <c r="O162" i="1038" s="1"/>
  <c r="M162" i="1038"/>
  <c r="R161" i="1038"/>
  <c r="S161" i="1038" s="1"/>
  <c r="Q161" i="1038"/>
  <c r="P161" i="1038"/>
  <c r="O161" i="1038"/>
  <c r="N161" i="1038"/>
  <c r="M161" i="1038"/>
  <c r="P160" i="1038"/>
  <c r="N160" i="1038"/>
  <c r="M160" i="1038"/>
  <c r="P159" i="1038"/>
  <c r="R159" i="1038" s="1"/>
  <c r="S159" i="1038" s="1"/>
  <c r="N159" i="1038"/>
  <c r="O159" i="1038" s="1"/>
  <c r="M159" i="1038"/>
  <c r="R158" i="1038"/>
  <c r="S158" i="1038" s="1"/>
  <c r="Q158" i="1038"/>
  <c r="P158" i="1038"/>
  <c r="O158" i="1038"/>
  <c r="N158" i="1038"/>
  <c r="M158" i="1038"/>
  <c r="P157" i="1038"/>
  <c r="N157" i="1038"/>
  <c r="M157" i="1038"/>
  <c r="S156" i="1038"/>
  <c r="P156" i="1038"/>
  <c r="R156" i="1038" s="1"/>
  <c r="N156" i="1038"/>
  <c r="O156" i="1038" s="1"/>
  <c r="M156" i="1038"/>
  <c r="U156" i="1038" s="1"/>
  <c r="R155" i="1038"/>
  <c r="S155" i="1038" s="1"/>
  <c r="Q155" i="1038"/>
  <c r="P155" i="1038"/>
  <c r="O155" i="1038"/>
  <c r="N155" i="1038"/>
  <c r="M155" i="1038"/>
  <c r="P154" i="1038"/>
  <c r="N154" i="1038"/>
  <c r="M154" i="1038"/>
  <c r="H154" i="1038"/>
  <c r="P153" i="1038"/>
  <c r="R153" i="1038" s="1"/>
  <c r="S153" i="1038" s="1"/>
  <c r="N153" i="1038"/>
  <c r="O153" i="1038" s="1"/>
  <c r="M153" i="1038"/>
  <c r="H153" i="1038"/>
  <c r="Q152" i="1038"/>
  <c r="P152" i="1038"/>
  <c r="R152" i="1038" s="1"/>
  <c r="U152" i="1038" s="1"/>
  <c r="N152" i="1038"/>
  <c r="O152" i="1038" s="1"/>
  <c r="M152" i="1038"/>
  <c r="H152" i="1038"/>
  <c r="P151" i="1038"/>
  <c r="N151" i="1038"/>
  <c r="O151" i="1038" s="1"/>
  <c r="M151" i="1038"/>
  <c r="H151" i="1038"/>
  <c r="P150" i="1038"/>
  <c r="N150" i="1038"/>
  <c r="O150" i="1038" s="1"/>
  <c r="M150" i="1038"/>
  <c r="H150" i="1038"/>
  <c r="P149" i="1038"/>
  <c r="R149" i="1038" s="1"/>
  <c r="S149" i="1038" s="1"/>
  <c r="N149" i="1038"/>
  <c r="O149" i="1038" s="1"/>
  <c r="M149" i="1038"/>
  <c r="H149" i="1038"/>
  <c r="U148" i="1038"/>
  <c r="S148" i="1038"/>
  <c r="Q148" i="1038"/>
  <c r="P148" i="1038"/>
  <c r="R148" i="1038" s="1"/>
  <c r="N148" i="1038"/>
  <c r="O148" i="1038" s="1"/>
  <c r="M148" i="1038"/>
  <c r="H148" i="1038"/>
  <c r="P147" i="1038"/>
  <c r="R147" i="1038" s="1"/>
  <c r="S147" i="1038" s="1"/>
  <c r="N147" i="1038"/>
  <c r="O147" i="1038" s="1"/>
  <c r="M147" i="1038"/>
  <c r="H147" i="1038"/>
  <c r="P146" i="1038"/>
  <c r="R146" i="1038" s="1"/>
  <c r="S146" i="1038" s="1"/>
  <c r="N146" i="1038"/>
  <c r="O146" i="1038" s="1"/>
  <c r="M146" i="1038"/>
  <c r="H146" i="1038"/>
  <c r="U145" i="1038"/>
  <c r="P145" i="1038"/>
  <c r="R145" i="1038" s="1"/>
  <c r="S145" i="1038" s="1"/>
  <c r="N145" i="1038"/>
  <c r="O145" i="1038" s="1"/>
  <c r="M145" i="1038"/>
  <c r="H145" i="1038"/>
  <c r="U144" i="1038"/>
  <c r="S144" i="1038"/>
  <c r="R144" i="1038"/>
  <c r="Q144" i="1038"/>
  <c r="P144" i="1038"/>
  <c r="O144" i="1038"/>
  <c r="N144" i="1038"/>
  <c r="M144" i="1038"/>
  <c r="H144" i="1038"/>
  <c r="P143" i="1038"/>
  <c r="N143" i="1038"/>
  <c r="O143" i="1038" s="1"/>
  <c r="M143" i="1038"/>
  <c r="H143" i="1038"/>
  <c r="P142" i="1038"/>
  <c r="N142" i="1038"/>
  <c r="O142" i="1038" s="1"/>
  <c r="M142" i="1038"/>
  <c r="H142" i="1038"/>
  <c r="P141" i="1038"/>
  <c r="R141" i="1038" s="1"/>
  <c r="S141" i="1038" s="1"/>
  <c r="N141" i="1038"/>
  <c r="O141" i="1038" s="1"/>
  <c r="M141" i="1038"/>
  <c r="H141" i="1038"/>
  <c r="U140" i="1038"/>
  <c r="Q140" i="1038"/>
  <c r="P140" i="1038"/>
  <c r="R140" i="1038" s="1"/>
  <c r="S140" i="1038" s="1"/>
  <c r="N140" i="1038"/>
  <c r="O140" i="1038" s="1"/>
  <c r="M140" i="1038"/>
  <c r="H140" i="1038"/>
  <c r="P139" i="1038"/>
  <c r="R139" i="1038" s="1"/>
  <c r="S139" i="1038" s="1"/>
  <c r="N139" i="1038"/>
  <c r="O139" i="1038" s="1"/>
  <c r="M139" i="1038"/>
  <c r="U139" i="1038" s="1"/>
  <c r="H139" i="1038"/>
  <c r="P138" i="1038"/>
  <c r="R138" i="1038" s="1"/>
  <c r="S138" i="1038" s="1"/>
  <c r="N138" i="1038"/>
  <c r="M138" i="1038"/>
  <c r="H138" i="1038"/>
  <c r="U137" i="1038"/>
  <c r="P137" i="1038"/>
  <c r="R137" i="1038" s="1"/>
  <c r="S137" i="1038" s="1"/>
  <c r="N137" i="1038"/>
  <c r="O137" i="1038" s="1"/>
  <c r="M137" i="1038"/>
  <c r="H137" i="1038"/>
  <c r="U136" i="1038"/>
  <c r="S136" i="1038"/>
  <c r="R136" i="1038"/>
  <c r="Q136" i="1038"/>
  <c r="P136" i="1038"/>
  <c r="N136" i="1038"/>
  <c r="O136" i="1038" s="1"/>
  <c r="M136" i="1038"/>
  <c r="H136" i="1038"/>
  <c r="Q135" i="1038"/>
  <c r="P135" i="1038"/>
  <c r="R135" i="1038" s="1"/>
  <c r="S135" i="1038" s="1"/>
  <c r="N135" i="1038"/>
  <c r="O135" i="1038" s="1"/>
  <c r="M135" i="1038"/>
  <c r="U135" i="1038" s="1"/>
  <c r="H135" i="1038"/>
  <c r="P134" i="1038"/>
  <c r="N134" i="1038"/>
  <c r="O134" i="1038" s="1"/>
  <c r="M134" i="1038"/>
  <c r="H134" i="1038"/>
  <c r="P133" i="1038"/>
  <c r="R133" i="1038" s="1"/>
  <c r="S133" i="1038" s="1"/>
  <c r="N133" i="1038"/>
  <c r="O133" i="1038" s="1"/>
  <c r="M133" i="1038"/>
  <c r="H133" i="1038"/>
  <c r="Q132" i="1038"/>
  <c r="P132" i="1038"/>
  <c r="R132" i="1038" s="1"/>
  <c r="U132" i="1038" s="1"/>
  <c r="N132" i="1038"/>
  <c r="O132" i="1038" s="1"/>
  <c r="M132" i="1038"/>
  <c r="H132" i="1038"/>
  <c r="P131" i="1038"/>
  <c r="N131" i="1038"/>
  <c r="O131" i="1038" s="1"/>
  <c r="M131" i="1038"/>
  <c r="H131" i="1038"/>
  <c r="R130" i="1038"/>
  <c r="P130" i="1038"/>
  <c r="N130" i="1038"/>
  <c r="M130" i="1038"/>
  <c r="U130" i="1038" s="1"/>
  <c r="H130" i="1038"/>
  <c r="U129" i="1038"/>
  <c r="R129" i="1038"/>
  <c r="S129" i="1038" s="1"/>
  <c r="Q129" i="1038"/>
  <c r="P129" i="1038"/>
  <c r="O129" i="1038"/>
  <c r="N129" i="1038"/>
  <c r="M129" i="1038"/>
  <c r="H129" i="1038"/>
  <c r="P128" i="1038"/>
  <c r="R128" i="1038" s="1"/>
  <c r="S128" i="1038" s="1"/>
  <c r="N128" i="1038"/>
  <c r="O128" i="1038" s="1"/>
  <c r="M128" i="1038"/>
  <c r="H128" i="1038"/>
  <c r="P127" i="1038"/>
  <c r="N127" i="1038"/>
  <c r="M127" i="1038"/>
  <c r="H127" i="1038"/>
  <c r="R126" i="1038"/>
  <c r="U126" i="1038" s="1"/>
  <c r="Q126" i="1038"/>
  <c r="P126" i="1038"/>
  <c r="O126" i="1038"/>
  <c r="N126" i="1038"/>
  <c r="M126" i="1038"/>
  <c r="H126" i="1038"/>
  <c r="U125" i="1038"/>
  <c r="S125" i="1038"/>
  <c r="P125" i="1038"/>
  <c r="R125" i="1038" s="1"/>
  <c r="O125" i="1038"/>
  <c r="N125" i="1038"/>
  <c r="M125" i="1038"/>
  <c r="H125" i="1038"/>
  <c r="P124" i="1038"/>
  <c r="R124" i="1038" s="1"/>
  <c r="S124" i="1038" s="1"/>
  <c r="N124" i="1038"/>
  <c r="O124" i="1038" s="1"/>
  <c r="M124" i="1038"/>
  <c r="U124" i="1038" s="1"/>
  <c r="H124" i="1038"/>
  <c r="P123" i="1038"/>
  <c r="N123" i="1038"/>
  <c r="M123" i="1038"/>
  <c r="H123" i="1038"/>
  <c r="R122" i="1038"/>
  <c r="U122" i="1038" s="1"/>
  <c r="Q122" i="1038"/>
  <c r="P122" i="1038"/>
  <c r="O122" i="1038"/>
  <c r="N122" i="1038"/>
  <c r="M122" i="1038"/>
  <c r="H122" i="1038"/>
  <c r="S121" i="1038"/>
  <c r="P121" i="1038"/>
  <c r="R121" i="1038" s="1"/>
  <c r="U121" i="1038" s="1"/>
  <c r="O121" i="1038"/>
  <c r="N121" i="1038"/>
  <c r="M121" i="1038"/>
  <c r="H121" i="1038"/>
  <c r="Q120" i="1038"/>
  <c r="P120" i="1038"/>
  <c r="R120" i="1038" s="1"/>
  <c r="S120" i="1038" s="1"/>
  <c r="N120" i="1038"/>
  <c r="O120" i="1038" s="1"/>
  <c r="M120" i="1038"/>
  <c r="U120" i="1038" s="1"/>
  <c r="H120" i="1038"/>
  <c r="P119" i="1038"/>
  <c r="O119" i="1038"/>
  <c r="N119" i="1038"/>
  <c r="R119" i="1038" s="1"/>
  <c r="S119" i="1038" s="1"/>
  <c r="M119" i="1038"/>
  <c r="H119" i="1038"/>
  <c r="R118" i="1038"/>
  <c r="U118" i="1038" s="1"/>
  <c r="Q118" i="1038"/>
  <c r="P118" i="1038"/>
  <c r="O118" i="1038"/>
  <c r="N118" i="1038"/>
  <c r="M118" i="1038"/>
  <c r="H118" i="1038"/>
  <c r="S117" i="1038"/>
  <c r="P117" i="1038"/>
  <c r="R117" i="1038" s="1"/>
  <c r="U117" i="1038" s="1"/>
  <c r="O117" i="1038"/>
  <c r="N117" i="1038"/>
  <c r="M117" i="1038"/>
  <c r="H117" i="1038"/>
  <c r="Q116" i="1038"/>
  <c r="P116" i="1038"/>
  <c r="R116" i="1038" s="1"/>
  <c r="S116" i="1038" s="1"/>
  <c r="N116" i="1038"/>
  <c r="O116" i="1038" s="1"/>
  <c r="M116" i="1038"/>
  <c r="U116" i="1038" s="1"/>
  <c r="H116" i="1038"/>
  <c r="P115" i="1038"/>
  <c r="N115" i="1038"/>
  <c r="M115" i="1038"/>
  <c r="H115" i="1038"/>
  <c r="R114" i="1038"/>
  <c r="U114" i="1038" s="1"/>
  <c r="Q114" i="1038"/>
  <c r="P114" i="1038"/>
  <c r="O114" i="1038"/>
  <c r="N114" i="1038"/>
  <c r="M114" i="1038"/>
  <c r="H114" i="1038"/>
  <c r="U113" i="1038"/>
  <c r="P113" i="1038"/>
  <c r="R113" i="1038" s="1"/>
  <c r="S113" i="1038" s="1"/>
  <c r="O113" i="1038"/>
  <c r="N113" i="1038"/>
  <c r="M113" i="1038"/>
  <c r="H113" i="1038"/>
  <c r="P112" i="1038"/>
  <c r="R112" i="1038" s="1"/>
  <c r="S112" i="1038" s="1"/>
  <c r="N112" i="1038"/>
  <c r="O112" i="1038" s="1"/>
  <c r="M112" i="1038"/>
  <c r="U112" i="1038" s="1"/>
  <c r="H112" i="1038"/>
  <c r="P111" i="1038"/>
  <c r="R111" i="1038" s="1"/>
  <c r="S111" i="1038" s="1"/>
  <c r="N111" i="1038"/>
  <c r="M111" i="1038"/>
  <c r="H111" i="1038"/>
  <c r="R110" i="1038"/>
  <c r="U110" i="1038" s="1"/>
  <c r="Q110" i="1038"/>
  <c r="P110" i="1038"/>
  <c r="N110" i="1038"/>
  <c r="O110" i="1038" s="1"/>
  <c r="M110" i="1038"/>
  <c r="H110" i="1038"/>
  <c r="P109" i="1038"/>
  <c r="R109" i="1038" s="1"/>
  <c r="S109" i="1038" s="1"/>
  <c r="O109" i="1038"/>
  <c r="N109" i="1038"/>
  <c r="M109" i="1038"/>
  <c r="H109" i="1038"/>
  <c r="Q108" i="1038"/>
  <c r="P108" i="1038"/>
  <c r="R108" i="1038" s="1"/>
  <c r="S108" i="1038" s="1"/>
  <c r="N108" i="1038"/>
  <c r="O108" i="1038" s="1"/>
  <c r="M108" i="1038"/>
  <c r="H108" i="1038"/>
  <c r="P107" i="1038"/>
  <c r="N107" i="1038"/>
  <c r="O107" i="1038" s="1"/>
  <c r="M107" i="1038"/>
  <c r="H107" i="1038"/>
  <c r="R106" i="1038"/>
  <c r="U106" i="1038" s="1"/>
  <c r="Q106" i="1038"/>
  <c r="P106" i="1038"/>
  <c r="N106" i="1038"/>
  <c r="O106" i="1038" s="1"/>
  <c r="M106" i="1038"/>
  <c r="H106" i="1038"/>
  <c r="P105" i="1038"/>
  <c r="R105" i="1038" s="1"/>
  <c r="U105" i="1038" s="1"/>
  <c r="O105" i="1038"/>
  <c r="N105" i="1038"/>
  <c r="M105" i="1038"/>
  <c r="H105" i="1038"/>
  <c r="P104" i="1038"/>
  <c r="R104" i="1038" s="1"/>
  <c r="S104" i="1038" s="1"/>
  <c r="N104" i="1038"/>
  <c r="O104" i="1038" s="1"/>
  <c r="M104" i="1038"/>
  <c r="H104" i="1038"/>
  <c r="P103" i="1038"/>
  <c r="N103" i="1038"/>
  <c r="M103" i="1038"/>
  <c r="H103" i="1038"/>
  <c r="R102" i="1038"/>
  <c r="S102" i="1038" s="1"/>
  <c r="Q102" i="1038"/>
  <c r="P102" i="1038"/>
  <c r="N102" i="1038"/>
  <c r="O102" i="1038" s="1"/>
  <c r="M102" i="1038"/>
  <c r="U102" i="1038" s="1"/>
  <c r="H102" i="1038"/>
  <c r="S101" i="1038"/>
  <c r="P101" i="1038"/>
  <c r="R101" i="1038" s="1"/>
  <c r="U101" i="1038" s="1"/>
  <c r="O101" i="1038"/>
  <c r="N101" i="1038"/>
  <c r="M101" i="1038"/>
  <c r="H101" i="1038"/>
  <c r="Q100" i="1038"/>
  <c r="P100" i="1038"/>
  <c r="R100" i="1038" s="1"/>
  <c r="S100" i="1038" s="1"/>
  <c r="N100" i="1038"/>
  <c r="O100" i="1038" s="1"/>
  <c r="M100" i="1038"/>
  <c r="U100" i="1038" s="1"/>
  <c r="H100" i="1038"/>
  <c r="P99" i="1038"/>
  <c r="N99" i="1038"/>
  <c r="M99" i="1038"/>
  <c r="H99" i="1038"/>
  <c r="R98" i="1038"/>
  <c r="S98" i="1038" s="1"/>
  <c r="P98" i="1038"/>
  <c r="Q98" i="1038" s="1"/>
  <c r="N98" i="1038"/>
  <c r="O98" i="1038" s="1"/>
  <c r="M98" i="1038"/>
  <c r="U98" i="1038" s="1"/>
  <c r="H98" i="1038"/>
  <c r="U97" i="1038"/>
  <c r="S97" i="1038"/>
  <c r="P97" i="1038"/>
  <c r="R97" i="1038" s="1"/>
  <c r="O97" i="1038"/>
  <c r="N97" i="1038"/>
  <c r="M97" i="1038"/>
  <c r="H97" i="1038"/>
  <c r="R96" i="1038"/>
  <c r="S96" i="1038" s="1"/>
  <c r="P96" i="1038"/>
  <c r="Q96" i="1038" s="1"/>
  <c r="N96" i="1038"/>
  <c r="O96" i="1038" s="1"/>
  <c r="M96" i="1038"/>
  <c r="H96" i="1038"/>
  <c r="P95" i="1038"/>
  <c r="R95" i="1038" s="1"/>
  <c r="S95" i="1038" s="1"/>
  <c r="N95" i="1038"/>
  <c r="O95" i="1038" s="1"/>
  <c r="M95" i="1038"/>
  <c r="H95" i="1038"/>
  <c r="R94" i="1038"/>
  <c r="S94" i="1038" s="1"/>
  <c r="P94" i="1038"/>
  <c r="Q94" i="1038" s="1"/>
  <c r="N94" i="1038"/>
  <c r="O94" i="1038" s="1"/>
  <c r="M94" i="1038"/>
  <c r="U94" i="1038" s="1"/>
  <c r="H94" i="1038"/>
  <c r="S93" i="1038"/>
  <c r="P93" i="1038"/>
  <c r="R93" i="1038" s="1"/>
  <c r="U93" i="1038" s="1"/>
  <c r="O93" i="1038"/>
  <c r="N93" i="1038"/>
  <c r="M93" i="1038"/>
  <c r="H93" i="1038"/>
  <c r="R92" i="1038"/>
  <c r="S92" i="1038" s="1"/>
  <c r="Q92" i="1038"/>
  <c r="P92" i="1038"/>
  <c r="N92" i="1038"/>
  <c r="O92" i="1038" s="1"/>
  <c r="M92" i="1038"/>
  <c r="H92" i="1038"/>
  <c r="P91" i="1038"/>
  <c r="R91" i="1038" s="1"/>
  <c r="S91" i="1038" s="1"/>
  <c r="O91" i="1038"/>
  <c r="N91" i="1038"/>
  <c r="M91" i="1038"/>
  <c r="H91" i="1038"/>
  <c r="R90" i="1038"/>
  <c r="S90" i="1038" s="1"/>
  <c r="P90" i="1038"/>
  <c r="Q90" i="1038" s="1"/>
  <c r="N90" i="1038"/>
  <c r="O90" i="1038" s="1"/>
  <c r="M90" i="1038"/>
  <c r="U90" i="1038" s="1"/>
  <c r="H90" i="1038"/>
  <c r="P89" i="1038"/>
  <c r="R89" i="1038" s="1"/>
  <c r="U89" i="1038" s="1"/>
  <c r="O89" i="1038"/>
  <c r="N89" i="1038"/>
  <c r="M89" i="1038"/>
  <c r="H89" i="1038"/>
  <c r="P88" i="1038"/>
  <c r="Q88" i="1038" s="1"/>
  <c r="N88" i="1038"/>
  <c r="O88" i="1038" s="1"/>
  <c r="M88" i="1038"/>
  <c r="H88" i="1038"/>
  <c r="P87" i="1038"/>
  <c r="O87" i="1038"/>
  <c r="N87" i="1038"/>
  <c r="R87" i="1038" s="1"/>
  <c r="S87" i="1038" s="1"/>
  <c r="M87" i="1038"/>
  <c r="H87" i="1038"/>
  <c r="R86" i="1038"/>
  <c r="S86" i="1038" s="1"/>
  <c r="P86" i="1038"/>
  <c r="Q86" i="1038" s="1"/>
  <c r="N86" i="1038"/>
  <c r="O86" i="1038" s="1"/>
  <c r="M86" i="1038"/>
  <c r="U86" i="1038" s="1"/>
  <c r="H86" i="1038"/>
  <c r="U85" i="1038"/>
  <c r="S85" i="1038"/>
  <c r="P85" i="1038"/>
  <c r="R85" i="1038" s="1"/>
  <c r="O85" i="1038"/>
  <c r="N85" i="1038"/>
  <c r="M85" i="1038"/>
  <c r="H85" i="1038"/>
  <c r="P84" i="1038"/>
  <c r="R84" i="1038" s="1"/>
  <c r="S84" i="1038" s="1"/>
  <c r="N84" i="1038"/>
  <c r="O84" i="1038" s="1"/>
  <c r="M84" i="1038"/>
  <c r="H84" i="1038"/>
  <c r="P83" i="1038"/>
  <c r="N83" i="1038"/>
  <c r="O83" i="1038" s="1"/>
  <c r="M83" i="1038"/>
  <c r="H83" i="1038"/>
  <c r="R82" i="1038"/>
  <c r="S82" i="1038" s="1"/>
  <c r="P82" i="1038"/>
  <c r="Q82" i="1038" s="1"/>
  <c r="N82" i="1038"/>
  <c r="O82" i="1038" s="1"/>
  <c r="M82" i="1038"/>
  <c r="U82" i="1038" s="1"/>
  <c r="H82" i="1038"/>
  <c r="S81" i="1038"/>
  <c r="P81" i="1038"/>
  <c r="R81" i="1038" s="1"/>
  <c r="U81" i="1038" s="1"/>
  <c r="O81" i="1038"/>
  <c r="N81" i="1038"/>
  <c r="M81" i="1038"/>
  <c r="H81" i="1038"/>
  <c r="P80" i="1038"/>
  <c r="R80" i="1038" s="1"/>
  <c r="S80" i="1038" s="1"/>
  <c r="N80" i="1038"/>
  <c r="O80" i="1038" s="1"/>
  <c r="M80" i="1038"/>
  <c r="H80" i="1038"/>
  <c r="P79" i="1038"/>
  <c r="R79" i="1038" s="1"/>
  <c r="S79" i="1038" s="1"/>
  <c r="N79" i="1038"/>
  <c r="M79" i="1038"/>
  <c r="H79" i="1038"/>
  <c r="R78" i="1038"/>
  <c r="S78" i="1038" s="1"/>
  <c r="P78" i="1038"/>
  <c r="Q78" i="1038" s="1"/>
  <c r="N78" i="1038"/>
  <c r="O78" i="1038" s="1"/>
  <c r="M78" i="1038"/>
  <c r="U78" i="1038" s="1"/>
  <c r="H78" i="1038"/>
  <c r="U77" i="1038"/>
  <c r="P77" i="1038"/>
  <c r="R77" i="1038" s="1"/>
  <c r="S77" i="1038" s="1"/>
  <c r="O77" i="1038"/>
  <c r="N77" i="1038"/>
  <c r="M77" i="1038"/>
  <c r="H77" i="1038"/>
  <c r="Q76" i="1038"/>
  <c r="P76" i="1038"/>
  <c r="R76" i="1038" s="1"/>
  <c r="S76" i="1038" s="1"/>
  <c r="N76" i="1038"/>
  <c r="O76" i="1038" s="1"/>
  <c r="M76" i="1038"/>
  <c r="H76" i="1038"/>
  <c r="P75" i="1038"/>
  <c r="O75" i="1038"/>
  <c r="N75" i="1038"/>
  <c r="R75" i="1038" s="1"/>
  <c r="S75" i="1038" s="1"/>
  <c r="M75" i="1038"/>
  <c r="H75" i="1038"/>
  <c r="R74" i="1038"/>
  <c r="U74" i="1038" s="1"/>
  <c r="P74" i="1038"/>
  <c r="Q74" i="1038" s="1"/>
  <c r="O74" i="1038"/>
  <c r="N74" i="1038"/>
  <c r="M74" i="1038"/>
  <c r="H74" i="1038"/>
  <c r="U73" i="1038"/>
  <c r="P73" i="1038"/>
  <c r="R73" i="1038" s="1"/>
  <c r="S73" i="1038" s="1"/>
  <c r="O73" i="1038"/>
  <c r="N73" i="1038"/>
  <c r="M73" i="1038"/>
  <c r="H73" i="1038"/>
  <c r="Q72" i="1038"/>
  <c r="P72" i="1038"/>
  <c r="R72" i="1038" s="1"/>
  <c r="S72" i="1038" s="1"/>
  <c r="N72" i="1038"/>
  <c r="O72" i="1038" s="1"/>
  <c r="M72" i="1038"/>
  <c r="H72" i="1038"/>
  <c r="P71" i="1038"/>
  <c r="O71" i="1038"/>
  <c r="N71" i="1038"/>
  <c r="R71" i="1038" s="1"/>
  <c r="S71" i="1038" s="1"/>
  <c r="M71" i="1038"/>
  <c r="H71" i="1038"/>
  <c r="R70" i="1038"/>
  <c r="S70" i="1038" s="1"/>
  <c r="P70" i="1038"/>
  <c r="Q70" i="1038" s="1"/>
  <c r="O70" i="1038"/>
  <c r="N70" i="1038"/>
  <c r="M70" i="1038"/>
  <c r="U70" i="1038" s="1"/>
  <c r="H70" i="1038"/>
  <c r="U69" i="1038"/>
  <c r="P69" i="1038"/>
  <c r="R69" i="1038" s="1"/>
  <c r="S69" i="1038" s="1"/>
  <c r="O69" i="1038"/>
  <c r="N69" i="1038"/>
  <c r="M69" i="1038"/>
  <c r="H69" i="1038"/>
  <c r="Q68" i="1038"/>
  <c r="P68" i="1038"/>
  <c r="R68" i="1038" s="1"/>
  <c r="S68" i="1038" s="1"/>
  <c r="N68" i="1038"/>
  <c r="O68" i="1038" s="1"/>
  <c r="M68" i="1038"/>
  <c r="H68" i="1038"/>
  <c r="P67" i="1038"/>
  <c r="O67" i="1038"/>
  <c r="N67" i="1038"/>
  <c r="M67" i="1038"/>
  <c r="H67" i="1038"/>
  <c r="R66" i="1038"/>
  <c r="S66" i="1038" s="1"/>
  <c r="P66" i="1038"/>
  <c r="Q66" i="1038" s="1"/>
  <c r="N66" i="1038"/>
  <c r="O66" i="1038" s="1"/>
  <c r="M66" i="1038"/>
  <c r="U66" i="1038" s="1"/>
  <c r="H66" i="1038"/>
  <c r="U65" i="1038"/>
  <c r="S65" i="1038"/>
  <c r="P65" i="1038"/>
  <c r="R65" i="1038" s="1"/>
  <c r="O65" i="1038"/>
  <c r="N65" i="1038"/>
  <c r="M65" i="1038"/>
  <c r="H65" i="1038"/>
  <c r="R64" i="1038"/>
  <c r="S64" i="1038" s="1"/>
  <c r="P64" i="1038"/>
  <c r="Q64" i="1038" s="1"/>
  <c r="N64" i="1038"/>
  <c r="O64" i="1038" s="1"/>
  <c r="M64" i="1038"/>
  <c r="U64" i="1038" s="1"/>
  <c r="H64" i="1038"/>
  <c r="P63" i="1038"/>
  <c r="R63" i="1038" s="1"/>
  <c r="S63" i="1038" s="1"/>
  <c r="N63" i="1038"/>
  <c r="O63" i="1038" s="1"/>
  <c r="M63" i="1038"/>
  <c r="H63" i="1038"/>
  <c r="R62" i="1038"/>
  <c r="S62" i="1038" s="1"/>
  <c r="P62" i="1038"/>
  <c r="Q62" i="1038" s="1"/>
  <c r="N62" i="1038"/>
  <c r="O62" i="1038" s="1"/>
  <c r="M62" i="1038"/>
  <c r="U62" i="1038" s="1"/>
  <c r="H62" i="1038"/>
  <c r="P61" i="1038"/>
  <c r="R61" i="1038" s="1"/>
  <c r="S61" i="1038" s="1"/>
  <c r="O61" i="1038"/>
  <c r="N61" i="1038"/>
  <c r="M61" i="1038"/>
  <c r="H61" i="1038"/>
  <c r="R60" i="1038"/>
  <c r="S60" i="1038" s="1"/>
  <c r="Q60" i="1038"/>
  <c r="P60" i="1038"/>
  <c r="N60" i="1038"/>
  <c r="O60" i="1038" s="1"/>
  <c r="M60" i="1038"/>
  <c r="H60" i="1038"/>
  <c r="P59" i="1038"/>
  <c r="R59" i="1038" s="1"/>
  <c r="S59" i="1038" s="1"/>
  <c r="O59" i="1038"/>
  <c r="N59" i="1038"/>
  <c r="M59" i="1038"/>
  <c r="H59" i="1038"/>
  <c r="R58" i="1038"/>
  <c r="S58" i="1038" s="1"/>
  <c r="P58" i="1038"/>
  <c r="Q58" i="1038" s="1"/>
  <c r="N58" i="1038"/>
  <c r="O58" i="1038" s="1"/>
  <c r="M58" i="1038"/>
  <c r="U58" i="1038" s="1"/>
  <c r="H58" i="1038"/>
  <c r="P57" i="1038"/>
  <c r="R57" i="1038" s="1"/>
  <c r="U57" i="1038" s="1"/>
  <c r="O57" i="1038"/>
  <c r="N57" i="1038"/>
  <c r="M57" i="1038"/>
  <c r="H57" i="1038"/>
  <c r="Q56" i="1038"/>
  <c r="P56" i="1038"/>
  <c r="R56" i="1038" s="1"/>
  <c r="S56" i="1038" s="1"/>
  <c r="N56" i="1038"/>
  <c r="O56" i="1038" s="1"/>
  <c r="M56" i="1038"/>
  <c r="H56" i="1038"/>
  <c r="P55" i="1038"/>
  <c r="N55" i="1038"/>
  <c r="O55" i="1038" s="1"/>
  <c r="M55" i="1038"/>
  <c r="H55" i="1038"/>
  <c r="R54" i="1038"/>
  <c r="S54" i="1038" s="1"/>
  <c r="P54" i="1038"/>
  <c r="Q54" i="1038" s="1"/>
  <c r="N54" i="1038"/>
  <c r="O54" i="1038" s="1"/>
  <c r="M54" i="1038"/>
  <c r="U54" i="1038" s="1"/>
  <c r="H54" i="1038"/>
  <c r="P53" i="1038"/>
  <c r="R53" i="1038" s="1"/>
  <c r="U53" i="1038" s="1"/>
  <c r="O53" i="1038"/>
  <c r="N53" i="1038"/>
  <c r="M53" i="1038"/>
  <c r="H53" i="1038"/>
  <c r="P52" i="1038"/>
  <c r="R52" i="1038" s="1"/>
  <c r="S52" i="1038" s="1"/>
  <c r="N52" i="1038"/>
  <c r="O52" i="1038" s="1"/>
  <c r="M52" i="1038"/>
  <c r="H52" i="1038"/>
  <c r="P51" i="1038"/>
  <c r="N51" i="1038"/>
  <c r="O51" i="1038" s="1"/>
  <c r="M51" i="1038"/>
  <c r="H51" i="1038"/>
  <c r="R50" i="1038"/>
  <c r="S50" i="1038" s="1"/>
  <c r="P50" i="1038"/>
  <c r="Q50" i="1038" s="1"/>
  <c r="N50" i="1038"/>
  <c r="O50" i="1038" s="1"/>
  <c r="M50" i="1038"/>
  <c r="U50" i="1038" s="1"/>
  <c r="H50" i="1038"/>
  <c r="S49" i="1038"/>
  <c r="P49" i="1038"/>
  <c r="R49" i="1038" s="1"/>
  <c r="U49" i="1038" s="1"/>
  <c r="O49" i="1038"/>
  <c r="N49" i="1038"/>
  <c r="M49" i="1038"/>
  <c r="H49" i="1038"/>
  <c r="R48" i="1038"/>
  <c r="S48" i="1038" s="1"/>
  <c r="Q48" i="1038"/>
  <c r="P48" i="1038"/>
  <c r="N48" i="1038"/>
  <c r="O48" i="1038" s="1"/>
  <c r="M48" i="1038"/>
  <c r="H48" i="1038"/>
  <c r="P47" i="1038"/>
  <c r="N47" i="1038"/>
  <c r="O47" i="1038" s="1"/>
  <c r="M47" i="1038"/>
  <c r="H47" i="1038"/>
  <c r="R46" i="1038"/>
  <c r="S46" i="1038" s="1"/>
  <c r="P46" i="1038"/>
  <c r="Q46" i="1038" s="1"/>
  <c r="N46" i="1038"/>
  <c r="O46" i="1038" s="1"/>
  <c r="M46" i="1038"/>
  <c r="U46" i="1038" s="1"/>
  <c r="H46" i="1038"/>
  <c r="U45" i="1038"/>
  <c r="S45" i="1038"/>
  <c r="R45" i="1038"/>
  <c r="Q45" i="1038"/>
  <c r="P45" i="1038"/>
  <c r="O45" i="1038"/>
  <c r="N45" i="1038"/>
  <c r="M45" i="1038"/>
  <c r="H45" i="1038"/>
  <c r="P44" i="1038"/>
  <c r="R44" i="1038" s="1"/>
  <c r="S44" i="1038" s="1"/>
  <c r="N44" i="1038"/>
  <c r="O44" i="1038" s="1"/>
  <c r="M44" i="1038"/>
  <c r="H44" i="1038"/>
  <c r="P43" i="1038"/>
  <c r="N43" i="1038"/>
  <c r="O43" i="1038" s="1"/>
  <c r="M43" i="1038"/>
  <c r="H43" i="1038"/>
  <c r="R42" i="1038"/>
  <c r="S42" i="1038" s="1"/>
  <c r="P42" i="1038"/>
  <c r="Q42" i="1038" s="1"/>
  <c r="N42" i="1038"/>
  <c r="O42" i="1038" s="1"/>
  <c r="M42" i="1038"/>
  <c r="U42" i="1038" s="1"/>
  <c r="H42" i="1038"/>
  <c r="S41" i="1038"/>
  <c r="P41" i="1038"/>
  <c r="R41" i="1038" s="1"/>
  <c r="U41" i="1038" s="1"/>
  <c r="O41" i="1038"/>
  <c r="N41" i="1038"/>
  <c r="M41" i="1038"/>
  <c r="H41" i="1038"/>
  <c r="R40" i="1038"/>
  <c r="S40" i="1038" s="1"/>
  <c r="Q40" i="1038"/>
  <c r="P40" i="1038"/>
  <c r="N40" i="1038"/>
  <c r="O40" i="1038" s="1"/>
  <c r="M40" i="1038"/>
  <c r="H40" i="1038"/>
  <c r="P39" i="1038"/>
  <c r="N39" i="1038"/>
  <c r="O39" i="1038" s="1"/>
  <c r="M39" i="1038"/>
  <c r="H39" i="1038"/>
  <c r="R38" i="1038"/>
  <c r="S38" i="1038" s="1"/>
  <c r="P38" i="1038"/>
  <c r="Q38" i="1038" s="1"/>
  <c r="N38" i="1038"/>
  <c r="O38" i="1038" s="1"/>
  <c r="M38" i="1038"/>
  <c r="U38" i="1038" s="1"/>
  <c r="H38" i="1038"/>
  <c r="U37" i="1038"/>
  <c r="S37" i="1038"/>
  <c r="R37" i="1038"/>
  <c r="Q37" i="1038"/>
  <c r="P37" i="1038"/>
  <c r="O37" i="1038"/>
  <c r="N37" i="1038"/>
  <c r="M37" i="1038"/>
  <c r="H37" i="1038"/>
  <c r="P36" i="1038"/>
  <c r="R36" i="1038" s="1"/>
  <c r="S36" i="1038" s="1"/>
  <c r="N36" i="1038"/>
  <c r="O36" i="1038" s="1"/>
  <c r="M36" i="1038"/>
  <c r="H36" i="1038"/>
  <c r="P35" i="1038"/>
  <c r="N35" i="1038"/>
  <c r="O35" i="1038" s="1"/>
  <c r="M35" i="1038"/>
  <c r="H35" i="1038"/>
  <c r="R34" i="1038"/>
  <c r="S34" i="1038" s="1"/>
  <c r="P34" i="1038"/>
  <c r="Q34" i="1038" s="1"/>
  <c r="N34" i="1038"/>
  <c r="O34" i="1038" s="1"/>
  <c r="M34" i="1038"/>
  <c r="U34" i="1038" s="1"/>
  <c r="H34" i="1038"/>
  <c r="S33" i="1038"/>
  <c r="P33" i="1038"/>
  <c r="R33" i="1038" s="1"/>
  <c r="U33" i="1038" s="1"/>
  <c r="O33" i="1038"/>
  <c r="N33" i="1038"/>
  <c r="M33" i="1038"/>
  <c r="H33" i="1038"/>
  <c r="R32" i="1038"/>
  <c r="S32" i="1038" s="1"/>
  <c r="Q32" i="1038"/>
  <c r="P32" i="1038"/>
  <c r="N32" i="1038"/>
  <c r="O32" i="1038" s="1"/>
  <c r="M32" i="1038"/>
  <c r="H32" i="1038"/>
  <c r="P31" i="1038"/>
  <c r="R31" i="1038" s="1"/>
  <c r="N31" i="1038"/>
  <c r="O31" i="1038" s="1"/>
  <c r="M31" i="1038"/>
  <c r="U31" i="1038" s="1"/>
  <c r="H31" i="1038"/>
  <c r="R30" i="1038"/>
  <c r="S30" i="1038" s="1"/>
  <c r="P30" i="1038"/>
  <c r="Q30" i="1038" s="1"/>
  <c r="N30" i="1038"/>
  <c r="O30" i="1038" s="1"/>
  <c r="M30" i="1038"/>
  <c r="U30" i="1038" s="1"/>
  <c r="H30" i="1038"/>
  <c r="U29" i="1038"/>
  <c r="P29" i="1038"/>
  <c r="R29" i="1038" s="1"/>
  <c r="S29" i="1038" s="1"/>
  <c r="N29" i="1038"/>
  <c r="O29" i="1038" s="1"/>
  <c r="M29" i="1038"/>
  <c r="H29" i="1038"/>
  <c r="R28" i="1038"/>
  <c r="S28" i="1038" s="1"/>
  <c r="P28" i="1038"/>
  <c r="Q28" i="1038" s="1"/>
  <c r="N28" i="1038"/>
  <c r="O28" i="1038" s="1"/>
  <c r="M28" i="1038"/>
  <c r="H28" i="1038"/>
  <c r="P27" i="1038"/>
  <c r="R27" i="1038" s="1"/>
  <c r="S27" i="1038" s="1"/>
  <c r="N27" i="1038"/>
  <c r="O27" i="1038" s="1"/>
  <c r="M27" i="1038"/>
  <c r="H27" i="1038"/>
  <c r="P26" i="1038"/>
  <c r="R26" i="1038" s="1"/>
  <c r="S26" i="1038" s="1"/>
  <c r="N26" i="1038"/>
  <c r="O26" i="1038" s="1"/>
  <c r="M26" i="1038"/>
  <c r="H26" i="1038"/>
  <c r="P25" i="1038"/>
  <c r="R25" i="1038" s="1"/>
  <c r="U25" i="1038" s="1"/>
  <c r="N25" i="1038"/>
  <c r="O25" i="1038" s="1"/>
  <c r="M25" i="1038"/>
  <c r="H25" i="1038"/>
  <c r="P24" i="1038"/>
  <c r="R24" i="1038" s="1"/>
  <c r="S24" i="1038" s="1"/>
  <c r="N24" i="1038"/>
  <c r="O24" i="1038" s="1"/>
  <c r="M24" i="1038"/>
  <c r="H24" i="1038"/>
  <c r="P23" i="1038"/>
  <c r="N23" i="1038"/>
  <c r="O23" i="1038" s="1"/>
  <c r="M23" i="1038"/>
  <c r="H23" i="1038"/>
  <c r="P22" i="1038"/>
  <c r="R22" i="1038" s="1"/>
  <c r="S22" i="1038" s="1"/>
  <c r="N22" i="1038"/>
  <c r="O22" i="1038" s="1"/>
  <c r="M22" i="1038"/>
  <c r="H22" i="1038"/>
  <c r="U21" i="1038"/>
  <c r="P21" i="1038"/>
  <c r="R21" i="1038" s="1"/>
  <c r="S21" i="1038" s="1"/>
  <c r="N21" i="1038"/>
  <c r="O21" i="1038" s="1"/>
  <c r="M21" i="1038"/>
  <c r="H21" i="1038"/>
  <c r="R20" i="1038"/>
  <c r="S20" i="1038" s="1"/>
  <c r="P20" i="1038"/>
  <c r="Q20" i="1038" s="1"/>
  <c r="N20" i="1038"/>
  <c r="O20" i="1038" s="1"/>
  <c r="M20" i="1038"/>
  <c r="H20" i="1038"/>
  <c r="P19" i="1038"/>
  <c r="R19" i="1038" s="1"/>
  <c r="S19" i="1038" s="1"/>
  <c r="N19" i="1038"/>
  <c r="O19" i="1038" s="1"/>
  <c r="M19" i="1038"/>
  <c r="H19" i="1038"/>
  <c r="P18" i="1038"/>
  <c r="R18" i="1038" s="1"/>
  <c r="S18" i="1038" s="1"/>
  <c r="N18" i="1038"/>
  <c r="O18" i="1038" s="1"/>
  <c r="M18" i="1038"/>
  <c r="H18" i="1038"/>
  <c r="P17" i="1038"/>
  <c r="R17" i="1038" s="1"/>
  <c r="U17" i="1038" s="1"/>
  <c r="N17" i="1038"/>
  <c r="O17" i="1038" s="1"/>
  <c r="M17" i="1038"/>
  <c r="H17" i="1038"/>
  <c r="P16" i="1038"/>
  <c r="R16" i="1038" s="1"/>
  <c r="S16" i="1038" s="1"/>
  <c r="N16" i="1038"/>
  <c r="O16" i="1038" s="1"/>
  <c r="M16" i="1038"/>
  <c r="H16" i="1038"/>
  <c r="P15" i="1038"/>
  <c r="N15" i="1038"/>
  <c r="O15" i="1038" s="1"/>
  <c r="M15" i="1038"/>
  <c r="H15" i="1038"/>
  <c r="P14" i="1038"/>
  <c r="R14" i="1038" s="1"/>
  <c r="S14" i="1038" s="1"/>
  <c r="N14" i="1038"/>
  <c r="O14" i="1038" s="1"/>
  <c r="M14" i="1038"/>
  <c r="H14" i="1038"/>
  <c r="U13" i="1038"/>
  <c r="P13" i="1038"/>
  <c r="R13" i="1038" s="1"/>
  <c r="S13" i="1038" s="1"/>
  <c r="N13" i="1038"/>
  <c r="O13" i="1038" s="1"/>
  <c r="M13" i="1038"/>
  <c r="H13" i="1038"/>
  <c r="R12" i="1038"/>
  <c r="S12" i="1038" s="1"/>
  <c r="P12" i="1038"/>
  <c r="Q12" i="1038" s="1"/>
  <c r="N12" i="1038"/>
  <c r="O12" i="1038" s="1"/>
  <c r="M12" i="1038"/>
  <c r="H12" i="1038"/>
  <c r="P11" i="1038"/>
  <c r="R11" i="1038" s="1"/>
  <c r="S11" i="1038" s="1"/>
  <c r="N11" i="1038"/>
  <c r="M11" i="1038"/>
  <c r="H11" i="1038"/>
  <c r="P10" i="1038"/>
  <c r="N10" i="1038"/>
  <c r="O10" i="1038" s="1"/>
  <c r="M10" i="1038"/>
  <c r="H10" i="1038"/>
  <c r="H9" i="1038" s="1"/>
  <c r="L9" i="1038"/>
  <c r="K9" i="1038"/>
  <c r="J9" i="1038"/>
  <c r="I9" i="1038"/>
  <c r="I8" i="1038" s="1"/>
  <c r="I7" i="1038" s="1"/>
  <c r="G9" i="1038"/>
  <c r="G8" i="1038" s="1"/>
  <c r="G7" i="1038" s="1"/>
  <c r="F9" i="1038"/>
  <c r="F8" i="1038" s="1"/>
  <c r="F7" i="1038" s="1"/>
  <c r="T8" i="1038"/>
  <c r="L8" i="1038"/>
  <c r="K8" i="1038"/>
  <c r="K7" i="1038" s="1"/>
  <c r="J8" i="1038"/>
  <c r="J7" i="1038" s="1"/>
  <c r="T7" i="1038"/>
  <c r="L7" i="1038"/>
  <c r="O30" i="1042" l="1"/>
  <c r="M14" i="1042"/>
  <c r="N14" i="1042" s="1"/>
  <c r="M31" i="1042"/>
  <c r="Q36" i="1042"/>
  <c r="S36" i="1042" s="1"/>
  <c r="K36" i="1042"/>
  <c r="K64" i="1042"/>
  <c r="Q52" i="1042"/>
  <c r="S52" i="1042" s="1"/>
  <c r="M74" i="1042"/>
  <c r="N74" i="1042" s="1"/>
  <c r="K50" i="1042"/>
  <c r="M54" i="1042"/>
  <c r="N54" i="1042" s="1"/>
  <c r="K83" i="1042"/>
  <c r="K56" i="1042"/>
  <c r="M12" i="1042"/>
  <c r="N12" i="1042" s="1"/>
  <c r="M22" i="1042"/>
  <c r="N22" i="1042" s="1"/>
  <c r="M25" i="1042"/>
  <c r="N25" i="1042" s="1"/>
  <c r="Q34" i="1042"/>
  <c r="S34" i="1042" s="1"/>
  <c r="K63" i="1042"/>
  <c r="M46" i="1042"/>
  <c r="O67" i="1042"/>
  <c r="M61" i="1042"/>
  <c r="O61" i="1042" s="1"/>
  <c r="K49" i="1042"/>
  <c r="K52" i="1042"/>
  <c r="K62" i="1042"/>
  <c r="Q79" i="1042"/>
  <c r="S79" i="1042" s="1"/>
  <c r="K58" i="1042"/>
  <c r="O58" i="1042"/>
  <c r="E9" i="1042"/>
  <c r="M17" i="1042"/>
  <c r="N17" i="1042" s="1"/>
  <c r="M34" i="1042"/>
  <c r="N34" i="1042" s="1"/>
  <c r="M44" i="1042"/>
  <c r="O72" i="1042"/>
  <c r="N49" i="1042"/>
  <c r="N52" i="1042"/>
  <c r="N62" i="1042"/>
  <c r="M58" i="1042"/>
  <c r="N58" i="1042" s="1"/>
  <c r="K23" i="1042"/>
  <c r="O60" i="1042"/>
  <c r="Q30" i="1042"/>
  <c r="S30" i="1042" s="1"/>
  <c r="K30" i="1042"/>
  <c r="K80" i="1042"/>
  <c r="K72" i="1042"/>
  <c r="M67" i="1042"/>
  <c r="N67" i="1042" s="1"/>
  <c r="Q63" i="1042"/>
  <c r="S63" i="1042" s="1"/>
  <c r="K55" i="1042"/>
  <c r="K79" i="1042"/>
  <c r="M70" i="1042"/>
  <c r="N70" i="1042" s="1"/>
  <c r="N80" i="1042"/>
  <c r="M72" i="1042"/>
  <c r="N72" i="1042" s="1"/>
  <c r="Q58" i="1042"/>
  <c r="S58" i="1042" s="1"/>
  <c r="N79" i="1042"/>
  <c r="J9" i="1042"/>
  <c r="K78" i="1042"/>
  <c r="M38" i="1042"/>
  <c r="N38" i="1042" s="1"/>
  <c r="K41" i="1042"/>
  <c r="K82" i="1042"/>
  <c r="M81" i="1042"/>
  <c r="N81" i="1042" s="1"/>
  <c r="Q83" i="1042"/>
  <c r="S83" i="1042" s="1"/>
  <c r="M28" i="1042"/>
  <c r="N28" i="1042" s="1"/>
  <c r="K35" i="1042"/>
  <c r="N41" i="1042"/>
  <c r="M47" i="1042"/>
  <c r="N47" i="1042" s="1"/>
  <c r="K71" i="1042"/>
  <c r="Q75" i="1042"/>
  <c r="S75" i="1042" s="1"/>
  <c r="Q78" i="1042"/>
  <c r="S78" i="1042" s="1"/>
  <c r="N26" i="1042"/>
  <c r="Q35" i="1042"/>
  <c r="S35" i="1042" s="1"/>
  <c r="M78" i="1042"/>
  <c r="Q49" i="1042"/>
  <c r="S49" i="1042" s="1"/>
  <c r="Q72" i="1042"/>
  <c r="S72" i="1042" s="1"/>
  <c r="N50" i="1042"/>
  <c r="N33" i="1042"/>
  <c r="K73" i="1042"/>
  <c r="Q70" i="1042"/>
  <c r="S70" i="1042" s="1"/>
  <c r="M11" i="1042"/>
  <c r="O11" i="1042" s="1"/>
  <c r="K31" i="1042"/>
  <c r="N73" i="1042"/>
  <c r="K51" i="1042"/>
  <c r="K57" i="1042"/>
  <c r="O19" i="1042"/>
  <c r="N19" i="1042"/>
  <c r="O50" i="1042"/>
  <c r="O57" i="1042"/>
  <c r="N57" i="1042"/>
  <c r="O14" i="1042"/>
  <c r="N31" i="1042"/>
  <c r="O31" i="1042"/>
  <c r="N59" i="1042"/>
  <c r="O59" i="1042"/>
  <c r="O46" i="1042"/>
  <c r="N46" i="1042"/>
  <c r="N61" i="1042"/>
  <c r="O63" i="1042"/>
  <c r="N63" i="1042"/>
  <c r="O80" i="1042"/>
  <c r="O44" i="1042"/>
  <c r="N44" i="1042"/>
  <c r="K9" i="1042"/>
  <c r="O56" i="1042"/>
  <c r="N56" i="1042"/>
  <c r="O81" i="1042"/>
  <c r="O82" i="1042"/>
  <c r="O55" i="1042"/>
  <c r="N55" i="1042"/>
  <c r="O85" i="1042"/>
  <c r="N85" i="1042"/>
  <c r="N18" i="1042"/>
  <c r="O18" i="1042"/>
  <c r="O77" i="1042"/>
  <c r="N77" i="1042"/>
  <c r="O65" i="1042"/>
  <c r="N65" i="1042"/>
  <c r="O47" i="1042"/>
  <c r="O75" i="1042"/>
  <c r="N75" i="1042"/>
  <c r="N78" i="1042"/>
  <c r="O78" i="1042"/>
  <c r="O40" i="1042"/>
  <c r="N40" i="1042"/>
  <c r="N71" i="1042"/>
  <c r="O71" i="1042"/>
  <c r="O42" i="1042"/>
  <c r="O66" i="1042"/>
  <c r="O51" i="1042"/>
  <c r="O43" i="1042"/>
  <c r="N43" i="1042"/>
  <c r="N69" i="1042"/>
  <c r="O69" i="1042"/>
  <c r="Q33" i="1042"/>
  <c r="S33" i="1042" s="1"/>
  <c r="Q39" i="1042"/>
  <c r="S39" i="1042" s="1"/>
  <c r="N13" i="1042"/>
  <c r="N35" i="1042"/>
  <c r="K12" i="1042"/>
  <c r="K25" i="1042"/>
  <c r="K27" i="1042"/>
  <c r="O29" i="1042"/>
  <c r="K33" i="1042"/>
  <c r="M83" i="1042"/>
  <c r="O83" i="1042" s="1"/>
  <c r="O76" i="1042"/>
  <c r="O84" i="1042"/>
  <c r="K60" i="1042"/>
  <c r="K32" i="1042"/>
  <c r="O34" i="1042"/>
  <c r="K37" i="1042"/>
  <c r="I9" i="1042"/>
  <c r="O38" i="1042"/>
  <c r="O62" i="1042"/>
  <c r="O16" i="1042"/>
  <c r="O25" i="1042"/>
  <c r="O27" i="1042"/>
  <c r="O33" i="1042"/>
  <c r="O86" i="1042"/>
  <c r="O21" i="1042"/>
  <c r="O41" i="1042"/>
  <c r="O45" i="1042"/>
  <c r="O74" i="1042"/>
  <c r="O53" i="1042"/>
  <c r="O68" i="1042"/>
  <c r="L9" i="1042"/>
  <c r="M9" i="1042" s="1"/>
  <c r="N9" i="1042" s="1"/>
  <c r="O15" i="1042"/>
  <c r="N20" i="1042"/>
  <c r="O24" i="1042"/>
  <c r="O32" i="1042"/>
  <c r="O37" i="1042"/>
  <c r="N64" i="1042"/>
  <c r="I13" i="1041"/>
  <c r="L13" i="1041"/>
  <c r="M14" i="1041"/>
  <c r="I10" i="1041"/>
  <c r="I14" i="1041"/>
  <c r="M10" i="1041"/>
  <c r="I18" i="1041"/>
  <c r="L12" i="1041"/>
  <c r="G10" i="1041"/>
  <c r="L10" i="1041" s="1"/>
  <c r="K11" i="1041"/>
  <c r="L11" i="1041" s="1"/>
  <c r="K14" i="1041"/>
  <c r="L14" i="1041" s="1"/>
  <c r="K16" i="1041"/>
  <c r="L16" i="1041" s="1"/>
  <c r="G9" i="1041"/>
  <c r="I12" i="1041"/>
  <c r="S13" i="1040"/>
  <c r="Q13" i="1040"/>
  <c r="P10" i="1040"/>
  <c r="Q10" i="1040" s="1"/>
  <c r="S10" i="1040"/>
  <c r="AB13" i="1040"/>
  <c r="AB10" i="1040" s="1"/>
  <c r="M15" i="1040"/>
  <c r="M14" i="1040"/>
  <c r="Q14" i="1040"/>
  <c r="Q270" i="1038"/>
  <c r="Q279" i="1038"/>
  <c r="Q282" i="1038"/>
  <c r="U313" i="1038"/>
  <c r="O340" i="1038"/>
  <c r="U356" i="1038"/>
  <c r="Q358" i="1038"/>
  <c r="U365" i="1038"/>
  <c r="U389" i="1038"/>
  <c r="S397" i="1038"/>
  <c r="U404" i="1038"/>
  <c r="U426" i="1038"/>
  <c r="O447" i="1038"/>
  <c r="O450" i="1038"/>
  <c r="U464" i="1038"/>
  <c r="O475" i="1038"/>
  <c r="O534" i="1038"/>
  <c r="S556" i="1038"/>
  <c r="O585" i="1038"/>
  <c r="S606" i="1038"/>
  <c r="S624" i="1038"/>
  <c r="O644" i="1038"/>
  <c r="U650" i="1038"/>
  <c r="O265" i="1038"/>
  <c r="O285" i="1038"/>
  <c r="U332" i="1038"/>
  <c r="O344" i="1038"/>
  <c r="U354" i="1038"/>
  <c r="U413" i="1038"/>
  <c r="O456" i="1038"/>
  <c r="O462" i="1038"/>
  <c r="O478" i="1038"/>
  <c r="U481" i="1038"/>
  <c r="O489" i="1038"/>
  <c r="O495" i="1038"/>
  <c r="O510" i="1038"/>
  <c r="S534" i="1038"/>
  <c r="O553" i="1038"/>
  <c r="U563" i="1038"/>
  <c r="S585" i="1038"/>
  <c r="S615" i="1038"/>
  <c r="U653" i="1038"/>
  <c r="O664" i="1038"/>
  <c r="O268" i="1038"/>
  <c r="S280" i="1038"/>
  <c r="Q285" i="1038"/>
  <c r="O292" i="1038"/>
  <c r="U301" i="1038"/>
  <c r="S344" i="1038"/>
  <c r="S346" i="1038"/>
  <c r="U352" i="1038"/>
  <c r="S387" i="1038"/>
  <c r="O398" i="1038"/>
  <c r="S407" i="1038"/>
  <c r="U416" i="1038"/>
  <c r="S423" i="1038"/>
  <c r="O473" i="1038"/>
  <c r="U541" i="1038"/>
  <c r="U544" i="1038"/>
  <c r="S553" i="1038"/>
  <c r="U568" i="1038"/>
  <c r="O589" i="1038"/>
  <c r="Q644" i="1038"/>
  <c r="O682" i="1038"/>
  <c r="O279" i="1038"/>
  <c r="Q265" i="1038"/>
  <c r="Q277" i="1038"/>
  <c r="S292" i="1038"/>
  <c r="O318" i="1038"/>
  <c r="U347" i="1038"/>
  <c r="O366" i="1038"/>
  <c r="O373" i="1038"/>
  <c r="O376" i="1038"/>
  <c r="U508" i="1038"/>
  <c r="U532" i="1038"/>
  <c r="O538" i="1038"/>
  <c r="U560" i="1038"/>
  <c r="O604" i="1038"/>
  <c r="O622" i="1038"/>
  <c r="O625" i="1038"/>
  <c r="U644" i="1038"/>
  <c r="U662" i="1038"/>
  <c r="U677" i="1038"/>
  <c r="S265" i="1038"/>
  <c r="Q268" i="1038"/>
  <c r="Q280" i="1038"/>
  <c r="Q292" i="1038"/>
  <c r="O359" i="1038"/>
  <c r="Q373" i="1038"/>
  <c r="Q376" i="1038"/>
  <c r="Q398" i="1038"/>
  <c r="U470" i="1038"/>
  <c r="Q473" i="1038"/>
  <c r="O554" i="1038"/>
  <c r="S564" i="1038"/>
  <c r="U590" i="1038"/>
  <c r="S622" i="1038"/>
  <c r="S639" i="1038"/>
  <c r="S642" i="1038"/>
  <c r="O671" i="1038"/>
  <c r="U680" i="1038"/>
  <c r="U690" i="1038"/>
  <c r="S268" i="1038"/>
  <c r="U274" i="1038"/>
  <c r="U278" i="1038"/>
  <c r="U341" i="1038"/>
  <c r="U355" i="1038"/>
  <c r="S357" i="1038"/>
  <c r="S373" i="1038"/>
  <c r="S376" i="1038"/>
  <c r="O419" i="1038"/>
  <c r="S473" i="1038"/>
  <c r="S529" i="1038"/>
  <c r="Q538" i="1038"/>
  <c r="S554" i="1038"/>
  <c r="O561" i="1038"/>
  <c r="O572" i="1038"/>
  <c r="O575" i="1038"/>
  <c r="Q622" i="1038"/>
  <c r="Q671" i="1038"/>
  <c r="U271" i="1038"/>
  <c r="U284" i="1038"/>
  <c r="O290" i="1038"/>
  <c r="O305" i="1038"/>
  <c r="U326" i="1038"/>
  <c r="O338" i="1038"/>
  <c r="O345" i="1038"/>
  <c r="U350" i="1038"/>
  <c r="O357" i="1038"/>
  <c r="U422" i="1038"/>
  <c r="O466" i="1038"/>
  <c r="S538" i="1038"/>
  <c r="U547" i="1038"/>
  <c r="S561" i="1038"/>
  <c r="S572" i="1038"/>
  <c r="U581" i="1038"/>
  <c r="U593" i="1038"/>
  <c r="U599" i="1038"/>
  <c r="U611" i="1038"/>
  <c r="O270" i="1038"/>
  <c r="O266" i="1038"/>
  <c r="O278" i="1038"/>
  <c r="S281" i="1038"/>
  <c r="S290" i="1038"/>
  <c r="O293" i="1038"/>
  <c r="S305" i="1038"/>
  <c r="S338" i="1038"/>
  <c r="S345" i="1038"/>
  <c r="O386" i="1038"/>
  <c r="O389" i="1038"/>
  <c r="Q419" i="1038"/>
  <c r="O422" i="1038"/>
  <c r="U559" i="1038"/>
  <c r="S565" i="1038"/>
  <c r="O569" i="1038"/>
  <c r="S575" i="1038"/>
  <c r="O587" i="1038"/>
  <c r="O620" i="1038"/>
  <c r="O623" i="1038"/>
  <c r="S629" i="1038"/>
  <c r="U632" i="1038"/>
  <c r="S648" i="1038"/>
  <c r="S687" i="1038"/>
  <c r="O556" i="1038"/>
  <c r="U264" i="1038"/>
  <c r="S272" i="1038"/>
  <c r="Q281" i="1038"/>
  <c r="Q290" i="1038"/>
  <c r="S293" i="1038"/>
  <c r="O316" i="1038"/>
  <c r="U319" i="1038"/>
  <c r="O371" i="1038"/>
  <c r="O380" i="1038"/>
  <c r="O536" i="1038"/>
  <c r="U551" i="1038"/>
  <c r="S569" i="1038"/>
  <c r="U587" i="1038"/>
  <c r="O602" i="1038"/>
  <c r="O614" i="1038"/>
  <c r="Q620" i="1038"/>
  <c r="Q623" i="1038"/>
  <c r="U646" i="1038"/>
  <c r="U660" i="1038"/>
  <c r="U663" i="1038"/>
  <c r="U669" i="1038"/>
  <c r="U672" i="1038"/>
  <c r="U675" i="1038"/>
  <c r="U678" i="1038"/>
  <c r="U688" i="1038"/>
  <c r="U452" i="1038"/>
  <c r="O264" i="1038"/>
  <c r="Q272" i="1038"/>
  <c r="Q278" i="1038"/>
  <c r="U296" i="1038"/>
  <c r="S316" i="1038"/>
  <c r="U353" i="1038"/>
  <c r="S419" i="1038"/>
  <c r="S536" i="1038"/>
  <c r="S587" i="1038"/>
  <c r="Q602" i="1038"/>
  <c r="Q614" i="1038"/>
  <c r="S623" i="1038"/>
  <c r="O663" i="1038"/>
  <c r="O669" i="1038"/>
  <c r="S17" i="1038"/>
  <c r="U20" i="1038"/>
  <c r="U22" i="1038"/>
  <c r="Q24" i="1038"/>
  <c r="R55" i="1038"/>
  <c r="S55" i="1038" s="1"/>
  <c r="S57" i="1038"/>
  <c r="U61" i="1038"/>
  <c r="Q84" i="1038"/>
  <c r="R88" i="1038"/>
  <c r="S88" i="1038" s="1"/>
  <c r="O103" i="1038"/>
  <c r="S105" i="1038"/>
  <c r="R107" i="1038"/>
  <c r="S107" i="1038" s="1"/>
  <c r="U109" i="1038"/>
  <c r="Q128" i="1038"/>
  <c r="Q207" i="1038"/>
  <c r="R207" i="1038"/>
  <c r="S207" i="1038" s="1"/>
  <c r="S235" i="1038"/>
  <c r="U235" i="1038"/>
  <c r="Q160" i="1038"/>
  <c r="U39" i="1038"/>
  <c r="U72" i="1038"/>
  <c r="U11" i="1038"/>
  <c r="R15" i="1038"/>
  <c r="S15" i="1038" s="1"/>
  <c r="U27" i="1038"/>
  <c r="R35" i="1038"/>
  <c r="S35" i="1038" s="1"/>
  <c r="R43" i="1038"/>
  <c r="S43" i="1038" s="1"/>
  <c r="R51" i="1038"/>
  <c r="S51" i="1038" s="1"/>
  <c r="S53" i="1038"/>
  <c r="U60" i="1038"/>
  <c r="Q80" i="1038"/>
  <c r="U95" i="1038"/>
  <c r="R103" i="1038"/>
  <c r="S103" i="1038" s="1"/>
  <c r="Q124" i="1038"/>
  <c r="Q147" i="1038"/>
  <c r="U149" i="1038"/>
  <c r="R253" i="1038"/>
  <c r="S253" i="1038" s="1"/>
  <c r="Q253" i="1038"/>
  <c r="U381" i="1038"/>
  <c r="Q381" i="1038"/>
  <c r="O381" i="1038"/>
  <c r="U51" i="1038"/>
  <c r="U80" i="1038"/>
  <c r="U47" i="1038"/>
  <c r="U68" i="1038"/>
  <c r="U103" i="1038"/>
  <c r="N9" i="1038"/>
  <c r="S31" i="1038"/>
  <c r="R39" i="1038"/>
  <c r="S39" i="1038" s="1"/>
  <c r="R47" i="1038"/>
  <c r="S47" i="1038" s="1"/>
  <c r="U56" i="1038"/>
  <c r="U91" i="1038"/>
  <c r="O99" i="1038"/>
  <c r="U108" i="1038"/>
  <c r="R143" i="1038"/>
  <c r="S143" i="1038" s="1"/>
  <c r="Q143" i="1038"/>
  <c r="S231" i="1038"/>
  <c r="U231" i="1038"/>
  <c r="S314" i="1038"/>
  <c r="U314" i="1038"/>
  <c r="S329" i="1038"/>
  <c r="U329" i="1038"/>
  <c r="U388" i="1038"/>
  <c r="O388" i="1038"/>
  <c r="Q388" i="1038"/>
  <c r="Q273" i="1038"/>
  <c r="P258" i="1038"/>
  <c r="P9" i="1038"/>
  <c r="O11" i="1038"/>
  <c r="U16" i="1038"/>
  <c r="U18" i="1038"/>
  <c r="U36" i="1038"/>
  <c r="U44" i="1038"/>
  <c r="U52" i="1038"/>
  <c r="U87" i="1038"/>
  <c r="Q87" i="1038"/>
  <c r="R99" i="1038"/>
  <c r="S99" i="1038" s="1"/>
  <c r="U104" i="1038"/>
  <c r="Q112" i="1038"/>
  <c r="R202" i="1038"/>
  <c r="S202" i="1038" s="1"/>
  <c r="Q202" i="1038"/>
  <c r="O286" i="1038"/>
  <c r="R286" i="1038"/>
  <c r="R289" i="1038"/>
  <c r="Q289" i="1038"/>
  <c r="U15" i="1038"/>
  <c r="U485" i="1038"/>
  <c r="S485" i="1038"/>
  <c r="U76" i="1038"/>
  <c r="U23" i="1038"/>
  <c r="U32" i="1038"/>
  <c r="U40" i="1038"/>
  <c r="U48" i="1038"/>
  <c r="S283" i="1038"/>
  <c r="U283" i="1038"/>
  <c r="U43" i="1038"/>
  <c r="U79" i="1038"/>
  <c r="Q127" i="1038"/>
  <c r="U12" i="1038"/>
  <c r="U14" i="1038"/>
  <c r="Q16" i="1038"/>
  <c r="S25" i="1038"/>
  <c r="U28" i="1038"/>
  <c r="Q36" i="1038"/>
  <c r="Q44" i="1038"/>
  <c r="Q52" i="1038"/>
  <c r="U71" i="1038"/>
  <c r="U75" i="1038"/>
  <c r="Q75" i="1038"/>
  <c r="S89" i="1038"/>
  <c r="U96" i="1038"/>
  <c r="Q104" i="1038"/>
  <c r="U119" i="1038"/>
  <c r="Q119" i="1038"/>
  <c r="Q123" i="1038"/>
  <c r="R127" i="1038"/>
  <c r="S127" i="1038" s="1"/>
  <c r="O127" i="1038"/>
  <c r="U244" i="1038"/>
  <c r="O244" i="1038"/>
  <c r="U252" i="1038"/>
  <c r="O252" i="1038"/>
  <c r="U19" i="1038"/>
  <c r="R23" i="1038"/>
  <c r="S23" i="1038" s="1"/>
  <c r="U63" i="1038"/>
  <c r="O79" i="1038"/>
  <c r="R83" i="1038"/>
  <c r="S83" i="1038" s="1"/>
  <c r="U92" i="1038"/>
  <c r="O123" i="1038"/>
  <c r="R123" i="1038"/>
  <c r="S123" i="1038" s="1"/>
  <c r="S261" i="1038"/>
  <c r="U35" i="1038"/>
  <c r="U59" i="1038"/>
  <c r="U88" i="1038"/>
  <c r="U111" i="1038"/>
  <c r="O115" i="1038"/>
  <c r="R115" i="1038"/>
  <c r="S115" i="1038" s="1"/>
  <c r="U24" i="1038"/>
  <c r="U26" i="1038"/>
  <c r="U55" i="1038"/>
  <c r="R67" i="1038"/>
  <c r="S67" i="1038" s="1"/>
  <c r="Q71" i="1038"/>
  <c r="U84" i="1038"/>
  <c r="U107" i="1038"/>
  <c r="O111" i="1038"/>
  <c r="Q115" i="1038"/>
  <c r="U128" i="1038"/>
  <c r="O154" i="1038"/>
  <c r="Q157" i="1038"/>
  <c r="S311" i="1038"/>
  <c r="U311" i="1038"/>
  <c r="U330" i="1038"/>
  <c r="R450" i="1038"/>
  <c r="S450" i="1038" s="1"/>
  <c r="Q450" i="1038"/>
  <c r="O130" i="1038"/>
  <c r="U155" i="1038"/>
  <c r="R160" i="1038"/>
  <c r="S160" i="1038" s="1"/>
  <c r="O160" i="1038"/>
  <c r="U185" i="1038"/>
  <c r="U203" i="1038"/>
  <c r="O205" i="1038"/>
  <c r="U210" i="1038"/>
  <c r="U227" i="1038"/>
  <c r="R266" i="1038"/>
  <c r="S266" i="1038" s="1"/>
  <c r="U269" i="1038"/>
  <c r="R276" i="1038"/>
  <c r="S276" i="1038" s="1"/>
  <c r="O281" i="1038"/>
  <c r="O370" i="1038"/>
  <c r="R370" i="1038"/>
  <c r="S370" i="1038" s="1"/>
  <c r="U382" i="1038"/>
  <c r="O382" i="1038"/>
  <c r="Q382" i="1038"/>
  <c r="R427" i="1038"/>
  <c r="Q427" i="1038"/>
  <c r="R462" i="1038"/>
  <c r="S462" i="1038" s="1"/>
  <c r="Q462" i="1038"/>
  <c r="R157" i="1038"/>
  <c r="S157" i="1038" s="1"/>
  <c r="O157" i="1038"/>
  <c r="R214" i="1038"/>
  <c r="S214" i="1038" s="1"/>
  <c r="Q214" i="1038"/>
  <c r="S381" i="1038"/>
  <c r="Q11" i="1038"/>
  <c r="Q15" i="1038"/>
  <c r="Q19" i="1038"/>
  <c r="Q23" i="1038"/>
  <c r="Q27" i="1038"/>
  <c r="Q31" i="1038"/>
  <c r="Q35" i="1038"/>
  <c r="Q39" i="1038"/>
  <c r="Q43" i="1038"/>
  <c r="Q47" i="1038"/>
  <c r="Q51" i="1038"/>
  <c r="Q55" i="1038"/>
  <c r="Q59" i="1038"/>
  <c r="Q63" i="1038"/>
  <c r="Q67" i="1038"/>
  <c r="Q79" i="1038"/>
  <c r="Q83" i="1038"/>
  <c r="Q91" i="1038"/>
  <c r="Q95" i="1038"/>
  <c r="Q99" i="1038"/>
  <c r="Q103" i="1038"/>
  <c r="Q107" i="1038"/>
  <c r="Q111" i="1038"/>
  <c r="Q130" i="1038"/>
  <c r="S132" i="1038"/>
  <c r="S152" i="1038"/>
  <c r="U158" i="1038"/>
  <c r="Q166" i="1038"/>
  <c r="P176" i="1038"/>
  <c r="R179" i="1038"/>
  <c r="S179" i="1038" s="1"/>
  <c r="U190" i="1038"/>
  <c r="U194" i="1038"/>
  <c r="S205" i="1038"/>
  <c r="U215" i="1038"/>
  <c r="R221" i="1038"/>
  <c r="U226" i="1038"/>
  <c r="U232" i="1038"/>
  <c r="U267" i="1038"/>
  <c r="S299" i="1038"/>
  <c r="U299" i="1038"/>
  <c r="S308" i="1038"/>
  <c r="U308" i="1038"/>
  <c r="S130" i="1038"/>
  <c r="Q139" i="1038"/>
  <c r="U141" i="1038"/>
  <c r="R150" i="1038"/>
  <c r="S150" i="1038" s="1"/>
  <c r="U161" i="1038"/>
  <c r="R163" i="1038"/>
  <c r="S163" i="1038" s="1"/>
  <c r="R166" i="1038"/>
  <c r="S166" i="1038" s="1"/>
  <c r="O166" i="1038"/>
  <c r="U169" i="1038"/>
  <c r="U208" i="1038"/>
  <c r="O217" i="1038"/>
  <c r="U223" i="1038"/>
  <c r="U228" i="1038"/>
  <c r="U240" i="1038"/>
  <c r="S240" i="1038"/>
  <c r="S242" i="1038"/>
  <c r="U245" i="1038"/>
  <c r="S245" i="1038"/>
  <c r="O269" i="1038"/>
  <c r="O367" i="1038"/>
  <c r="R367" i="1038"/>
  <c r="S367" i="1038" s="1"/>
  <c r="R198" i="1038"/>
  <c r="R225" i="1038"/>
  <c r="S225" i="1038" s="1"/>
  <c r="O385" i="1038"/>
  <c r="R385" i="1038"/>
  <c r="S385" i="1038" s="1"/>
  <c r="M9" i="1038"/>
  <c r="U146" i="1038"/>
  <c r="O169" i="1038"/>
  <c r="U181" i="1038"/>
  <c r="R203" i="1038"/>
  <c r="S203" i="1038" s="1"/>
  <c r="R210" i="1038"/>
  <c r="S210" i="1038" s="1"/>
  <c r="Q210" i="1038"/>
  <c r="S217" i="1038"/>
  <c r="Q245" i="1038"/>
  <c r="U247" i="1038"/>
  <c r="R254" i="1038"/>
  <c r="S254" i="1038" s="1"/>
  <c r="N258" i="1038"/>
  <c r="U272" i="1038"/>
  <c r="R279" i="1038"/>
  <c r="S279" i="1038" s="1"/>
  <c r="O300" i="1038"/>
  <c r="U323" i="1038"/>
  <c r="R342" i="1038"/>
  <c r="S342" i="1038" s="1"/>
  <c r="Q342" i="1038"/>
  <c r="Q10" i="1038"/>
  <c r="Q14" i="1038"/>
  <c r="Q18" i="1038"/>
  <c r="Q22" i="1038"/>
  <c r="Q26" i="1038"/>
  <c r="U131" i="1038"/>
  <c r="U167" i="1038"/>
  <c r="U172" i="1038"/>
  <c r="Q172" i="1038"/>
  <c r="S177" i="1038"/>
  <c r="U186" i="1038"/>
  <c r="S186" i="1038"/>
  <c r="U238" i="1038"/>
  <c r="S238" i="1038"/>
  <c r="U241" i="1038"/>
  <c r="U362" i="1038"/>
  <c r="S362" i="1038"/>
  <c r="U409" i="1038"/>
  <c r="O409" i="1038"/>
  <c r="U179" i="1038"/>
  <c r="R333" i="1038"/>
  <c r="S333" i="1038" s="1"/>
  <c r="Q333" i="1038"/>
  <c r="R10" i="1038"/>
  <c r="U10" i="1038" s="1"/>
  <c r="U170" i="1038"/>
  <c r="U177" i="1038"/>
  <c r="Q182" i="1038"/>
  <c r="U192" i="1038"/>
  <c r="U196" i="1038"/>
  <c r="S201" i="1038"/>
  <c r="O206" i="1038"/>
  <c r="O213" i="1038"/>
  <c r="U230" i="1038"/>
  <c r="S230" i="1038"/>
  <c r="U234" i="1038"/>
  <c r="S234" i="1038"/>
  <c r="U237" i="1038"/>
  <c r="S252" i="1038"/>
  <c r="O272" i="1038"/>
  <c r="U275" i="1038"/>
  <c r="S320" i="1038"/>
  <c r="U320" i="1038"/>
  <c r="U397" i="1038"/>
  <c r="O397" i="1038"/>
  <c r="U417" i="1038"/>
  <c r="Q417" i="1038"/>
  <c r="O417" i="1038"/>
  <c r="S74" i="1038"/>
  <c r="S106" i="1038"/>
  <c r="S110" i="1038"/>
  <c r="S114" i="1038"/>
  <c r="S118" i="1038"/>
  <c r="S122" i="1038"/>
  <c r="S126" i="1038"/>
  <c r="R131" i="1038"/>
  <c r="S131" i="1038" s="1"/>
  <c r="R142" i="1038"/>
  <c r="S142" i="1038" s="1"/>
  <c r="R151" i="1038"/>
  <c r="S151" i="1038" s="1"/>
  <c r="R172" i="1038"/>
  <c r="S172" i="1038" s="1"/>
  <c r="R182" i="1038"/>
  <c r="S182" i="1038" s="1"/>
  <c r="O182" i="1038"/>
  <c r="U187" i="1038"/>
  <c r="U191" i="1038"/>
  <c r="U195" i="1038"/>
  <c r="S199" i="1038"/>
  <c r="R206" i="1038"/>
  <c r="S206" i="1038" s="1"/>
  <c r="Q206" i="1038"/>
  <c r="S213" i="1038"/>
  <c r="U218" i="1038"/>
  <c r="S218" i="1038"/>
  <c r="U224" i="1038"/>
  <c r="S224" i="1038"/>
  <c r="O241" i="1038"/>
  <c r="S250" i="1038"/>
  <c r="U261" i="1038"/>
  <c r="U263" i="1038"/>
  <c r="R294" i="1038"/>
  <c r="S294" i="1038" s="1"/>
  <c r="Q294" i="1038"/>
  <c r="R297" i="1038"/>
  <c r="S297" i="1038" s="1"/>
  <c r="Q297" i="1038"/>
  <c r="U336" i="1038"/>
  <c r="R343" i="1038"/>
  <c r="Q343" i="1038"/>
  <c r="U402" i="1038"/>
  <c r="Q402" i="1038"/>
  <c r="O402" i="1038"/>
  <c r="S409" i="1038"/>
  <c r="R249" i="1038"/>
  <c r="Q13" i="1038"/>
  <c r="Q17" i="1038"/>
  <c r="Q21" i="1038"/>
  <c r="Q25" i="1038"/>
  <c r="Q29" i="1038"/>
  <c r="Q33" i="1038"/>
  <c r="Q41" i="1038"/>
  <c r="Q49" i="1038"/>
  <c r="Q53" i="1038"/>
  <c r="Q57" i="1038"/>
  <c r="Q61" i="1038"/>
  <c r="Q65" i="1038"/>
  <c r="Q69" i="1038"/>
  <c r="Q73" i="1038"/>
  <c r="Q77" i="1038"/>
  <c r="Q81" i="1038"/>
  <c r="Q85" i="1038"/>
  <c r="Q89" i="1038"/>
  <c r="Q93" i="1038"/>
  <c r="Q97" i="1038"/>
  <c r="Q101" i="1038"/>
  <c r="Q105" i="1038"/>
  <c r="Q109" i="1038"/>
  <c r="Q113" i="1038"/>
  <c r="Q117" i="1038"/>
  <c r="Q121" i="1038"/>
  <c r="Q125" i="1038"/>
  <c r="Q131" i="1038"/>
  <c r="U133" i="1038"/>
  <c r="U138" i="1038"/>
  <c r="Q138" i="1038"/>
  <c r="U147" i="1038"/>
  <c r="Q151" i="1038"/>
  <c r="U153" i="1038"/>
  <c r="U159" i="1038"/>
  <c r="U178" i="1038"/>
  <c r="M176" i="1038"/>
  <c r="H176" i="1038"/>
  <c r="H8" i="1038" s="1"/>
  <c r="H7" i="1038" s="1"/>
  <c r="U202" i="1038"/>
  <c r="Q218" i="1038"/>
  <c r="O237" i="1038"/>
  <c r="R241" i="1038"/>
  <c r="S241" i="1038" s="1"/>
  <c r="Q241" i="1038"/>
  <c r="R248" i="1038"/>
  <c r="S248" i="1038" s="1"/>
  <c r="U253" i="1038"/>
  <c r="R270" i="1038"/>
  <c r="S270" i="1038" s="1"/>
  <c r="U273" i="1038"/>
  <c r="O275" i="1038"/>
  <c r="R288" i="1038"/>
  <c r="S288" i="1038" s="1"/>
  <c r="Q288" i="1038"/>
  <c r="S317" i="1038"/>
  <c r="U317" i="1038"/>
  <c r="Q409" i="1038"/>
  <c r="U412" i="1038"/>
  <c r="O412" i="1038"/>
  <c r="Q412" i="1038"/>
  <c r="R134" i="1038"/>
  <c r="S134" i="1038" s="1"/>
  <c r="R154" i="1038"/>
  <c r="S154" i="1038" s="1"/>
  <c r="R183" i="1038"/>
  <c r="S244" i="1038"/>
  <c r="O138" i="1038"/>
  <c r="U143" i="1038"/>
  <c r="U162" i="1038"/>
  <c r="N176" i="1038"/>
  <c r="O178" i="1038"/>
  <c r="U197" i="1038"/>
  <c r="S197" i="1038"/>
  <c r="U207" i="1038"/>
  <c r="U209" i="1038"/>
  <c r="R211" i="1038"/>
  <c r="S211" i="1038" s="1"/>
  <c r="U214" i="1038"/>
  <c r="U225" i="1038"/>
  <c r="O229" i="1038"/>
  <c r="O233" i="1038"/>
  <c r="R336" i="1038"/>
  <c r="S336" i="1038" s="1"/>
  <c r="Q336" i="1038"/>
  <c r="R384" i="1038"/>
  <c r="S384" i="1038" s="1"/>
  <c r="O384" i="1038"/>
  <c r="U390" i="1038"/>
  <c r="Q390" i="1038"/>
  <c r="O390" i="1038"/>
  <c r="Q397" i="1038"/>
  <c r="U400" i="1038"/>
  <c r="O400" i="1038"/>
  <c r="Q400" i="1038"/>
  <c r="U171" i="1038"/>
  <c r="U174" i="1038"/>
  <c r="R184" i="1038"/>
  <c r="U216" i="1038"/>
  <c r="R291" i="1038"/>
  <c r="S291" i="1038" s="1"/>
  <c r="Q291" i="1038"/>
  <c r="O294" i="1038"/>
  <c r="U297" i="1038"/>
  <c r="U333" i="1038"/>
  <c r="R339" i="1038"/>
  <c r="S339" i="1038" s="1"/>
  <c r="Q339" i="1038"/>
  <c r="U348" i="1038"/>
  <c r="U360" i="1038"/>
  <c r="U379" i="1038"/>
  <c r="O379" i="1038"/>
  <c r="U414" i="1038"/>
  <c r="Q414" i="1038"/>
  <c r="O414" i="1038"/>
  <c r="R424" i="1038"/>
  <c r="Q424" i="1038"/>
  <c r="S475" i="1038"/>
  <c r="U475" i="1038"/>
  <c r="R300" i="1038"/>
  <c r="S300" i="1038" s="1"/>
  <c r="Q300" i="1038"/>
  <c r="O303" i="1038"/>
  <c r="R330" i="1038"/>
  <c r="S330" i="1038" s="1"/>
  <c r="Q330" i="1038"/>
  <c r="R340" i="1038"/>
  <c r="Q340" i="1038"/>
  <c r="U351" i="1038"/>
  <c r="R425" i="1038"/>
  <c r="Q425" i="1038"/>
  <c r="R492" i="1038"/>
  <c r="S492" i="1038" s="1"/>
  <c r="Q492" i="1038"/>
  <c r="R498" i="1038"/>
  <c r="S498" i="1038" s="1"/>
  <c r="Q498" i="1038"/>
  <c r="R510" i="1038"/>
  <c r="S510" i="1038" s="1"/>
  <c r="Q510" i="1038"/>
  <c r="R516" i="1038"/>
  <c r="S516" i="1038" s="1"/>
  <c r="Q516" i="1038"/>
  <c r="R528" i="1038"/>
  <c r="S528" i="1038" s="1"/>
  <c r="Q528" i="1038"/>
  <c r="U679" i="1038"/>
  <c r="S679" i="1038"/>
  <c r="Q186" i="1038"/>
  <c r="Q190" i="1038"/>
  <c r="Q194" i="1038"/>
  <c r="Q221" i="1038"/>
  <c r="Q225" i="1038"/>
  <c r="Q260" i="1038"/>
  <c r="Q263" i="1038"/>
  <c r="Q266" i="1038"/>
  <c r="R303" i="1038"/>
  <c r="S303" i="1038" s="1"/>
  <c r="Q303" i="1038"/>
  <c r="O306" i="1038"/>
  <c r="U309" i="1038"/>
  <c r="R327" i="1038"/>
  <c r="S327" i="1038" s="1"/>
  <c r="Q327" i="1038"/>
  <c r="R337" i="1038"/>
  <c r="Q337" i="1038"/>
  <c r="U363" i="1038"/>
  <c r="S382" i="1038"/>
  <c r="S388" i="1038"/>
  <c r="S390" i="1038"/>
  <c r="U393" i="1038"/>
  <c r="Q393" i="1038"/>
  <c r="O393" i="1038"/>
  <c r="S400" i="1038"/>
  <c r="S402" i="1038"/>
  <c r="U405" i="1038"/>
  <c r="Q405" i="1038"/>
  <c r="O405" i="1038"/>
  <c r="S412" i="1038"/>
  <c r="U415" i="1038"/>
  <c r="O415" i="1038"/>
  <c r="U420" i="1038"/>
  <c r="Q420" i="1038"/>
  <c r="O420" i="1038"/>
  <c r="Q134" i="1038"/>
  <c r="Q142" i="1038"/>
  <c r="Q146" i="1038"/>
  <c r="Q150" i="1038"/>
  <c r="Q154" i="1038"/>
  <c r="Q163" i="1038"/>
  <c r="Q169" i="1038"/>
  <c r="Q178" i="1038"/>
  <c r="O189" i="1038"/>
  <c r="Q248" i="1038"/>
  <c r="R306" i="1038"/>
  <c r="S306" i="1038" s="1"/>
  <c r="Q306" i="1038"/>
  <c r="R324" i="1038"/>
  <c r="S324" i="1038" s="1"/>
  <c r="Q324" i="1038"/>
  <c r="R334" i="1038"/>
  <c r="Q334" i="1038"/>
  <c r="U391" i="1038"/>
  <c r="O391" i="1038"/>
  <c r="U403" i="1038"/>
  <c r="O403" i="1038"/>
  <c r="S417" i="1038"/>
  <c r="R468" i="1038"/>
  <c r="S468" i="1038" s="1"/>
  <c r="Q468" i="1038"/>
  <c r="Q197" i="1038"/>
  <c r="Q201" i="1038"/>
  <c r="Q205" i="1038"/>
  <c r="Q209" i="1038"/>
  <c r="Q213" i="1038"/>
  <c r="Q217" i="1038"/>
  <c r="Q240" i="1038"/>
  <c r="Q244" i="1038"/>
  <c r="Q252" i="1038"/>
  <c r="O274" i="1038"/>
  <c r="O277" i="1038"/>
  <c r="O280" i="1038"/>
  <c r="Q283" i="1038"/>
  <c r="S287" i="1038"/>
  <c r="U295" i="1038"/>
  <c r="Q298" i="1038"/>
  <c r="R309" i="1038"/>
  <c r="S309" i="1038" s="1"/>
  <c r="Q309" i="1038"/>
  <c r="R312" i="1038"/>
  <c r="S312" i="1038" s="1"/>
  <c r="Q312" i="1038"/>
  <c r="R315" i="1038"/>
  <c r="S315" i="1038" s="1"/>
  <c r="Q315" i="1038"/>
  <c r="R318" i="1038"/>
  <c r="S318" i="1038" s="1"/>
  <c r="Q318" i="1038"/>
  <c r="R321" i="1038"/>
  <c r="S321" i="1038" s="1"/>
  <c r="Q321" i="1038"/>
  <c r="R331" i="1038"/>
  <c r="Q331" i="1038"/>
  <c r="S415" i="1038"/>
  <c r="U418" i="1038"/>
  <c r="O418" i="1038"/>
  <c r="S437" i="1038"/>
  <c r="U437" i="1038"/>
  <c r="R466" i="1038"/>
  <c r="Q466" i="1038"/>
  <c r="S487" i="1038"/>
  <c r="U487" i="1038"/>
  <c r="S505" i="1038"/>
  <c r="U505" i="1038"/>
  <c r="S523" i="1038"/>
  <c r="U523" i="1038"/>
  <c r="O174" i="1038"/>
  <c r="Q189" i="1038"/>
  <c r="O216" i="1038"/>
  <c r="Q224" i="1038"/>
  <c r="Q228" i="1038"/>
  <c r="Q232" i="1038"/>
  <c r="Q236" i="1038"/>
  <c r="Q287" i="1038"/>
  <c r="U298" i="1038"/>
  <c r="Q301" i="1038"/>
  <c r="R328" i="1038"/>
  <c r="Q328" i="1038"/>
  <c r="U344" i="1038"/>
  <c r="S365" i="1038"/>
  <c r="U371" i="1038"/>
  <c r="S371" i="1038"/>
  <c r="U374" i="1038"/>
  <c r="S374" i="1038"/>
  <c r="U377" i="1038"/>
  <c r="S377" i="1038"/>
  <c r="S391" i="1038"/>
  <c r="S393" i="1038"/>
  <c r="U396" i="1038"/>
  <c r="Q396" i="1038"/>
  <c r="O396" i="1038"/>
  <c r="S403" i="1038"/>
  <c r="S405" i="1038"/>
  <c r="U408" i="1038"/>
  <c r="Q408" i="1038"/>
  <c r="O408" i="1038"/>
  <c r="Q415" i="1038"/>
  <c r="S420" i="1038"/>
  <c r="O423" i="1038"/>
  <c r="R471" i="1038"/>
  <c r="S471" i="1038" s="1"/>
  <c r="Q471" i="1038"/>
  <c r="Q133" i="1038"/>
  <c r="Q137" i="1038"/>
  <c r="Q141" i="1038"/>
  <c r="Q145" i="1038"/>
  <c r="Q149" i="1038"/>
  <c r="Q153" i="1038"/>
  <c r="Q177" i="1038"/>
  <c r="Q181" i="1038"/>
  <c r="Q185" i="1038"/>
  <c r="Q220" i="1038"/>
  <c r="Q247" i="1038"/>
  <c r="R285" i="1038"/>
  <c r="R325" i="1038"/>
  <c r="Q325" i="1038"/>
  <c r="U368" i="1038"/>
  <c r="S368" i="1038"/>
  <c r="U386" i="1038"/>
  <c r="S386" i="1038"/>
  <c r="Q391" i="1038"/>
  <c r="U394" i="1038"/>
  <c r="O394" i="1038"/>
  <c r="U406" i="1038"/>
  <c r="O406" i="1038"/>
  <c r="U421" i="1038"/>
  <c r="O421" i="1038"/>
  <c r="S449" i="1038"/>
  <c r="U449" i="1038"/>
  <c r="R469" i="1038"/>
  <c r="S469" i="1038" s="1"/>
  <c r="Q469" i="1038"/>
  <c r="Q156" i="1038"/>
  <c r="Q159" i="1038"/>
  <c r="Q162" i="1038"/>
  <c r="Q165" i="1038"/>
  <c r="Q168" i="1038"/>
  <c r="Q200" i="1038"/>
  <c r="Q204" i="1038"/>
  <c r="Q212" i="1038"/>
  <c r="Q243" i="1038"/>
  <c r="Q251" i="1038"/>
  <c r="Q255" i="1038"/>
  <c r="O282" i="1038"/>
  <c r="R322" i="1038"/>
  <c r="Q322" i="1038"/>
  <c r="U338" i="1038"/>
  <c r="R372" i="1038"/>
  <c r="S372" i="1038" s="1"/>
  <c r="O372" i="1038"/>
  <c r="R375" i="1038"/>
  <c r="S375" i="1038" s="1"/>
  <c r="O375" i="1038"/>
  <c r="R378" i="1038"/>
  <c r="S378" i="1038" s="1"/>
  <c r="O378" i="1038"/>
  <c r="U383" i="1038"/>
  <c r="S383" i="1038"/>
  <c r="U423" i="1038"/>
  <c r="R438" i="1038"/>
  <c r="S438" i="1038" s="1"/>
  <c r="Q438" i="1038"/>
  <c r="O288" i="1038"/>
  <c r="U291" i="1038"/>
  <c r="U293" i="1038"/>
  <c r="U307" i="1038"/>
  <c r="Q310" i="1038"/>
  <c r="Q313" i="1038"/>
  <c r="Q316" i="1038"/>
  <c r="Q319" i="1038"/>
  <c r="U335" i="1038"/>
  <c r="R369" i="1038"/>
  <c r="S369" i="1038" s="1"/>
  <c r="O369" i="1038"/>
  <c r="U387" i="1038"/>
  <c r="Q387" i="1038"/>
  <c r="O387" i="1038"/>
  <c r="S394" i="1038"/>
  <c r="S396" i="1038"/>
  <c r="U399" i="1038"/>
  <c r="Q399" i="1038"/>
  <c r="O399" i="1038"/>
  <c r="S406" i="1038"/>
  <c r="S408" i="1038"/>
  <c r="U411" i="1038"/>
  <c r="Q411" i="1038"/>
  <c r="O411" i="1038"/>
  <c r="S421" i="1038"/>
  <c r="U439" i="1038"/>
  <c r="S461" i="1038"/>
  <c r="U461" i="1038"/>
  <c r="L691" i="1038"/>
  <c r="M691" i="1038" s="1"/>
  <c r="U691" i="1038" s="1"/>
  <c r="O433" i="1038"/>
  <c r="R435" i="1038"/>
  <c r="S435" i="1038" s="1"/>
  <c r="Q435" i="1038"/>
  <c r="O445" i="1038"/>
  <c r="R447" i="1038"/>
  <c r="S447" i="1038" s="1"/>
  <c r="Q447" i="1038"/>
  <c r="O457" i="1038"/>
  <c r="R459" i="1038"/>
  <c r="S459" i="1038" s="1"/>
  <c r="Q459" i="1038"/>
  <c r="U482" i="1038"/>
  <c r="S482" i="1038"/>
  <c r="O490" i="1038"/>
  <c r="U497" i="1038"/>
  <c r="S497" i="1038"/>
  <c r="O508" i="1038"/>
  <c r="U515" i="1038"/>
  <c r="S515" i="1038"/>
  <c r="O526" i="1038"/>
  <c r="R549" i="1038"/>
  <c r="S549" i="1038" s="1"/>
  <c r="Q549" i="1038"/>
  <c r="R433" i="1038"/>
  <c r="S433" i="1038" s="1"/>
  <c r="Q433" i="1038"/>
  <c r="R445" i="1038"/>
  <c r="S445" i="1038" s="1"/>
  <c r="Q445" i="1038"/>
  <c r="U450" i="1038"/>
  <c r="R457" i="1038"/>
  <c r="S457" i="1038" s="1"/>
  <c r="Q457" i="1038"/>
  <c r="U462" i="1038"/>
  <c r="R480" i="1038"/>
  <c r="S480" i="1038" s="1"/>
  <c r="Q480" i="1038"/>
  <c r="U483" i="1038"/>
  <c r="S490" i="1038"/>
  <c r="R495" i="1038"/>
  <c r="S495" i="1038" s="1"/>
  <c r="Q495" i="1038"/>
  <c r="U498" i="1038"/>
  <c r="S508" i="1038"/>
  <c r="R513" i="1038"/>
  <c r="S513" i="1038" s="1"/>
  <c r="Q513" i="1038"/>
  <c r="S526" i="1038"/>
  <c r="R531" i="1038"/>
  <c r="S531" i="1038" s="1"/>
  <c r="Q531" i="1038"/>
  <c r="R574" i="1038"/>
  <c r="S574" i="1038" s="1"/>
  <c r="Q574" i="1038"/>
  <c r="U689" i="1038"/>
  <c r="O469" i="1038"/>
  <c r="R478" i="1038"/>
  <c r="O493" i="1038"/>
  <c r="U500" i="1038"/>
  <c r="S500" i="1038"/>
  <c r="O511" i="1038"/>
  <c r="U518" i="1038"/>
  <c r="S518" i="1038"/>
  <c r="O529" i="1038"/>
  <c r="R571" i="1038"/>
  <c r="S571" i="1038" s="1"/>
  <c r="Q571" i="1038"/>
  <c r="U676" i="1038"/>
  <c r="S676" i="1038"/>
  <c r="R686" i="1038"/>
  <c r="Q686" i="1038"/>
  <c r="R436" i="1038"/>
  <c r="S436" i="1038" s="1"/>
  <c r="Q436" i="1038"/>
  <c r="R448" i="1038"/>
  <c r="S448" i="1038" s="1"/>
  <c r="Q448" i="1038"/>
  <c r="R460" i="1038"/>
  <c r="S460" i="1038" s="1"/>
  <c r="Q460" i="1038"/>
  <c r="O481" i="1038"/>
  <c r="R483" i="1038"/>
  <c r="S483" i="1038" s="1"/>
  <c r="Q483" i="1038"/>
  <c r="O496" i="1038"/>
  <c r="U503" i="1038"/>
  <c r="S503" i="1038"/>
  <c r="O514" i="1038"/>
  <c r="U521" i="1038"/>
  <c r="S521" i="1038"/>
  <c r="Q345" i="1038"/>
  <c r="Q348" i="1038"/>
  <c r="Q351" i="1038"/>
  <c r="Q354" i="1038"/>
  <c r="Q357" i="1038"/>
  <c r="Q360" i="1038"/>
  <c r="Q363" i="1038"/>
  <c r="Q366" i="1038"/>
  <c r="S481" i="1038"/>
  <c r="S496" i="1038"/>
  <c r="R501" i="1038"/>
  <c r="S501" i="1038" s="1"/>
  <c r="Q501" i="1038"/>
  <c r="S514" i="1038"/>
  <c r="R519" i="1038"/>
  <c r="S519" i="1038" s="1"/>
  <c r="Q519" i="1038"/>
  <c r="O341" i="1038"/>
  <c r="Q369" i="1038"/>
  <c r="Q372" i="1038"/>
  <c r="Q375" i="1038"/>
  <c r="Q378" i="1038"/>
  <c r="Q384" i="1038"/>
  <c r="R429" i="1038"/>
  <c r="S429" i="1038" s="1"/>
  <c r="Q429" i="1038"/>
  <c r="U431" i="1038"/>
  <c r="O439" i="1038"/>
  <c r="R441" i="1038"/>
  <c r="S441" i="1038" s="1"/>
  <c r="Q441" i="1038"/>
  <c r="U443" i="1038"/>
  <c r="O451" i="1038"/>
  <c r="R453" i="1038"/>
  <c r="S453" i="1038" s="1"/>
  <c r="Q453" i="1038"/>
  <c r="U455" i="1038"/>
  <c r="O463" i="1038"/>
  <c r="O472" i="1038"/>
  <c r="U476" i="1038"/>
  <c r="S476" i="1038"/>
  <c r="U488" i="1038"/>
  <c r="S488" i="1038"/>
  <c r="O499" i="1038"/>
  <c r="U506" i="1038"/>
  <c r="S506" i="1038"/>
  <c r="O517" i="1038"/>
  <c r="U524" i="1038"/>
  <c r="S524" i="1038"/>
  <c r="R439" i="1038"/>
  <c r="S439" i="1038" s="1"/>
  <c r="Q439" i="1038"/>
  <c r="R451" i="1038"/>
  <c r="S451" i="1038" s="1"/>
  <c r="Q451" i="1038"/>
  <c r="R463" i="1038"/>
  <c r="S463" i="1038" s="1"/>
  <c r="Q463" i="1038"/>
  <c r="R465" i="1038"/>
  <c r="Q465" i="1038"/>
  <c r="R472" i="1038"/>
  <c r="S472" i="1038" s="1"/>
  <c r="Q472" i="1038"/>
  <c r="R474" i="1038"/>
  <c r="S474" i="1038" s="1"/>
  <c r="Q474" i="1038"/>
  <c r="R486" i="1038"/>
  <c r="S486" i="1038" s="1"/>
  <c r="Q486" i="1038"/>
  <c r="R504" i="1038"/>
  <c r="S504" i="1038" s="1"/>
  <c r="Q504" i="1038"/>
  <c r="R522" i="1038"/>
  <c r="S522" i="1038" s="1"/>
  <c r="Q522" i="1038"/>
  <c r="U582" i="1038"/>
  <c r="S582" i="1038"/>
  <c r="Q299" i="1038"/>
  <c r="Q302" i="1038"/>
  <c r="Q305" i="1038"/>
  <c r="Q308" i="1038"/>
  <c r="Q311" i="1038"/>
  <c r="Q314" i="1038"/>
  <c r="Q317" i="1038"/>
  <c r="Q320" i="1038"/>
  <c r="Q323" i="1038"/>
  <c r="Q326" i="1038"/>
  <c r="Q329" i="1038"/>
  <c r="Q332" i="1038"/>
  <c r="Q335" i="1038"/>
  <c r="Q338" i="1038"/>
  <c r="Q344" i="1038"/>
  <c r="Q423" i="1038"/>
  <c r="Q426" i="1038"/>
  <c r="R484" i="1038"/>
  <c r="S484" i="1038" s="1"/>
  <c r="U491" i="1038"/>
  <c r="S491" i="1038"/>
  <c r="O502" i="1038"/>
  <c r="U509" i="1038"/>
  <c r="S509" i="1038"/>
  <c r="O520" i="1038"/>
  <c r="U527" i="1038"/>
  <c r="S527" i="1038"/>
  <c r="R555" i="1038"/>
  <c r="S555" i="1038" s="1"/>
  <c r="Q555" i="1038"/>
  <c r="Q347" i="1038"/>
  <c r="Q350" i="1038"/>
  <c r="Q353" i="1038"/>
  <c r="Q356" i="1038"/>
  <c r="Q359" i="1038"/>
  <c r="Q362" i="1038"/>
  <c r="Q365" i="1038"/>
  <c r="O430" i="1038"/>
  <c r="R432" i="1038"/>
  <c r="S432" i="1038" s="1"/>
  <c r="Q432" i="1038"/>
  <c r="U434" i="1038"/>
  <c r="O442" i="1038"/>
  <c r="R444" i="1038"/>
  <c r="S444" i="1038" s="1"/>
  <c r="Q444" i="1038"/>
  <c r="U446" i="1038"/>
  <c r="O454" i="1038"/>
  <c r="R456" i="1038"/>
  <c r="S456" i="1038" s="1"/>
  <c r="Q456" i="1038"/>
  <c r="U458" i="1038"/>
  <c r="U479" i="1038"/>
  <c r="S479" i="1038"/>
  <c r="R489" i="1038"/>
  <c r="S489" i="1038" s="1"/>
  <c r="Q489" i="1038"/>
  <c r="U492" i="1038"/>
  <c r="R502" i="1038"/>
  <c r="S502" i="1038" s="1"/>
  <c r="R507" i="1038"/>
  <c r="S507" i="1038" s="1"/>
  <c r="Q507" i="1038"/>
  <c r="U510" i="1038"/>
  <c r="R520" i="1038"/>
  <c r="S520" i="1038" s="1"/>
  <c r="R525" i="1038"/>
  <c r="S525" i="1038" s="1"/>
  <c r="Q525" i="1038"/>
  <c r="R533" i="1038"/>
  <c r="S533" i="1038" s="1"/>
  <c r="Q533" i="1038"/>
  <c r="R430" i="1038"/>
  <c r="Q430" i="1038"/>
  <c r="R442" i="1038"/>
  <c r="Q442" i="1038"/>
  <c r="R454" i="1038"/>
  <c r="Q454" i="1038"/>
  <c r="U459" i="1038"/>
  <c r="R477" i="1038"/>
  <c r="S477" i="1038" s="1"/>
  <c r="Q477" i="1038"/>
  <c r="U494" i="1038"/>
  <c r="S494" i="1038"/>
  <c r="U512" i="1038"/>
  <c r="S512" i="1038"/>
  <c r="U530" i="1038"/>
  <c r="S530" i="1038"/>
  <c r="R552" i="1038"/>
  <c r="S552" i="1038" s="1"/>
  <c r="Q552" i="1038"/>
  <c r="U562" i="1038"/>
  <c r="R601" i="1038"/>
  <c r="S601" i="1038" s="1"/>
  <c r="U615" i="1038"/>
  <c r="R634" i="1038"/>
  <c r="S634" i="1038" s="1"/>
  <c r="R655" i="1038"/>
  <c r="S655" i="1038" s="1"/>
  <c r="U666" i="1038"/>
  <c r="R682" i="1038"/>
  <c r="R604" i="1038"/>
  <c r="S604" i="1038" s="1"/>
  <c r="R689" i="1038"/>
  <c r="S689" i="1038" s="1"/>
  <c r="Q475" i="1038"/>
  <c r="Q478" i="1038"/>
  <c r="Q481" i="1038"/>
  <c r="Q484" i="1038"/>
  <c r="Q487" i="1038"/>
  <c r="Q490" i="1038"/>
  <c r="Q493" i="1038"/>
  <c r="Q496" i="1038"/>
  <c r="Q499" i="1038"/>
  <c r="Q502" i="1038"/>
  <c r="Q505" i="1038"/>
  <c r="Q508" i="1038"/>
  <c r="Q511" i="1038"/>
  <c r="Q514" i="1038"/>
  <c r="Q517" i="1038"/>
  <c r="Q520" i="1038"/>
  <c r="Q523" i="1038"/>
  <c r="Q526" i="1038"/>
  <c r="Q529" i="1038"/>
  <c r="Q550" i="1038"/>
  <c r="Q553" i="1038"/>
  <c r="Q556" i="1038"/>
  <c r="Q559" i="1038"/>
  <c r="Q565" i="1038"/>
  <c r="R577" i="1038"/>
  <c r="S577" i="1038" s="1"/>
  <c r="Q577" i="1038"/>
  <c r="U602" i="1038"/>
  <c r="U613" i="1038"/>
  <c r="U643" i="1038"/>
  <c r="U661" i="1038"/>
  <c r="S661" i="1038"/>
  <c r="U536" i="1038"/>
  <c r="U539" i="1038"/>
  <c r="U542" i="1038"/>
  <c r="U545" i="1038"/>
  <c r="U550" i="1038"/>
  <c r="U553" i="1038"/>
  <c r="U556" i="1038"/>
  <c r="Q562" i="1038"/>
  <c r="R580" i="1038"/>
  <c r="S580" i="1038" s="1"/>
  <c r="Q580" i="1038"/>
  <c r="U591" i="1038"/>
  <c r="R610" i="1038"/>
  <c r="S610" i="1038" s="1"/>
  <c r="U624" i="1038"/>
  <c r="S647" i="1038"/>
  <c r="R658" i="1038"/>
  <c r="S658" i="1038" s="1"/>
  <c r="O661" i="1038"/>
  <c r="U664" i="1038"/>
  <c r="S664" i="1038"/>
  <c r="S674" i="1038"/>
  <c r="U685" i="1038"/>
  <c r="O685" i="1038"/>
  <c r="O429" i="1038"/>
  <c r="O492" i="1038"/>
  <c r="O513" i="1038"/>
  <c r="O516" i="1038"/>
  <c r="O519" i="1038"/>
  <c r="O522" i="1038"/>
  <c r="O525" i="1038"/>
  <c r="O528" i="1038"/>
  <c r="O531" i="1038"/>
  <c r="R583" i="1038"/>
  <c r="S583" i="1038" s="1"/>
  <c r="Q583" i="1038"/>
  <c r="Q589" i="1038"/>
  <c r="U619" i="1038"/>
  <c r="R640" i="1038"/>
  <c r="S640" i="1038" s="1"/>
  <c r="U573" i="1038"/>
  <c r="O573" i="1038"/>
  <c r="U659" i="1038"/>
  <c r="U534" i="1038"/>
  <c r="U537" i="1038"/>
  <c r="U540" i="1038"/>
  <c r="U543" i="1038"/>
  <c r="U566" i="1038"/>
  <c r="U570" i="1038"/>
  <c r="S578" i="1038"/>
  <c r="U600" i="1038"/>
  <c r="R616" i="1038"/>
  <c r="S616" i="1038" s="1"/>
  <c r="U633" i="1038"/>
  <c r="U654" i="1038"/>
  <c r="R667" i="1038"/>
  <c r="U681" i="1038"/>
  <c r="S683" i="1038"/>
  <c r="S685" i="1038"/>
  <c r="U548" i="1038"/>
  <c r="U557" i="1038"/>
  <c r="Q573" i="1038"/>
  <c r="R586" i="1038"/>
  <c r="S586" i="1038" s="1"/>
  <c r="Q586" i="1038"/>
  <c r="R589" i="1038"/>
  <c r="S589" i="1038" s="1"/>
  <c r="U614" i="1038"/>
  <c r="R619" i="1038"/>
  <c r="S619" i="1038" s="1"/>
  <c r="S635" i="1038"/>
  <c r="U649" i="1038"/>
  <c r="U665" i="1038"/>
  <c r="R670" i="1038"/>
  <c r="U552" i="1038"/>
  <c r="U555" i="1038"/>
  <c r="U558" i="1038"/>
  <c r="U564" i="1038"/>
  <c r="S573" i="1038"/>
  <c r="U576" i="1038"/>
  <c r="S576" i="1038"/>
  <c r="U595" i="1038"/>
  <c r="S595" i="1038"/>
  <c r="U598" i="1038"/>
  <c r="U606" i="1038"/>
  <c r="U617" i="1038"/>
  <c r="U631" i="1038"/>
  <c r="U636" i="1038"/>
  <c r="U652" i="1038"/>
  <c r="U668" i="1038"/>
  <c r="U673" i="1038"/>
  <c r="S673" i="1038"/>
  <c r="Q534" i="1038"/>
  <c r="R546" i="1038"/>
  <c r="S546" i="1038" s="1"/>
  <c r="Q546" i="1038"/>
  <c r="O549" i="1038"/>
  <c r="O552" i="1038"/>
  <c r="O555" i="1038"/>
  <c r="O558" i="1038"/>
  <c r="U561" i="1038"/>
  <c r="O564" i="1038"/>
  <c r="R592" i="1038"/>
  <c r="S592" i="1038" s="1"/>
  <c r="O595" i="1038"/>
  <c r="U609" i="1038"/>
  <c r="U620" i="1038"/>
  <c r="R625" i="1038"/>
  <c r="S625" i="1038" s="1"/>
  <c r="R628" i="1038"/>
  <c r="Q628" i="1038"/>
  <c r="U634" i="1038"/>
  <c r="S638" i="1038"/>
  <c r="U655" i="1038"/>
  <c r="U657" i="1038"/>
  <c r="U671" i="1038"/>
  <c r="U641" i="1038"/>
  <c r="O576" i="1038"/>
  <c r="O579" i="1038"/>
  <c r="O582" i="1038"/>
  <c r="Q558" i="1038"/>
  <c r="Q561" i="1038"/>
  <c r="Q564" i="1038"/>
  <c r="Q567" i="1038"/>
  <c r="Q570" i="1038"/>
  <c r="O597" i="1038"/>
  <c r="O600" i="1038"/>
  <c r="O603" i="1038"/>
  <c r="O606" i="1038"/>
  <c r="O609" i="1038"/>
  <c r="O612" i="1038"/>
  <c r="O615" i="1038"/>
  <c r="O618" i="1038"/>
  <c r="O621" i="1038"/>
  <c r="O624" i="1038"/>
  <c r="O627" i="1038"/>
  <c r="O630" i="1038"/>
  <c r="O633" i="1038"/>
  <c r="O636" i="1038"/>
  <c r="O639" i="1038"/>
  <c r="O642" i="1038"/>
  <c r="O645" i="1038"/>
  <c r="O648" i="1038"/>
  <c r="O688" i="1038"/>
  <c r="Q585" i="1038"/>
  <c r="Q588" i="1038"/>
  <c r="O557" i="1038"/>
  <c r="Q591" i="1038"/>
  <c r="Q594" i="1038"/>
  <c r="Q597" i="1038"/>
  <c r="Q600" i="1038"/>
  <c r="Q603" i="1038"/>
  <c r="Q606" i="1038"/>
  <c r="Q609" i="1038"/>
  <c r="Q612" i="1038"/>
  <c r="Q615" i="1038"/>
  <c r="Q618" i="1038"/>
  <c r="Q621" i="1038"/>
  <c r="Q624" i="1038"/>
  <c r="Q627" i="1038"/>
  <c r="Q630" i="1038"/>
  <c r="Q633" i="1038"/>
  <c r="Q636" i="1038"/>
  <c r="Q639" i="1038"/>
  <c r="Q642" i="1038"/>
  <c r="Q645" i="1038"/>
  <c r="Q648" i="1038"/>
  <c r="Q651" i="1038"/>
  <c r="Q654" i="1038"/>
  <c r="Q657" i="1038"/>
  <c r="Q660" i="1038"/>
  <c r="Q663" i="1038"/>
  <c r="Q666" i="1038"/>
  <c r="Q669" i="1038"/>
  <c r="Q672" i="1038"/>
  <c r="Q675" i="1038"/>
  <c r="Q678" i="1038"/>
  <c r="Q681" i="1038"/>
  <c r="Q688" i="1038"/>
  <c r="Q536" i="1038"/>
  <c r="Q539" i="1038"/>
  <c r="Q542" i="1038"/>
  <c r="Q545" i="1038"/>
  <c r="Q548" i="1038"/>
  <c r="Q551" i="1038"/>
  <c r="Q554" i="1038"/>
  <c r="Q563" i="1038"/>
  <c r="Q566" i="1038"/>
  <c r="Q569" i="1038"/>
  <c r="Q572" i="1038"/>
  <c r="Q575" i="1038"/>
  <c r="Q578" i="1038"/>
  <c r="Q581" i="1038"/>
  <c r="Q587" i="1038"/>
  <c r="Q629" i="1038"/>
  <c r="N11" i="1042" l="1"/>
  <c r="O28" i="1042"/>
  <c r="O54" i="1042"/>
  <c r="O17" i="1042"/>
  <c r="O22" i="1042"/>
  <c r="O9" i="1042" s="1"/>
  <c r="O12" i="1042"/>
  <c r="O70" i="1042"/>
  <c r="Q76" i="1042"/>
  <c r="S76" i="1042"/>
  <c r="U76" i="1042" s="1"/>
  <c r="N83" i="1042"/>
  <c r="M9" i="1041"/>
  <c r="G8" i="1041"/>
  <c r="M11" i="1041"/>
  <c r="M16" i="1041"/>
  <c r="K8" i="1041"/>
  <c r="I9" i="1041"/>
  <c r="U504" i="1038"/>
  <c r="U549" i="1038"/>
  <c r="U447" i="1038"/>
  <c r="U640" i="1038"/>
  <c r="U468" i="1038"/>
  <c r="U441" i="1038"/>
  <c r="U324" i="1038"/>
  <c r="U370" i="1038"/>
  <c r="U574" i="1038"/>
  <c r="U312" i="1038"/>
  <c r="U571" i="1038"/>
  <c r="U480" i="1038"/>
  <c r="U592" i="1038"/>
  <c r="U342" i="1038"/>
  <c r="U445" i="1038"/>
  <c r="Q691" i="1038"/>
  <c r="U625" i="1038"/>
  <c r="U580" i="1038"/>
  <c r="U528" i="1038"/>
  <c r="U477" i="1038"/>
  <c r="U444" i="1038"/>
  <c r="U474" i="1038"/>
  <c r="U339" i="1038"/>
  <c r="S285" i="1038"/>
  <c r="U285" i="1038"/>
  <c r="S328" i="1038"/>
  <c r="U328" i="1038"/>
  <c r="U448" i="1038"/>
  <c r="U249" i="1038"/>
  <c r="S249" i="1038"/>
  <c r="R176" i="1038"/>
  <c r="S176" i="1038" s="1"/>
  <c r="R258" i="1038"/>
  <c r="S258" i="1038" s="1"/>
  <c r="Q9" i="1038"/>
  <c r="P8" i="1038"/>
  <c r="P7" i="1038" s="1"/>
  <c r="U99" i="1038"/>
  <c r="U451" i="1038"/>
  <c r="S322" i="1038"/>
  <c r="U322" i="1038"/>
  <c r="S334" i="1038"/>
  <c r="U334" i="1038"/>
  <c r="S337" i="1038"/>
  <c r="U337" i="1038"/>
  <c r="S340" i="1038"/>
  <c r="U340" i="1038"/>
  <c r="U183" i="1038"/>
  <c r="S183" i="1038"/>
  <c r="U198" i="1038"/>
  <c r="S198" i="1038"/>
  <c r="U604" i="1038"/>
  <c r="U288" i="1038"/>
  <c r="S331" i="1038"/>
  <c r="U331" i="1038"/>
  <c r="U248" i="1038"/>
  <c r="U206" i="1038"/>
  <c r="U463" i="1038"/>
  <c r="U221" i="1038"/>
  <c r="S221" i="1038"/>
  <c r="U160" i="1038"/>
  <c r="S478" i="1038"/>
  <c r="U478" i="1038"/>
  <c r="U438" i="1038"/>
  <c r="U628" i="1038"/>
  <c r="S628" i="1038"/>
  <c r="U616" i="1038"/>
  <c r="U583" i="1038"/>
  <c r="S454" i="1038"/>
  <c r="U454" i="1038"/>
  <c r="U525" i="1038"/>
  <c r="U432" i="1038"/>
  <c r="U453" i="1038"/>
  <c r="U471" i="1038"/>
  <c r="U472" i="1038"/>
  <c r="U424" i="1038"/>
  <c r="S424" i="1038"/>
  <c r="U182" i="1038"/>
  <c r="U460" i="1038"/>
  <c r="U163" i="1038"/>
  <c r="U127" i="1038"/>
  <c r="U686" i="1038"/>
  <c r="S686" i="1038"/>
  <c r="U533" i="1038"/>
  <c r="U682" i="1038"/>
  <c r="S682" i="1038"/>
  <c r="U520" i="1038"/>
  <c r="U321" i="1038"/>
  <c r="M258" i="1038"/>
  <c r="Q258" i="1038" s="1"/>
  <c r="U327" i="1038"/>
  <c r="U457" i="1038"/>
  <c r="U670" i="1038"/>
  <c r="S670" i="1038"/>
  <c r="U546" i="1038"/>
  <c r="U589" i="1038"/>
  <c r="U436" i="1038"/>
  <c r="U378" i="1038"/>
  <c r="U469" i="1038"/>
  <c r="U502" i="1038"/>
  <c r="U318" i="1038"/>
  <c r="U306" i="1038"/>
  <c r="U294" i="1038"/>
  <c r="U151" i="1038"/>
  <c r="U303" i="1038"/>
  <c r="U367" i="1038"/>
  <c r="U279" i="1038"/>
  <c r="U157" i="1038"/>
  <c r="U115" i="1038"/>
  <c r="U67" i="1038"/>
  <c r="U9" i="1038" s="1"/>
  <c r="U586" i="1038"/>
  <c r="U658" i="1038"/>
  <c r="S442" i="1038"/>
  <c r="U442" i="1038"/>
  <c r="U507" i="1038"/>
  <c r="U465" i="1038"/>
  <c r="S465" i="1038"/>
  <c r="U433" i="1038"/>
  <c r="U375" i="1038"/>
  <c r="U315" i="1038"/>
  <c r="S343" i="1038"/>
  <c r="U343" i="1038"/>
  <c r="R9" i="1038"/>
  <c r="S10" i="1038"/>
  <c r="U270" i="1038"/>
  <c r="U142" i="1038"/>
  <c r="U300" i="1038"/>
  <c r="U276" i="1038"/>
  <c r="U385" i="1038"/>
  <c r="U601" i="1038"/>
  <c r="U435" i="1038"/>
  <c r="U372" i="1038"/>
  <c r="S466" i="1038"/>
  <c r="U466" i="1038"/>
  <c r="U513" i="1038"/>
  <c r="O258" i="1038"/>
  <c r="M8" i="1038"/>
  <c r="U150" i="1038"/>
  <c r="U154" i="1038"/>
  <c r="S691" i="1038"/>
  <c r="U486" i="1038"/>
  <c r="U516" i="1038"/>
  <c r="U484" i="1038"/>
  <c r="U184" i="1038"/>
  <c r="U176" i="1038" s="1"/>
  <c r="S184" i="1038"/>
  <c r="O176" i="1038"/>
  <c r="U501" i="1038"/>
  <c r="U531" i="1038"/>
  <c r="Q176" i="1038"/>
  <c r="U123" i="1038"/>
  <c r="U266" i="1038"/>
  <c r="S289" i="1038"/>
  <c r="U289" i="1038"/>
  <c r="S325" i="1038"/>
  <c r="U325" i="1038"/>
  <c r="O691" i="1038"/>
  <c r="U667" i="1038"/>
  <c r="S667" i="1038"/>
  <c r="S430" i="1038"/>
  <c r="U430" i="1038"/>
  <c r="U489" i="1038"/>
  <c r="U456" i="1038"/>
  <c r="U522" i="1038"/>
  <c r="U429" i="1038"/>
  <c r="U384" i="1038"/>
  <c r="U369" i="1038"/>
  <c r="U211" i="1038"/>
  <c r="U495" i="1038"/>
  <c r="U254" i="1038"/>
  <c r="U577" i="1038"/>
  <c r="U134" i="1038"/>
  <c r="S286" i="1038"/>
  <c r="U286" i="1038"/>
  <c r="U610" i="1038"/>
  <c r="S425" i="1038"/>
  <c r="U425" i="1038"/>
  <c r="U166" i="1038"/>
  <c r="U427" i="1038"/>
  <c r="S427" i="1038"/>
  <c r="U519" i="1038"/>
  <c r="U83" i="1038"/>
  <c r="O9" i="1038"/>
  <c r="N8" i="1038"/>
  <c r="N7" i="1038" s="1"/>
  <c r="P76" i="1042" l="1"/>
  <c r="R76" i="1042" s="1"/>
  <c r="T76" i="1042" s="1"/>
  <c r="K7" i="1041"/>
  <c r="L8" i="1041"/>
  <c r="G7" i="1041"/>
  <c r="M8" i="1041"/>
  <c r="I8" i="1041"/>
  <c r="M7" i="1038"/>
  <c r="O7" i="1038" s="1"/>
  <c r="R8" i="1038"/>
  <c r="S9" i="1038"/>
  <c r="U258" i="1038"/>
  <c r="U8" i="1038" s="1"/>
  <c r="M7" i="1041" l="1"/>
  <c r="I7" i="1041"/>
  <c r="L7" i="1041"/>
  <c r="Q7" i="1038"/>
  <c r="S8" i="1038"/>
  <c r="R7" i="1038"/>
  <c r="S7" i="1038" l="1"/>
  <c r="U7" i="1038"/>
  <c r="K104" i="1036" l="1"/>
  <c r="J104" i="1036"/>
  <c r="H104" i="1036"/>
  <c r="I104" i="1036" s="1"/>
  <c r="G104" i="1036"/>
  <c r="J103" i="1036"/>
  <c r="K103" i="1036" s="1"/>
  <c r="H103" i="1036"/>
  <c r="I103" i="1036" s="1"/>
  <c r="G103" i="1036"/>
  <c r="J102" i="1036"/>
  <c r="J100" i="1036" s="1"/>
  <c r="H102" i="1036"/>
  <c r="G102" i="1036"/>
  <c r="G100" i="1036" s="1"/>
  <c r="K101" i="1036"/>
  <c r="J101" i="1036"/>
  <c r="H101" i="1036"/>
  <c r="I101" i="1036" s="1"/>
  <c r="G101" i="1036"/>
  <c r="H100" i="1036"/>
  <c r="J99" i="1036"/>
  <c r="H99" i="1036"/>
  <c r="L99" i="1036" s="1"/>
  <c r="G99" i="1036"/>
  <c r="N99" i="1036" s="1"/>
  <c r="K98" i="1036"/>
  <c r="J98" i="1036"/>
  <c r="H98" i="1036"/>
  <c r="I98" i="1036" s="1"/>
  <c r="G98" i="1036"/>
  <c r="J97" i="1036"/>
  <c r="K97" i="1036" s="1"/>
  <c r="H97" i="1036"/>
  <c r="I97" i="1036" s="1"/>
  <c r="G97" i="1036"/>
  <c r="J96" i="1036"/>
  <c r="H96" i="1036"/>
  <c r="L96" i="1036" s="1"/>
  <c r="G96" i="1036"/>
  <c r="G94" i="1036" s="1"/>
  <c r="K94" i="1036" s="1"/>
  <c r="K95" i="1036"/>
  <c r="J95" i="1036"/>
  <c r="H95" i="1036"/>
  <c r="I95" i="1036" s="1"/>
  <c r="G95" i="1036"/>
  <c r="J94" i="1036"/>
  <c r="J93" i="1036"/>
  <c r="H93" i="1036"/>
  <c r="L93" i="1036" s="1"/>
  <c r="M93" i="1036" s="1"/>
  <c r="G93" i="1036"/>
  <c r="K92" i="1036"/>
  <c r="J92" i="1036"/>
  <c r="H92" i="1036"/>
  <c r="I92" i="1036" s="1"/>
  <c r="G92" i="1036"/>
  <c r="K91" i="1036"/>
  <c r="J91" i="1036"/>
  <c r="H91" i="1036"/>
  <c r="G91" i="1036"/>
  <c r="N91" i="1036" s="1"/>
  <c r="J90" i="1036"/>
  <c r="J89" i="1036" s="1"/>
  <c r="H90" i="1036"/>
  <c r="L90" i="1036" s="1"/>
  <c r="M90" i="1036" s="1"/>
  <c r="G90" i="1036"/>
  <c r="J88" i="1036"/>
  <c r="K88" i="1036" s="1"/>
  <c r="H88" i="1036"/>
  <c r="G88" i="1036"/>
  <c r="N88" i="1036" s="1"/>
  <c r="J87" i="1036"/>
  <c r="H87" i="1036"/>
  <c r="L87" i="1036" s="1"/>
  <c r="M87" i="1036" s="1"/>
  <c r="G87" i="1036"/>
  <c r="N87" i="1036" s="1"/>
  <c r="J86" i="1036"/>
  <c r="K86" i="1036" s="1"/>
  <c r="H86" i="1036"/>
  <c r="I86" i="1036" s="1"/>
  <c r="G86" i="1036"/>
  <c r="J85" i="1036"/>
  <c r="J84" i="1036" s="1"/>
  <c r="H85" i="1036"/>
  <c r="G85" i="1036"/>
  <c r="G84" i="1036" s="1"/>
  <c r="K84" i="1036" s="1"/>
  <c r="J83" i="1036"/>
  <c r="K83" i="1036" s="1"/>
  <c r="H83" i="1036"/>
  <c r="I83" i="1036" s="1"/>
  <c r="G83" i="1036"/>
  <c r="J82" i="1036"/>
  <c r="K82" i="1036" s="1"/>
  <c r="H82" i="1036"/>
  <c r="I82" i="1036" s="1"/>
  <c r="G82" i="1036"/>
  <c r="J81" i="1036"/>
  <c r="H81" i="1036"/>
  <c r="G81" i="1036"/>
  <c r="J80" i="1036"/>
  <c r="H80" i="1036"/>
  <c r="I80" i="1036" s="1"/>
  <c r="G80" i="1036"/>
  <c r="J78" i="1036"/>
  <c r="H78" i="1036"/>
  <c r="L78" i="1036" s="1"/>
  <c r="M78" i="1036" s="1"/>
  <c r="G78" i="1036"/>
  <c r="N78" i="1036" s="1"/>
  <c r="L77" i="1036"/>
  <c r="M77" i="1036" s="1"/>
  <c r="J77" i="1036"/>
  <c r="K77" i="1036" s="1"/>
  <c r="H77" i="1036"/>
  <c r="I77" i="1036" s="1"/>
  <c r="G77" i="1036"/>
  <c r="N77" i="1036" s="1"/>
  <c r="J76" i="1036"/>
  <c r="K76" i="1036" s="1"/>
  <c r="H76" i="1036"/>
  <c r="I76" i="1036" s="1"/>
  <c r="G76" i="1036"/>
  <c r="N76" i="1036" s="1"/>
  <c r="J75" i="1036"/>
  <c r="J74" i="1036" s="1"/>
  <c r="H75" i="1036"/>
  <c r="L75" i="1036" s="1"/>
  <c r="M75" i="1036" s="1"/>
  <c r="G75" i="1036"/>
  <c r="N75" i="1036" s="1"/>
  <c r="N74" i="1036" s="1"/>
  <c r="H74" i="1036"/>
  <c r="L74" i="1036" s="1"/>
  <c r="J73" i="1036"/>
  <c r="K73" i="1036" s="1"/>
  <c r="H73" i="1036"/>
  <c r="I73" i="1036" s="1"/>
  <c r="G73" i="1036"/>
  <c r="N73" i="1036" s="1"/>
  <c r="J72" i="1036"/>
  <c r="H72" i="1036"/>
  <c r="L72" i="1036" s="1"/>
  <c r="G72" i="1036"/>
  <c r="N72" i="1036" s="1"/>
  <c r="J71" i="1036"/>
  <c r="K71" i="1036" s="1"/>
  <c r="H71" i="1036"/>
  <c r="L71" i="1036" s="1"/>
  <c r="G71" i="1036"/>
  <c r="N71" i="1036" s="1"/>
  <c r="K70" i="1036"/>
  <c r="J70" i="1036"/>
  <c r="H70" i="1036"/>
  <c r="I70" i="1036" s="1"/>
  <c r="G70" i="1036"/>
  <c r="N70" i="1036" s="1"/>
  <c r="N69" i="1036" s="1"/>
  <c r="J69" i="1036"/>
  <c r="H69" i="1036"/>
  <c r="L69" i="1036" s="1"/>
  <c r="M69" i="1036" s="1"/>
  <c r="G69" i="1036"/>
  <c r="K69" i="1036" s="1"/>
  <c r="J68" i="1036"/>
  <c r="K68" i="1036" s="1"/>
  <c r="H68" i="1036"/>
  <c r="L68" i="1036" s="1"/>
  <c r="M68" i="1036" s="1"/>
  <c r="G68" i="1036"/>
  <c r="N68" i="1036" s="1"/>
  <c r="K67" i="1036"/>
  <c r="J67" i="1036"/>
  <c r="H67" i="1036"/>
  <c r="I67" i="1036" s="1"/>
  <c r="G67" i="1036"/>
  <c r="N67" i="1036" s="1"/>
  <c r="J66" i="1036"/>
  <c r="J65" i="1036" s="1"/>
  <c r="H66" i="1036"/>
  <c r="L66" i="1036" s="1"/>
  <c r="M66" i="1036" s="1"/>
  <c r="G66" i="1036"/>
  <c r="N66" i="1036" s="1"/>
  <c r="J64" i="1036"/>
  <c r="K64" i="1036" s="1"/>
  <c r="H64" i="1036"/>
  <c r="I64" i="1036" s="1"/>
  <c r="G64" i="1036"/>
  <c r="N64" i="1036" s="1"/>
  <c r="J63" i="1036"/>
  <c r="K63" i="1036" s="1"/>
  <c r="H63" i="1036"/>
  <c r="L63" i="1036" s="1"/>
  <c r="M63" i="1036" s="1"/>
  <c r="G63" i="1036"/>
  <c r="J62" i="1036"/>
  <c r="K62" i="1036" s="1"/>
  <c r="H62" i="1036"/>
  <c r="L62" i="1036" s="1"/>
  <c r="M62" i="1036" s="1"/>
  <c r="G62" i="1036"/>
  <c r="N62" i="1036" s="1"/>
  <c r="J61" i="1036"/>
  <c r="K61" i="1036" s="1"/>
  <c r="H61" i="1036"/>
  <c r="I61" i="1036" s="1"/>
  <c r="G61" i="1036"/>
  <c r="N61" i="1036" s="1"/>
  <c r="J60" i="1036"/>
  <c r="H60" i="1036"/>
  <c r="L60" i="1036" s="1"/>
  <c r="G60" i="1036"/>
  <c r="N60" i="1036" s="1"/>
  <c r="J59" i="1036"/>
  <c r="J58" i="1036"/>
  <c r="K58" i="1036" s="1"/>
  <c r="H58" i="1036"/>
  <c r="I58" i="1036" s="1"/>
  <c r="G58" i="1036"/>
  <c r="N58" i="1036" s="1"/>
  <c r="J57" i="1036"/>
  <c r="K57" i="1036" s="1"/>
  <c r="H57" i="1036"/>
  <c r="L57" i="1036" s="1"/>
  <c r="M57" i="1036" s="1"/>
  <c r="G57" i="1036"/>
  <c r="N57" i="1036" s="1"/>
  <c r="J56" i="1036"/>
  <c r="K56" i="1036" s="1"/>
  <c r="H56" i="1036"/>
  <c r="L56" i="1036" s="1"/>
  <c r="M56" i="1036" s="1"/>
  <c r="G56" i="1036"/>
  <c r="J55" i="1036"/>
  <c r="K55" i="1036" s="1"/>
  <c r="H55" i="1036"/>
  <c r="I55" i="1036" s="1"/>
  <c r="G55" i="1036"/>
  <c r="N55" i="1036" s="1"/>
  <c r="J54" i="1036"/>
  <c r="K54" i="1036" s="1"/>
  <c r="H54" i="1036"/>
  <c r="L54" i="1036" s="1"/>
  <c r="M54" i="1036" s="1"/>
  <c r="G54" i="1036"/>
  <c r="N54" i="1036" s="1"/>
  <c r="J53" i="1036"/>
  <c r="J52" i="1036"/>
  <c r="J49" i="1036" s="1"/>
  <c r="H52" i="1036"/>
  <c r="I52" i="1036" s="1"/>
  <c r="G52" i="1036"/>
  <c r="J51" i="1036"/>
  <c r="K51" i="1036" s="1"/>
  <c r="H51" i="1036"/>
  <c r="L51" i="1036" s="1"/>
  <c r="M51" i="1036" s="1"/>
  <c r="G51" i="1036"/>
  <c r="G49" i="1036" s="1"/>
  <c r="K50" i="1036"/>
  <c r="J50" i="1036"/>
  <c r="H50" i="1036"/>
  <c r="L50" i="1036" s="1"/>
  <c r="M50" i="1036" s="1"/>
  <c r="G50" i="1036"/>
  <c r="H49" i="1036"/>
  <c r="J48" i="1036"/>
  <c r="K48" i="1036" s="1"/>
  <c r="H48" i="1036"/>
  <c r="G48" i="1036"/>
  <c r="J47" i="1036"/>
  <c r="K47" i="1036" s="1"/>
  <c r="H47" i="1036"/>
  <c r="L47" i="1036" s="1"/>
  <c r="M47" i="1036" s="1"/>
  <c r="G47" i="1036"/>
  <c r="N47" i="1036" s="1"/>
  <c r="J46" i="1036"/>
  <c r="H46" i="1036"/>
  <c r="I46" i="1036" s="1"/>
  <c r="G46" i="1036"/>
  <c r="N46" i="1036" s="1"/>
  <c r="G45" i="1036"/>
  <c r="J44" i="1036"/>
  <c r="K44" i="1036" s="1"/>
  <c r="H44" i="1036"/>
  <c r="L44" i="1036" s="1"/>
  <c r="M44" i="1036" s="1"/>
  <c r="G44" i="1036"/>
  <c r="N44" i="1036" s="1"/>
  <c r="K43" i="1036"/>
  <c r="J43" i="1036"/>
  <c r="H43" i="1036"/>
  <c r="I43" i="1036" s="1"/>
  <c r="G43" i="1036"/>
  <c r="N43" i="1036" s="1"/>
  <c r="J42" i="1036"/>
  <c r="H42" i="1036"/>
  <c r="I42" i="1036" s="1"/>
  <c r="G42" i="1036"/>
  <c r="N42" i="1036" s="1"/>
  <c r="J41" i="1036"/>
  <c r="K41" i="1036" s="1"/>
  <c r="H41" i="1036"/>
  <c r="G41" i="1036"/>
  <c r="J40" i="1036"/>
  <c r="K40" i="1036" s="1"/>
  <c r="H40" i="1036"/>
  <c r="I40" i="1036" s="1"/>
  <c r="G40" i="1036"/>
  <c r="N40" i="1036" s="1"/>
  <c r="J39" i="1036"/>
  <c r="H39" i="1036"/>
  <c r="L39" i="1036" s="1"/>
  <c r="M39" i="1036" s="1"/>
  <c r="G39" i="1036"/>
  <c r="N39" i="1036" s="1"/>
  <c r="H38" i="1036"/>
  <c r="K37" i="1036"/>
  <c r="J37" i="1036"/>
  <c r="H37" i="1036"/>
  <c r="I37" i="1036" s="1"/>
  <c r="G37" i="1036"/>
  <c r="J36" i="1036"/>
  <c r="K36" i="1036" s="1"/>
  <c r="H36" i="1036"/>
  <c r="L36" i="1036" s="1"/>
  <c r="M36" i="1036" s="1"/>
  <c r="G36" i="1036"/>
  <c r="J35" i="1036"/>
  <c r="K35" i="1036" s="1"/>
  <c r="H35" i="1036"/>
  <c r="L35" i="1036" s="1"/>
  <c r="M35" i="1036" s="1"/>
  <c r="G35" i="1036"/>
  <c r="J34" i="1036"/>
  <c r="K34" i="1036" s="1"/>
  <c r="H34" i="1036"/>
  <c r="I34" i="1036" s="1"/>
  <c r="G34" i="1036"/>
  <c r="J33" i="1036"/>
  <c r="K33" i="1036" s="1"/>
  <c r="H33" i="1036"/>
  <c r="L33" i="1036" s="1"/>
  <c r="M33" i="1036" s="1"/>
  <c r="G33" i="1036"/>
  <c r="J32" i="1036"/>
  <c r="J31" i="1036"/>
  <c r="K31" i="1036" s="1"/>
  <c r="H31" i="1036"/>
  <c r="I31" i="1036" s="1"/>
  <c r="G31" i="1036"/>
  <c r="N31" i="1036" s="1"/>
  <c r="J30" i="1036"/>
  <c r="K30" i="1036" s="1"/>
  <c r="H30" i="1036"/>
  <c r="G30" i="1036"/>
  <c r="J29" i="1036"/>
  <c r="K29" i="1036" s="1"/>
  <c r="H29" i="1036"/>
  <c r="I29" i="1036" s="1"/>
  <c r="G29" i="1036"/>
  <c r="J28" i="1036"/>
  <c r="H28" i="1036"/>
  <c r="I28" i="1036" s="1"/>
  <c r="G28" i="1036"/>
  <c r="J26" i="1036"/>
  <c r="K26" i="1036" s="1"/>
  <c r="H26" i="1036"/>
  <c r="L26" i="1036" s="1"/>
  <c r="M26" i="1036" s="1"/>
  <c r="G26" i="1036"/>
  <c r="J25" i="1036"/>
  <c r="H25" i="1036"/>
  <c r="I25" i="1036" s="1"/>
  <c r="G25" i="1036"/>
  <c r="K25" i="1036" s="1"/>
  <c r="J24" i="1036"/>
  <c r="J23" i="1036" s="1"/>
  <c r="H24" i="1036"/>
  <c r="L24" i="1036" s="1"/>
  <c r="M24" i="1036" s="1"/>
  <c r="G24" i="1036"/>
  <c r="N24" i="1036" s="1"/>
  <c r="J22" i="1036"/>
  <c r="K22" i="1036" s="1"/>
  <c r="H22" i="1036"/>
  <c r="G22" i="1036"/>
  <c r="N22" i="1036" s="1"/>
  <c r="J21" i="1036"/>
  <c r="K21" i="1036" s="1"/>
  <c r="H21" i="1036"/>
  <c r="L21" i="1036" s="1"/>
  <c r="M21" i="1036" s="1"/>
  <c r="G21" i="1036"/>
  <c r="N21" i="1036" s="1"/>
  <c r="J20" i="1036"/>
  <c r="K20" i="1036" s="1"/>
  <c r="H20" i="1036"/>
  <c r="L20" i="1036" s="1"/>
  <c r="G20" i="1036"/>
  <c r="N20" i="1036" s="1"/>
  <c r="J19" i="1036"/>
  <c r="J18" i="1036" s="1"/>
  <c r="H19" i="1036"/>
  <c r="G19" i="1036"/>
  <c r="N19" i="1036" s="1"/>
  <c r="J17" i="1036"/>
  <c r="K17" i="1036" s="1"/>
  <c r="H17" i="1036"/>
  <c r="I17" i="1036" s="1"/>
  <c r="G17" i="1036"/>
  <c r="N17" i="1036" s="1"/>
  <c r="K16" i="1036"/>
  <c r="J16" i="1036"/>
  <c r="H16" i="1036"/>
  <c r="I16" i="1036" s="1"/>
  <c r="G16" i="1036"/>
  <c r="N16" i="1036" s="1"/>
  <c r="J15" i="1036"/>
  <c r="K15" i="1036" s="1"/>
  <c r="H15" i="1036"/>
  <c r="G15" i="1036"/>
  <c r="L14" i="1036"/>
  <c r="M14" i="1036" s="1"/>
  <c r="J14" i="1036"/>
  <c r="K14" i="1036" s="1"/>
  <c r="H14" i="1036"/>
  <c r="G14" i="1036"/>
  <c r="N14" i="1036" s="1"/>
  <c r="J13" i="1036"/>
  <c r="H13" i="1036"/>
  <c r="G13" i="1036"/>
  <c r="N13" i="1036" s="1"/>
  <c r="J12" i="1036"/>
  <c r="L12" i="1036" s="1"/>
  <c r="M12" i="1036" s="1"/>
  <c r="H12" i="1036"/>
  <c r="G12" i="1036"/>
  <c r="N12" i="1036" s="1"/>
  <c r="A5" i="1036"/>
  <c r="A4" i="1036"/>
  <c r="L30" i="1035"/>
  <c r="L27" i="1035"/>
  <c r="L24" i="1035"/>
  <c r="Q20" i="1035"/>
  <c r="N20" i="1035"/>
  <c r="L20" i="1035"/>
  <c r="G20" i="1035"/>
  <c r="F20" i="1035"/>
  <c r="Q19" i="1035"/>
  <c r="N19" i="1035"/>
  <c r="L19" i="1035"/>
  <c r="G19" i="1035"/>
  <c r="Y19" i="1035" s="1"/>
  <c r="F19" i="1035"/>
  <c r="Q18" i="1035"/>
  <c r="N18" i="1035"/>
  <c r="L18" i="1035"/>
  <c r="G18" i="1035"/>
  <c r="F18" i="1035"/>
  <c r="Q17" i="1035"/>
  <c r="N17" i="1035"/>
  <c r="L17" i="1035"/>
  <c r="O17" i="1035" s="1"/>
  <c r="G17" i="1035"/>
  <c r="U17" i="1035" s="1"/>
  <c r="F17" i="1035"/>
  <c r="R16" i="1035"/>
  <c r="Q16" i="1035"/>
  <c r="N16" i="1035"/>
  <c r="L16" i="1035"/>
  <c r="M16" i="1035" s="1"/>
  <c r="I16" i="1035"/>
  <c r="G16" i="1035"/>
  <c r="Y16" i="1035" s="1"/>
  <c r="F16" i="1035"/>
  <c r="E16" i="1035"/>
  <c r="Q15" i="1035"/>
  <c r="N15" i="1035"/>
  <c r="L15" i="1035"/>
  <c r="O15" i="1035" s="1"/>
  <c r="G15" i="1035"/>
  <c r="E15" i="1035" s="1"/>
  <c r="F15" i="1035"/>
  <c r="Q14" i="1035"/>
  <c r="N14" i="1035"/>
  <c r="M14" i="1035"/>
  <c r="L14" i="1035"/>
  <c r="O14" i="1035" s="1"/>
  <c r="P14" i="1035" s="1"/>
  <c r="W14" i="1035" s="1"/>
  <c r="G14" i="1035"/>
  <c r="F14" i="1035"/>
  <c r="Q13" i="1035"/>
  <c r="N13" i="1035"/>
  <c r="L13" i="1035"/>
  <c r="O13" i="1035" s="1"/>
  <c r="G13" i="1035"/>
  <c r="E13" i="1035" s="1"/>
  <c r="F13" i="1035"/>
  <c r="Q12" i="1035"/>
  <c r="N12" i="1035"/>
  <c r="O12" i="1035" s="1"/>
  <c r="M12" i="1035"/>
  <c r="L12" i="1035"/>
  <c r="I12" i="1035"/>
  <c r="G12" i="1035"/>
  <c r="Y12" i="1035" s="1"/>
  <c r="F12" i="1035"/>
  <c r="Q11" i="1035"/>
  <c r="O11" i="1035"/>
  <c r="N11" i="1035"/>
  <c r="L11" i="1035"/>
  <c r="G11" i="1035"/>
  <c r="M11" i="1035" s="1"/>
  <c r="F11" i="1035"/>
  <c r="Q10" i="1035"/>
  <c r="R10" i="1035" s="1"/>
  <c r="N10" i="1035"/>
  <c r="L10" i="1035"/>
  <c r="M10" i="1035" s="1"/>
  <c r="I10" i="1035"/>
  <c r="G10" i="1035"/>
  <c r="F10" i="1035"/>
  <c r="X9" i="1035"/>
  <c r="V9" i="1035"/>
  <c r="H9" i="1035"/>
  <c r="B4" i="1035"/>
  <c r="N89" i="1034"/>
  <c r="O89" i="1034" s="1"/>
  <c r="L89" i="1034"/>
  <c r="M89" i="1034" s="1"/>
  <c r="H89" i="1034"/>
  <c r="N88" i="1034"/>
  <c r="L88" i="1034"/>
  <c r="H88" i="1034"/>
  <c r="W88" i="1034" s="1"/>
  <c r="N87" i="1034"/>
  <c r="L87" i="1034"/>
  <c r="M87" i="1034" s="1"/>
  <c r="H87" i="1034"/>
  <c r="W87" i="1034" s="1"/>
  <c r="W86" i="1034"/>
  <c r="N86" i="1034"/>
  <c r="L86" i="1034"/>
  <c r="H86" i="1034"/>
  <c r="W85" i="1034"/>
  <c r="N85" i="1034"/>
  <c r="L85" i="1034"/>
  <c r="H85" i="1034"/>
  <c r="W84" i="1034"/>
  <c r="N84" i="1034"/>
  <c r="P84" i="1034" s="1"/>
  <c r="L84" i="1034"/>
  <c r="M84" i="1034" s="1"/>
  <c r="H84" i="1034"/>
  <c r="N83" i="1034"/>
  <c r="P83" i="1034" s="1"/>
  <c r="L83" i="1034"/>
  <c r="H83" i="1034"/>
  <c r="P82" i="1034"/>
  <c r="O82" i="1034"/>
  <c r="N82" i="1034"/>
  <c r="L82" i="1034"/>
  <c r="H82" i="1034"/>
  <c r="N81" i="1034"/>
  <c r="O81" i="1034" s="1"/>
  <c r="L81" i="1034"/>
  <c r="H81" i="1034"/>
  <c r="W80" i="1034"/>
  <c r="N80" i="1034"/>
  <c r="M80" i="1034"/>
  <c r="L80" i="1034"/>
  <c r="H80" i="1034"/>
  <c r="N79" i="1034"/>
  <c r="L79" i="1034"/>
  <c r="M79" i="1034" s="1"/>
  <c r="H79" i="1034"/>
  <c r="N78" i="1034"/>
  <c r="L78" i="1034"/>
  <c r="H78" i="1034"/>
  <c r="N77" i="1034"/>
  <c r="O77" i="1034" s="1"/>
  <c r="L77" i="1034"/>
  <c r="H77" i="1034"/>
  <c r="N76" i="1034"/>
  <c r="L76" i="1034"/>
  <c r="M76" i="1034" s="1"/>
  <c r="H76" i="1034"/>
  <c r="W76" i="1034" s="1"/>
  <c r="N75" i="1034"/>
  <c r="L75" i="1034"/>
  <c r="M75" i="1034" s="1"/>
  <c r="H75" i="1034"/>
  <c r="W74" i="1034"/>
  <c r="N74" i="1034"/>
  <c r="P74" i="1034" s="1"/>
  <c r="L74" i="1034"/>
  <c r="M74" i="1034" s="1"/>
  <c r="H74" i="1034"/>
  <c r="N73" i="1034"/>
  <c r="L73" i="1034"/>
  <c r="H73" i="1034"/>
  <c r="W73" i="1034" s="1"/>
  <c r="N72" i="1034"/>
  <c r="P72" i="1034" s="1"/>
  <c r="L72" i="1034"/>
  <c r="H72" i="1034"/>
  <c r="W72" i="1034" s="1"/>
  <c r="N71" i="1034"/>
  <c r="L71" i="1034"/>
  <c r="H71" i="1034"/>
  <c r="O70" i="1034"/>
  <c r="N70" i="1034"/>
  <c r="L70" i="1034"/>
  <c r="H70" i="1034"/>
  <c r="N69" i="1034"/>
  <c r="O69" i="1034" s="1"/>
  <c r="L69" i="1034"/>
  <c r="H69" i="1034"/>
  <c r="W69" i="1034" s="1"/>
  <c r="W68" i="1034"/>
  <c r="N68" i="1034"/>
  <c r="M68" i="1034"/>
  <c r="L68" i="1034"/>
  <c r="H68" i="1034"/>
  <c r="N67" i="1034"/>
  <c r="L67" i="1034"/>
  <c r="M67" i="1034" s="1"/>
  <c r="H67" i="1034"/>
  <c r="N66" i="1034"/>
  <c r="L66" i="1034"/>
  <c r="H66" i="1034"/>
  <c r="P65" i="1034"/>
  <c r="N65" i="1034"/>
  <c r="O65" i="1034" s="1"/>
  <c r="M65" i="1034"/>
  <c r="L65" i="1034"/>
  <c r="H65" i="1034"/>
  <c r="N64" i="1034"/>
  <c r="O64" i="1034" s="1"/>
  <c r="L64" i="1034"/>
  <c r="M64" i="1034" s="1"/>
  <c r="H64" i="1034"/>
  <c r="W64" i="1034" s="1"/>
  <c r="N63" i="1034"/>
  <c r="L63" i="1034"/>
  <c r="H63" i="1034"/>
  <c r="T62" i="1034"/>
  <c r="P62" i="1034"/>
  <c r="Q62" i="1034" s="1"/>
  <c r="N62" i="1034"/>
  <c r="L62" i="1034"/>
  <c r="H62" i="1034"/>
  <c r="W61" i="1034"/>
  <c r="N61" i="1034"/>
  <c r="L61" i="1034"/>
  <c r="H61" i="1034"/>
  <c r="N60" i="1034"/>
  <c r="P60" i="1034" s="1"/>
  <c r="L60" i="1034"/>
  <c r="H60" i="1034"/>
  <c r="N59" i="1034"/>
  <c r="P59" i="1034" s="1"/>
  <c r="L59" i="1034"/>
  <c r="M59" i="1034" s="1"/>
  <c r="H59" i="1034"/>
  <c r="N58" i="1034"/>
  <c r="O58" i="1034" s="1"/>
  <c r="L58" i="1034"/>
  <c r="M58" i="1034" s="1"/>
  <c r="H58" i="1034"/>
  <c r="W57" i="1034"/>
  <c r="N57" i="1034"/>
  <c r="L57" i="1034"/>
  <c r="M57" i="1034" s="1"/>
  <c r="H57" i="1034"/>
  <c r="N56" i="1034"/>
  <c r="M56" i="1034"/>
  <c r="L56" i="1034"/>
  <c r="H56" i="1034"/>
  <c r="N55" i="1034"/>
  <c r="L55" i="1034"/>
  <c r="H55" i="1034"/>
  <c r="O55" i="1034" s="1"/>
  <c r="N54" i="1034"/>
  <c r="P54" i="1034" s="1"/>
  <c r="L54" i="1034"/>
  <c r="H54" i="1034"/>
  <c r="P53" i="1034"/>
  <c r="N53" i="1034"/>
  <c r="L53" i="1034"/>
  <c r="H53" i="1034"/>
  <c r="N52" i="1034"/>
  <c r="P52" i="1034" s="1"/>
  <c r="L52" i="1034"/>
  <c r="M52" i="1034" s="1"/>
  <c r="H52" i="1034"/>
  <c r="W52" i="1034" s="1"/>
  <c r="N51" i="1034"/>
  <c r="L51" i="1034"/>
  <c r="H51" i="1034"/>
  <c r="N50" i="1034"/>
  <c r="L50" i="1034"/>
  <c r="H50" i="1034"/>
  <c r="N49" i="1034"/>
  <c r="L49" i="1034"/>
  <c r="H49" i="1034"/>
  <c r="N48" i="1034"/>
  <c r="P48" i="1034" s="1"/>
  <c r="L48" i="1034"/>
  <c r="M48" i="1034" s="1"/>
  <c r="H48" i="1034"/>
  <c r="N47" i="1034"/>
  <c r="L47" i="1034"/>
  <c r="H47" i="1034"/>
  <c r="O46" i="1034"/>
  <c r="N46" i="1034"/>
  <c r="L46" i="1034"/>
  <c r="H46" i="1034"/>
  <c r="W46" i="1034" s="1"/>
  <c r="N45" i="1034"/>
  <c r="P45" i="1034" s="1"/>
  <c r="L45" i="1034"/>
  <c r="H45" i="1034"/>
  <c r="W45" i="1034" s="1"/>
  <c r="N44" i="1034"/>
  <c r="L44" i="1034"/>
  <c r="H44" i="1034"/>
  <c r="M44" i="1034" s="1"/>
  <c r="N43" i="1034"/>
  <c r="L43" i="1034"/>
  <c r="M43" i="1034" s="1"/>
  <c r="H43" i="1034"/>
  <c r="P42" i="1034"/>
  <c r="Q42" i="1034" s="1"/>
  <c r="T42" i="1034" s="1"/>
  <c r="N42" i="1034"/>
  <c r="L42" i="1034"/>
  <c r="H42" i="1034"/>
  <c r="N41" i="1034"/>
  <c r="O41" i="1034" s="1"/>
  <c r="L41" i="1034"/>
  <c r="M41" i="1034" s="1"/>
  <c r="H41" i="1034"/>
  <c r="W41" i="1034" s="1"/>
  <c r="N40" i="1034"/>
  <c r="P40" i="1034" s="1"/>
  <c r="L40" i="1034"/>
  <c r="H40" i="1034"/>
  <c r="W40" i="1034" s="1"/>
  <c r="N39" i="1034"/>
  <c r="L39" i="1034"/>
  <c r="M39" i="1034" s="1"/>
  <c r="H39" i="1034"/>
  <c r="N38" i="1034"/>
  <c r="P38" i="1034" s="1"/>
  <c r="L38" i="1034"/>
  <c r="H38" i="1034"/>
  <c r="S38" i="1034" s="1"/>
  <c r="N37" i="1034"/>
  <c r="P37" i="1034" s="1"/>
  <c r="L37" i="1034"/>
  <c r="H37" i="1034"/>
  <c r="W37" i="1034" s="1"/>
  <c r="N36" i="1034"/>
  <c r="L36" i="1034"/>
  <c r="M36" i="1034" s="1"/>
  <c r="H36" i="1034"/>
  <c r="O35" i="1034"/>
  <c r="N35" i="1034"/>
  <c r="L35" i="1034"/>
  <c r="P35" i="1034" s="1"/>
  <c r="H35" i="1034"/>
  <c r="N34" i="1034"/>
  <c r="O34" i="1034" s="1"/>
  <c r="L34" i="1034"/>
  <c r="H34" i="1034"/>
  <c r="W34" i="1034" s="1"/>
  <c r="N33" i="1034"/>
  <c r="P33" i="1034" s="1"/>
  <c r="L33" i="1034"/>
  <c r="M33" i="1034" s="1"/>
  <c r="H33" i="1034"/>
  <c r="N32" i="1034"/>
  <c r="L32" i="1034"/>
  <c r="M32" i="1034" s="1"/>
  <c r="H32" i="1034"/>
  <c r="N31" i="1034"/>
  <c r="P31" i="1034" s="1"/>
  <c r="L31" i="1034"/>
  <c r="H31" i="1034"/>
  <c r="N30" i="1034"/>
  <c r="O30" i="1034" s="1"/>
  <c r="L30" i="1034"/>
  <c r="H30" i="1034"/>
  <c r="N29" i="1034"/>
  <c r="L29" i="1034"/>
  <c r="H29" i="1034"/>
  <c r="W29" i="1034" s="1"/>
  <c r="N28" i="1034"/>
  <c r="L28" i="1034"/>
  <c r="M28" i="1034" s="1"/>
  <c r="H28" i="1034"/>
  <c r="W28" i="1034" s="1"/>
  <c r="N27" i="1034"/>
  <c r="L27" i="1034"/>
  <c r="H27" i="1034"/>
  <c r="N26" i="1034"/>
  <c r="P26" i="1034" s="1"/>
  <c r="L26" i="1034"/>
  <c r="M26" i="1034" s="1"/>
  <c r="H26" i="1034"/>
  <c r="N25" i="1034"/>
  <c r="L25" i="1034"/>
  <c r="H25" i="1034"/>
  <c r="N24" i="1034"/>
  <c r="L24" i="1034"/>
  <c r="M24" i="1034" s="1"/>
  <c r="H24" i="1034"/>
  <c r="O23" i="1034"/>
  <c r="N23" i="1034"/>
  <c r="L23" i="1034"/>
  <c r="M23" i="1034" s="1"/>
  <c r="H23" i="1034"/>
  <c r="O22" i="1034"/>
  <c r="N22" i="1034"/>
  <c r="L22" i="1034"/>
  <c r="M22" i="1034" s="1"/>
  <c r="H22" i="1034"/>
  <c r="N21" i="1034"/>
  <c r="P21" i="1034" s="1"/>
  <c r="L21" i="1034"/>
  <c r="H21" i="1034"/>
  <c r="S21" i="1034" s="1"/>
  <c r="N20" i="1034"/>
  <c r="M20" i="1034"/>
  <c r="L20" i="1034"/>
  <c r="H20" i="1034"/>
  <c r="N19" i="1034"/>
  <c r="P19" i="1034" s="1"/>
  <c r="L19" i="1034"/>
  <c r="M19" i="1034" s="1"/>
  <c r="H19" i="1034"/>
  <c r="N18" i="1034"/>
  <c r="P18" i="1034" s="1"/>
  <c r="L18" i="1034"/>
  <c r="H18" i="1034"/>
  <c r="N17" i="1034"/>
  <c r="L17" i="1034"/>
  <c r="L13" i="1034" s="1"/>
  <c r="H17" i="1034"/>
  <c r="N16" i="1034"/>
  <c r="L16" i="1034"/>
  <c r="H16" i="1034"/>
  <c r="W16" i="1034" s="1"/>
  <c r="N15" i="1034"/>
  <c r="L15" i="1034"/>
  <c r="H15" i="1034"/>
  <c r="W14" i="1034"/>
  <c r="N14" i="1034"/>
  <c r="P14" i="1034" s="1"/>
  <c r="L14" i="1034"/>
  <c r="M14" i="1034" s="1"/>
  <c r="H14" i="1034"/>
  <c r="AE13" i="1034"/>
  <c r="V13" i="1034"/>
  <c r="U13" i="1034"/>
  <c r="T13" i="1034"/>
  <c r="R13" i="1034"/>
  <c r="G13" i="1034"/>
  <c r="F13" i="1034"/>
  <c r="E13" i="1034"/>
  <c r="B5" i="1034"/>
  <c r="AG23" i="1033"/>
  <c r="T23" i="1033"/>
  <c r="W23" i="1033" s="1"/>
  <c r="S23" i="1033"/>
  <c r="V23" i="1033" s="1"/>
  <c r="L23" i="1033"/>
  <c r="J23" i="1033"/>
  <c r="F23" i="1033"/>
  <c r="Q23" i="1033" s="1"/>
  <c r="E23" i="1033"/>
  <c r="D23" i="1033" s="1"/>
  <c r="B23" i="1033"/>
  <c r="AH22" i="1033"/>
  <c r="AG22" i="1033"/>
  <c r="L22" i="1033"/>
  <c r="J22" i="1033"/>
  <c r="AI22" i="1033" s="1"/>
  <c r="F22" i="1033"/>
  <c r="D22" i="1033" s="1"/>
  <c r="E22" i="1033"/>
  <c r="B22" i="1033"/>
  <c r="AG21" i="1033"/>
  <c r="AB21" i="1033"/>
  <c r="T21" i="1033"/>
  <c r="S21" i="1033"/>
  <c r="V21" i="1033" s="1"/>
  <c r="L21" i="1033"/>
  <c r="J21" i="1033"/>
  <c r="F21" i="1033"/>
  <c r="AK21" i="1033" s="1"/>
  <c r="E21" i="1033"/>
  <c r="B21" i="1033"/>
  <c r="AB20" i="1033"/>
  <c r="V20" i="1033"/>
  <c r="T20" i="1033"/>
  <c r="W20" i="1033" s="1"/>
  <c r="S20" i="1033"/>
  <c r="P20" i="1033"/>
  <c r="AG20" i="1033" s="1"/>
  <c r="L20" i="1033"/>
  <c r="J20" i="1033"/>
  <c r="F20" i="1033"/>
  <c r="E20" i="1033"/>
  <c r="B20" i="1033"/>
  <c r="AB19" i="1033"/>
  <c r="T19" i="1033"/>
  <c r="V19" i="1033" s="1"/>
  <c r="S19" i="1033"/>
  <c r="L19" i="1033"/>
  <c r="J19" i="1033"/>
  <c r="F19" i="1033"/>
  <c r="W19" i="1033" s="1"/>
  <c r="E19" i="1033"/>
  <c r="B19" i="1033"/>
  <c r="AG18" i="1033"/>
  <c r="AC18" i="1033"/>
  <c r="T18" i="1033"/>
  <c r="W18" i="1033" s="1"/>
  <c r="S18" i="1033"/>
  <c r="L18" i="1033"/>
  <c r="J18" i="1033"/>
  <c r="K18" i="1033" s="1"/>
  <c r="F18" i="1033"/>
  <c r="E18" i="1033"/>
  <c r="B18" i="1033"/>
  <c r="AK17" i="1033"/>
  <c r="AG17" i="1033"/>
  <c r="AB17" i="1033"/>
  <c r="T17" i="1033"/>
  <c r="W17" i="1033" s="1"/>
  <c r="S17" i="1033"/>
  <c r="L17" i="1033"/>
  <c r="J17" i="1033"/>
  <c r="F17" i="1033"/>
  <c r="U17" i="1033" s="1"/>
  <c r="E17" i="1033"/>
  <c r="D17" i="1033" s="1"/>
  <c r="B17" i="1033"/>
  <c r="AG16" i="1033"/>
  <c r="AC16" i="1033"/>
  <c r="T16" i="1033"/>
  <c r="S16" i="1033"/>
  <c r="L16" i="1033"/>
  <c r="J16" i="1033"/>
  <c r="K16" i="1033" s="1"/>
  <c r="F16" i="1033"/>
  <c r="D16" i="1033" s="1"/>
  <c r="E16" i="1033"/>
  <c r="B16" i="1033"/>
  <c r="AG15" i="1033"/>
  <c r="U15" i="1033"/>
  <c r="T15" i="1033"/>
  <c r="W15" i="1033" s="1"/>
  <c r="S15" i="1033"/>
  <c r="L15" i="1033"/>
  <c r="J15" i="1033"/>
  <c r="F15" i="1033"/>
  <c r="D15" i="1033"/>
  <c r="B15" i="1033"/>
  <c r="AG14" i="1033"/>
  <c r="AB14" i="1033"/>
  <c r="V14" i="1033"/>
  <c r="T14" i="1033"/>
  <c r="S14" i="1033"/>
  <c r="L14" i="1033"/>
  <c r="J14" i="1033"/>
  <c r="K14" i="1033" s="1"/>
  <c r="F14" i="1033"/>
  <c r="E14" i="1033"/>
  <c r="B14" i="1033"/>
  <c r="AG13" i="1033"/>
  <c r="AB13" i="1033"/>
  <c r="W13" i="1033"/>
  <c r="V13" i="1033"/>
  <c r="T13" i="1033"/>
  <c r="S13" i="1033"/>
  <c r="L13" i="1033"/>
  <c r="J13" i="1033"/>
  <c r="F13" i="1033"/>
  <c r="E13" i="1033"/>
  <c r="B13" i="1033"/>
  <c r="AH12" i="1033"/>
  <c r="AG12" i="1033"/>
  <c r="L12" i="1033"/>
  <c r="N12" i="1033" s="1"/>
  <c r="K12" i="1033"/>
  <c r="J12" i="1033"/>
  <c r="AI12" i="1033" s="1"/>
  <c r="F12" i="1033"/>
  <c r="E12" i="1033"/>
  <c r="B12" i="1033"/>
  <c r="AK11" i="1033"/>
  <c r="AG11" i="1033"/>
  <c r="AB11" i="1033"/>
  <c r="T11" i="1033"/>
  <c r="S11" i="1033"/>
  <c r="Q11" i="1033"/>
  <c r="X11" i="1033" s="1"/>
  <c r="M11" i="1033"/>
  <c r="L11" i="1033"/>
  <c r="J11" i="1033"/>
  <c r="K11" i="1033" s="1"/>
  <c r="F11" i="1033"/>
  <c r="AC11" i="1033" s="1"/>
  <c r="E11" i="1033"/>
  <c r="D11" i="1033" s="1"/>
  <c r="B11" i="1033"/>
  <c r="AG10" i="1033"/>
  <c r="T10" i="1033"/>
  <c r="W10" i="1033" s="1"/>
  <c r="S10" i="1033"/>
  <c r="V10" i="1033" s="1"/>
  <c r="Q10" i="1033"/>
  <c r="X10" i="1033" s="1"/>
  <c r="M10" i="1033"/>
  <c r="L10" i="1033"/>
  <c r="J10" i="1033"/>
  <c r="K10" i="1033" s="1"/>
  <c r="F10" i="1033"/>
  <c r="AC10" i="1033" s="1"/>
  <c r="E10" i="1033"/>
  <c r="D10" i="1033"/>
  <c r="B10" i="1033"/>
  <c r="AJ9" i="1033"/>
  <c r="AD9" i="1033"/>
  <c r="A4" i="1033"/>
  <c r="H53" i="1032"/>
  <c r="J53" i="1032" s="1"/>
  <c r="F53" i="1032"/>
  <c r="E53" i="1032"/>
  <c r="P53" i="1032" s="1"/>
  <c r="D53" i="1032"/>
  <c r="C53" i="1032"/>
  <c r="B53" i="1032"/>
  <c r="H52" i="1032"/>
  <c r="H13" i="1032" s="1"/>
  <c r="F52" i="1032"/>
  <c r="F50" i="1032" s="1"/>
  <c r="E52" i="1032"/>
  <c r="P52" i="1032" s="1"/>
  <c r="D52" i="1032"/>
  <c r="C52" i="1032"/>
  <c r="B52" i="1032"/>
  <c r="H51" i="1032"/>
  <c r="H10" i="1032" s="1"/>
  <c r="G51" i="1032"/>
  <c r="F51" i="1032"/>
  <c r="E51" i="1032"/>
  <c r="D51" i="1032"/>
  <c r="C51" i="1032"/>
  <c r="B51" i="1032"/>
  <c r="H50" i="1032"/>
  <c r="H49" i="1032" s="1"/>
  <c r="I49" i="1032" s="1"/>
  <c r="E50" i="1032"/>
  <c r="D50" i="1032"/>
  <c r="C50" i="1032"/>
  <c r="B50" i="1032"/>
  <c r="A50" i="1032"/>
  <c r="E49" i="1032"/>
  <c r="D49" i="1032"/>
  <c r="C49" i="1032"/>
  <c r="B49" i="1032"/>
  <c r="J48" i="1032"/>
  <c r="N48" i="1032" s="1"/>
  <c r="D48" i="1032"/>
  <c r="H47" i="1032"/>
  <c r="J47" i="1032" s="1"/>
  <c r="N47" i="1032" s="1"/>
  <c r="F47" i="1032"/>
  <c r="E47" i="1032"/>
  <c r="D47" i="1032"/>
  <c r="C47" i="1032"/>
  <c r="B47" i="1032"/>
  <c r="H46" i="1032"/>
  <c r="J46" i="1032" s="1"/>
  <c r="N46" i="1032" s="1"/>
  <c r="P46" i="1032" s="1"/>
  <c r="F46" i="1032"/>
  <c r="E46" i="1032"/>
  <c r="D46" i="1032"/>
  <c r="C46" i="1032"/>
  <c r="B46" i="1032"/>
  <c r="L45" i="1032"/>
  <c r="M45" i="1032" s="1"/>
  <c r="J45" i="1032"/>
  <c r="K45" i="1032" s="1"/>
  <c r="H45" i="1032"/>
  <c r="F45" i="1032"/>
  <c r="G45" i="1032" s="1"/>
  <c r="E45" i="1032"/>
  <c r="I45" i="1032" s="1"/>
  <c r="D45" i="1032"/>
  <c r="C45" i="1032"/>
  <c r="B45" i="1032"/>
  <c r="H44" i="1032"/>
  <c r="I44" i="1032" s="1"/>
  <c r="F44" i="1032"/>
  <c r="G44" i="1032" s="1"/>
  <c r="E44" i="1032"/>
  <c r="D44" i="1032"/>
  <c r="C44" i="1032"/>
  <c r="B44" i="1032"/>
  <c r="A44" i="1032"/>
  <c r="H43" i="1032"/>
  <c r="I43" i="1032" s="1"/>
  <c r="G43" i="1032"/>
  <c r="F43" i="1032"/>
  <c r="E43" i="1032"/>
  <c r="D43" i="1032"/>
  <c r="C43" i="1032"/>
  <c r="B43" i="1032"/>
  <c r="H42" i="1032"/>
  <c r="J42" i="1032" s="1"/>
  <c r="N42" i="1032" s="1"/>
  <c r="F42" i="1032"/>
  <c r="E42" i="1032"/>
  <c r="D42" i="1032"/>
  <c r="D14" i="1032" s="1"/>
  <c r="C42" i="1032"/>
  <c r="B42" i="1032"/>
  <c r="H41" i="1032"/>
  <c r="J41" i="1032" s="1"/>
  <c r="N41" i="1032" s="1"/>
  <c r="F41" i="1032"/>
  <c r="E41" i="1032"/>
  <c r="D41" i="1032"/>
  <c r="C41" i="1032"/>
  <c r="B41" i="1032"/>
  <c r="H40" i="1032"/>
  <c r="J40" i="1032" s="1"/>
  <c r="F40" i="1032"/>
  <c r="G40" i="1032" s="1"/>
  <c r="E40" i="1032"/>
  <c r="D40" i="1032"/>
  <c r="C40" i="1032"/>
  <c r="C10" i="1032" s="1"/>
  <c r="C8" i="1032" s="1"/>
  <c r="B40" i="1032"/>
  <c r="F39" i="1032"/>
  <c r="G39" i="1032" s="1"/>
  <c r="E39" i="1032"/>
  <c r="D39" i="1032"/>
  <c r="C39" i="1032"/>
  <c r="B39" i="1032"/>
  <c r="A39" i="1032"/>
  <c r="F38" i="1032"/>
  <c r="G38" i="1032" s="1"/>
  <c r="E38" i="1032"/>
  <c r="D38" i="1032"/>
  <c r="C38" i="1032"/>
  <c r="B38" i="1032"/>
  <c r="A38" i="1032"/>
  <c r="H37" i="1032"/>
  <c r="J37" i="1032" s="1"/>
  <c r="K37" i="1032" s="1"/>
  <c r="F37" i="1032"/>
  <c r="G37" i="1032" s="1"/>
  <c r="E37" i="1032"/>
  <c r="B37" i="1032"/>
  <c r="P36" i="1032"/>
  <c r="J36" i="1032"/>
  <c r="K36" i="1032" s="1"/>
  <c r="H36" i="1032"/>
  <c r="I36" i="1032" s="1"/>
  <c r="F36" i="1032"/>
  <c r="G36" i="1032" s="1"/>
  <c r="E36" i="1032"/>
  <c r="B36" i="1032"/>
  <c r="A36" i="1032"/>
  <c r="H35" i="1032"/>
  <c r="F35" i="1032"/>
  <c r="G35" i="1032" s="1"/>
  <c r="B35" i="1032"/>
  <c r="E35" i="1032" s="1"/>
  <c r="A35" i="1032"/>
  <c r="H34" i="1032"/>
  <c r="J34" i="1032" s="1"/>
  <c r="N34" i="1032" s="1"/>
  <c r="P34" i="1032" s="1"/>
  <c r="F34" i="1032"/>
  <c r="E34" i="1032"/>
  <c r="D34" i="1032"/>
  <c r="C34" i="1032"/>
  <c r="B34" i="1032"/>
  <c r="J33" i="1032"/>
  <c r="N33" i="1032" s="1"/>
  <c r="I33" i="1032"/>
  <c r="H33" i="1032"/>
  <c r="G33" i="1032"/>
  <c r="F33" i="1032"/>
  <c r="E33" i="1032"/>
  <c r="P33" i="1032" s="1"/>
  <c r="D33" i="1032"/>
  <c r="C33" i="1032"/>
  <c r="B33" i="1032"/>
  <c r="J32" i="1032"/>
  <c r="H32" i="1032"/>
  <c r="I32" i="1032" s="1"/>
  <c r="F32" i="1032"/>
  <c r="G32" i="1032" s="1"/>
  <c r="E32" i="1032"/>
  <c r="P32" i="1032" s="1"/>
  <c r="D32" i="1032"/>
  <c r="C32" i="1032"/>
  <c r="B32" i="1032"/>
  <c r="L31" i="1032"/>
  <c r="E31" i="1032"/>
  <c r="D31" i="1032"/>
  <c r="C31" i="1032"/>
  <c r="B31" i="1032"/>
  <c r="A31" i="1032"/>
  <c r="N30" i="1032"/>
  <c r="J30" i="1032"/>
  <c r="H30" i="1032"/>
  <c r="F30" i="1032"/>
  <c r="D30" i="1032"/>
  <c r="C30" i="1032"/>
  <c r="E30" i="1032" s="1"/>
  <c r="H29" i="1032"/>
  <c r="J29" i="1032" s="1"/>
  <c r="F29" i="1032"/>
  <c r="D29" i="1032"/>
  <c r="C29" i="1032"/>
  <c r="B29" i="1032"/>
  <c r="E29" i="1032" s="1"/>
  <c r="I28" i="1032"/>
  <c r="H28" i="1032"/>
  <c r="J28" i="1032" s="1"/>
  <c r="G28" i="1032"/>
  <c r="F28" i="1032"/>
  <c r="E28" i="1032"/>
  <c r="B28" i="1032"/>
  <c r="H27" i="1032"/>
  <c r="J27" i="1032" s="1"/>
  <c r="F27" i="1032"/>
  <c r="D27" i="1032"/>
  <c r="C27" i="1032"/>
  <c r="C26" i="1032" s="1"/>
  <c r="B27" i="1032"/>
  <c r="B10" i="1032" s="1"/>
  <c r="L26" i="1032"/>
  <c r="M26" i="1032" s="1"/>
  <c r="F26" i="1032"/>
  <c r="G26" i="1032" s="1"/>
  <c r="E26" i="1032"/>
  <c r="D26" i="1032"/>
  <c r="B26" i="1032"/>
  <c r="A26" i="1032"/>
  <c r="J25" i="1032"/>
  <c r="N25" i="1032" s="1"/>
  <c r="P25" i="1032" s="1"/>
  <c r="H25" i="1032"/>
  <c r="F25" i="1032"/>
  <c r="E25" i="1032"/>
  <c r="D25" i="1032"/>
  <c r="C25" i="1032"/>
  <c r="C14" i="1032" s="1"/>
  <c r="B25" i="1032"/>
  <c r="B14" i="1032" s="1"/>
  <c r="M24" i="1032"/>
  <c r="L24" i="1032"/>
  <c r="H24" i="1032"/>
  <c r="J24" i="1032" s="1"/>
  <c r="F24" i="1032"/>
  <c r="E24" i="1032"/>
  <c r="D24" i="1032"/>
  <c r="C24" i="1032"/>
  <c r="B24" i="1032"/>
  <c r="H23" i="1032"/>
  <c r="J23" i="1032" s="1"/>
  <c r="F23" i="1032"/>
  <c r="G23" i="1032" s="1"/>
  <c r="E23" i="1032"/>
  <c r="D23" i="1032"/>
  <c r="C23" i="1032"/>
  <c r="C12" i="1032" s="1"/>
  <c r="C11" i="1032" s="1"/>
  <c r="B23" i="1032"/>
  <c r="B12" i="1032" s="1"/>
  <c r="B11" i="1032" s="1"/>
  <c r="H22" i="1032"/>
  <c r="F22" i="1032"/>
  <c r="E22" i="1032"/>
  <c r="D22" i="1032"/>
  <c r="C22" i="1032"/>
  <c r="B22" i="1032"/>
  <c r="A22" i="1032"/>
  <c r="E21" i="1032"/>
  <c r="D21" i="1032"/>
  <c r="C21" i="1032"/>
  <c r="B21" i="1032"/>
  <c r="H20" i="1032"/>
  <c r="H16" i="1032" s="1"/>
  <c r="F20" i="1032"/>
  <c r="E20" i="1032"/>
  <c r="D20" i="1032"/>
  <c r="C20" i="1032"/>
  <c r="B20" i="1032"/>
  <c r="H19" i="1032"/>
  <c r="J19" i="1032" s="1"/>
  <c r="N19" i="1032" s="1"/>
  <c r="O19" i="1032" s="1"/>
  <c r="F19" i="1032"/>
  <c r="F13" i="1032" s="1"/>
  <c r="E19" i="1032"/>
  <c r="P19" i="1032" s="1"/>
  <c r="D19" i="1032"/>
  <c r="C19" i="1032"/>
  <c r="B19" i="1032"/>
  <c r="H18" i="1032"/>
  <c r="J18" i="1032" s="1"/>
  <c r="F18" i="1032"/>
  <c r="F16" i="1032" s="1"/>
  <c r="E18" i="1032"/>
  <c r="D18" i="1032"/>
  <c r="C18" i="1032"/>
  <c r="B18" i="1032"/>
  <c r="H17" i="1032"/>
  <c r="H9" i="1032" s="1"/>
  <c r="G17" i="1032"/>
  <c r="F17" i="1032"/>
  <c r="J17" i="1032" s="1"/>
  <c r="E17" i="1032"/>
  <c r="D17" i="1032"/>
  <c r="C17" i="1032"/>
  <c r="B17" i="1032"/>
  <c r="E16" i="1032"/>
  <c r="D16" i="1032"/>
  <c r="C16" i="1032"/>
  <c r="B16" i="1032"/>
  <c r="A16" i="1032"/>
  <c r="E15" i="1032"/>
  <c r="D15" i="1032"/>
  <c r="C15" i="1032"/>
  <c r="B15" i="1032"/>
  <c r="H14" i="1032"/>
  <c r="F14" i="1032"/>
  <c r="L13" i="1032"/>
  <c r="D13" i="1032"/>
  <c r="C13" i="1032"/>
  <c r="B13" i="1032"/>
  <c r="H12" i="1032"/>
  <c r="F12" i="1032"/>
  <c r="J12" i="1032" s="1"/>
  <c r="E12" i="1032"/>
  <c r="I12" i="1032" s="1"/>
  <c r="D10" i="1032"/>
  <c r="F9" i="1032"/>
  <c r="E9" i="1032"/>
  <c r="D9" i="1032"/>
  <c r="C9" i="1032"/>
  <c r="B9" i="1032"/>
  <c r="A3" i="1032"/>
  <c r="K100" i="1036" l="1"/>
  <c r="I13" i="1036"/>
  <c r="I19" i="1036"/>
  <c r="I22" i="1036"/>
  <c r="H45" i="1036"/>
  <c r="K52" i="1036"/>
  <c r="M60" i="1036"/>
  <c r="N82" i="1036"/>
  <c r="I85" i="1036"/>
  <c r="I88" i="1036"/>
  <c r="L95" i="1036"/>
  <c r="M95" i="1036" s="1"/>
  <c r="L98" i="1036"/>
  <c r="M98" i="1036" s="1"/>
  <c r="L102" i="1036"/>
  <c r="M102" i="1036" s="1"/>
  <c r="J11" i="1036"/>
  <c r="J38" i="1036"/>
  <c r="L38" i="1036" s="1"/>
  <c r="J45" i="1036"/>
  <c r="K45" i="1036" s="1"/>
  <c r="H53" i="1036"/>
  <c r="L53" i="1036" s="1"/>
  <c r="K60" i="1036"/>
  <c r="M71" i="1036"/>
  <c r="K13" i="1036"/>
  <c r="K19" i="1036"/>
  <c r="K85" i="1036"/>
  <c r="L92" i="1036"/>
  <c r="M92" i="1036" s="1"/>
  <c r="M96" i="1036"/>
  <c r="M99" i="1036"/>
  <c r="J27" i="1036"/>
  <c r="K27" i="1036" s="1"/>
  <c r="L42" i="1036"/>
  <c r="M42" i="1036" s="1"/>
  <c r="H79" i="1036"/>
  <c r="N86" i="1036"/>
  <c r="N90" i="1036"/>
  <c r="N93" i="1036"/>
  <c r="I14" i="1036"/>
  <c r="M20" i="1036"/>
  <c r="K28" i="1036"/>
  <c r="H32" i="1036"/>
  <c r="L32" i="1036" s="1"/>
  <c r="K46" i="1036"/>
  <c r="M72" i="1036"/>
  <c r="K49" i="1036"/>
  <c r="K72" i="1036"/>
  <c r="J79" i="1036"/>
  <c r="H94" i="1036"/>
  <c r="I94" i="1036" s="1"/>
  <c r="N101" i="1036"/>
  <c r="N104" i="1036"/>
  <c r="K80" i="1036"/>
  <c r="L86" i="1036"/>
  <c r="M86" i="1036" s="1"/>
  <c r="I91" i="1036"/>
  <c r="I12" i="1036"/>
  <c r="L17" i="1036"/>
  <c r="M17" i="1036" s="1"/>
  <c r="L29" i="1036"/>
  <c r="M29" i="1036" s="1"/>
  <c r="L80" i="1036"/>
  <c r="M80" i="1036" s="1"/>
  <c r="L83" i="1036"/>
  <c r="M83" i="1036" s="1"/>
  <c r="N95" i="1036"/>
  <c r="N15" i="1036"/>
  <c r="N30" i="1036"/>
  <c r="N41" i="1036"/>
  <c r="N38" i="1036" s="1"/>
  <c r="N52" i="1036"/>
  <c r="H59" i="1036"/>
  <c r="L59" i="1036" s="1"/>
  <c r="G79" i="1036"/>
  <c r="L15" i="1036"/>
  <c r="M15" i="1036" s="1"/>
  <c r="G18" i="1036"/>
  <c r="K18" i="1036" s="1"/>
  <c r="L30" i="1036"/>
  <c r="M30" i="1036" s="1"/>
  <c r="L41" i="1036"/>
  <c r="M41" i="1036" s="1"/>
  <c r="L48" i="1036"/>
  <c r="M48" i="1036" s="1"/>
  <c r="N56" i="1036"/>
  <c r="N53" i="1036" s="1"/>
  <c r="N63" i="1036"/>
  <c r="L81" i="1036"/>
  <c r="M81" i="1036" s="1"/>
  <c r="N92" i="1036"/>
  <c r="L101" i="1036"/>
  <c r="M101" i="1036" s="1"/>
  <c r="L104" i="1036"/>
  <c r="M104" i="1036" s="1"/>
  <c r="I49" i="1036"/>
  <c r="J10" i="1036"/>
  <c r="N18" i="1036"/>
  <c r="N35" i="1036"/>
  <c r="N50" i="1036"/>
  <c r="N49" i="1036" s="1"/>
  <c r="N59" i="1036"/>
  <c r="N89" i="1036"/>
  <c r="I100" i="1036"/>
  <c r="N36" i="1036"/>
  <c r="N65" i="1036"/>
  <c r="N11" i="1036"/>
  <c r="N33" i="1036"/>
  <c r="M59" i="1036"/>
  <c r="N26" i="1036"/>
  <c r="N34" i="1036"/>
  <c r="G27" i="1036"/>
  <c r="L13" i="1036"/>
  <c r="M13" i="1036" s="1"/>
  <c r="L16" i="1036"/>
  <c r="M16" i="1036" s="1"/>
  <c r="H18" i="1036"/>
  <c r="L19" i="1036"/>
  <c r="M19" i="1036" s="1"/>
  <c r="L22" i="1036"/>
  <c r="M22" i="1036" s="1"/>
  <c r="L25" i="1036"/>
  <c r="M25" i="1036" s="1"/>
  <c r="H27" i="1036"/>
  <c r="L28" i="1036"/>
  <c r="M28" i="1036" s="1"/>
  <c r="L31" i="1036"/>
  <c r="M31" i="1036" s="1"/>
  <c r="L34" i="1036"/>
  <c r="M34" i="1036" s="1"/>
  <c r="L37" i="1036"/>
  <c r="M37" i="1036" s="1"/>
  <c r="L40" i="1036"/>
  <c r="M40" i="1036" s="1"/>
  <c r="L43" i="1036"/>
  <c r="M43" i="1036" s="1"/>
  <c r="L46" i="1036"/>
  <c r="M46" i="1036" s="1"/>
  <c r="L49" i="1036"/>
  <c r="M49" i="1036" s="1"/>
  <c r="L52" i="1036"/>
  <c r="M52" i="1036" s="1"/>
  <c r="L55" i="1036"/>
  <c r="M55" i="1036" s="1"/>
  <c r="L58" i="1036"/>
  <c r="M58" i="1036" s="1"/>
  <c r="L61" i="1036"/>
  <c r="M61" i="1036" s="1"/>
  <c r="L64" i="1036"/>
  <c r="M64" i="1036" s="1"/>
  <c r="L67" i="1036"/>
  <c r="M67" i="1036" s="1"/>
  <c r="L70" i="1036"/>
  <c r="M70" i="1036" s="1"/>
  <c r="L73" i="1036"/>
  <c r="M73" i="1036" s="1"/>
  <c r="L76" i="1036"/>
  <c r="M76" i="1036" s="1"/>
  <c r="L79" i="1036"/>
  <c r="M79" i="1036" s="1"/>
  <c r="L82" i="1036"/>
  <c r="M82" i="1036" s="1"/>
  <c r="H84" i="1036"/>
  <c r="L85" i="1036"/>
  <c r="M85" i="1036" s="1"/>
  <c r="L88" i="1036"/>
  <c r="M88" i="1036" s="1"/>
  <c r="L91" i="1036"/>
  <c r="M91" i="1036" s="1"/>
  <c r="L94" i="1036"/>
  <c r="M94" i="1036" s="1"/>
  <c r="L97" i="1036"/>
  <c r="M97" i="1036" s="1"/>
  <c r="L100" i="1036"/>
  <c r="M100" i="1036" s="1"/>
  <c r="L103" i="1036"/>
  <c r="M103" i="1036" s="1"/>
  <c r="I15" i="1036"/>
  <c r="I21" i="1036"/>
  <c r="I24" i="1036"/>
  <c r="I30" i="1036"/>
  <c r="I33" i="1036"/>
  <c r="I36" i="1036"/>
  <c r="I39" i="1036"/>
  <c r="I45" i="1036"/>
  <c r="I48" i="1036"/>
  <c r="I51" i="1036"/>
  <c r="I54" i="1036"/>
  <c r="I57" i="1036"/>
  <c r="I60" i="1036"/>
  <c r="I63" i="1036"/>
  <c r="I66" i="1036"/>
  <c r="I69" i="1036"/>
  <c r="I72" i="1036"/>
  <c r="I75" i="1036"/>
  <c r="I78" i="1036"/>
  <c r="I81" i="1036"/>
  <c r="I87" i="1036"/>
  <c r="I90" i="1036"/>
  <c r="I93" i="1036"/>
  <c r="I96" i="1036"/>
  <c r="I99" i="1036"/>
  <c r="I102" i="1036"/>
  <c r="G11" i="1036"/>
  <c r="K12" i="1036"/>
  <c r="G23" i="1036"/>
  <c r="K23" i="1036" s="1"/>
  <c r="K24" i="1036"/>
  <c r="G32" i="1036"/>
  <c r="G38" i="1036"/>
  <c r="K39" i="1036"/>
  <c r="K42" i="1036"/>
  <c r="G53" i="1036"/>
  <c r="K53" i="1036" s="1"/>
  <c r="G59" i="1036"/>
  <c r="K59" i="1036" s="1"/>
  <c r="G65" i="1036"/>
  <c r="K65" i="1036" s="1"/>
  <c r="K66" i="1036"/>
  <c r="G74" i="1036"/>
  <c r="K74" i="1036" s="1"/>
  <c r="K75" i="1036"/>
  <c r="K78" i="1036"/>
  <c r="K81" i="1036"/>
  <c r="K87" i="1036"/>
  <c r="G89" i="1036"/>
  <c r="K89" i="1036" s="1"/>
  <c r="K90" i="1036"/>
  <c r="K93" i="1036"/>
  <c r="K96" i="1036"/>
  <c r="K99" i="1036"/>
  <c r="K102" i="1036"/>
  <c r="H11" i="1036"/>
  <c r="H23" i="1036"/>
  <c r="H65" i="1036"/>
  <c r="H89" i="1036"/>
  <c r="I20" i="1036"/>
  <c r="I26" i="1036"/>
  <c r="I35" i="1036"/>
  <c r="I41" i="1036"/>
  <c r="I44" i="1036"/>
  <c r="I47" i="1036"/>
  <c r="I50" i="1036"/>
  <c r="I56" i="1036"/>
  <c r="I59" i="1036"/>
  <c r="I62" i="1036"/>
  <c r="I68" i="1036"/>
  <c r="I71" i="1036"/>
  <c r="N51" i="1036"/>
  <c r="N81" i="1036"/>
  <c r="N96" i="1036"/>
  <c r="N102" i="1036"/>
  <c r="U14" i="1035"/>
  <c r="R12" i="1035"/>
  <c r="S12" i="1035" s="1"/>
  <c r="R19" i="1035"/>
  <c r="R14" i="1035"/>
  <c r="S14" i="1035" s="1"/>
  <c r="F9" i="1035"/>
  <c r="E12" i="1035"/>
  <c r="O16" i="1035"/>
  <c r="U16" i="1035" s="1"/>
  <c r="R13" i="1035"/>
  <c r="E14" i="1035"/>
  <c r="R15" i="1035"/>
  <c r="S15" i="1035" s="1"/>
  <c r="S16" i="1035"/>
  <c r="L31" i="1035"/>
  <c r="S19" i="1035"/>
  <c r="N9" i="1035"/>
  <c r="I19" i="1035"/>
  <c r="P13" i="1035"/>
  <c r="W13" i="1035" s="1"/>
  <c r="U13" i="1035"/>
  <c r="S20" i="1035"/>
  <c r="P17" i="1035"/>
  <c r="W17" i="1035" s="1"/>
  <c r="P12" i="1035"/>
  <c r="W12" i="1035" s="1"/>
  <c r="U12" i="1035"/>
  <c r="U15" i="1035"/>
  <c r="P15" i="1035"/>
  <c r="W15" i="1035" s="1"/>
  <c r="Q9" i="1035"/>
  <c r="S13" i="1035"/>
  <c r="I17" i="1035"/>
  <c r="M19" i="1035"/>
  <c r="M20" i="1035"/>
  <c r="R11" i="1035"/>
  <c r="S11" i="1035" s="1"/>
  <c r="Y15" i="1035"/>
  <c r="M18" i="1035"/>
  <c r="O20" i="1035"/>
  <c r="Y14" i="1035"/>
  <c r="I15" i="1035"/>
  <c r="M17" i="1035"/>
  <c r="O19" i="1035"/>
  <c r="U19" i="1035" s="1"/>
  <c r="S10" i="1035"/>
  <c r="E11" i="1035"/>
  <c r="U11" i="1035"/>
  <c r="Y13" i="1035"/>
  <c r="I14" i="1035"/>
  <c r="O18" i="1035"/>
  <c r="U18" i="1035" s="1"/>
  <c r="O10" i="1035"/>
  <c r="I18" i="1035"/>
  <c r="G9" i="1035"/>
  <c r="E10" i="1035"/>
  <c r="U10" i="1035"/>
  <c r="I13" i="1035"/>
  <c r="M15" i="1035"/>
  <c r="R20" i="1035"/>
  <c r="Y18" i="1035"/>
  <c r="Y11" i="1035"/>
  <c r="Y10" i="1035"/>
  <c r="I11" i="1035"/>
  <c r="M13" i="1035"/>
  <c r="P16" i="1035"/>
  <c r="W16" i="1035" s="1"/>
  <c r="R18" i="1035"/>
  <c r="S18" i="1035" s="1"/>
  <c r="E20" i="1035"/>
  <c r="L9" i="1035"/>
  <c r="R17" i="1035"/>
  <c r="S17" i="1035" s="1"/>
  <c r="E19" i="1035"/>
  <c r="P11" i="1035"/>
  <c r="W11" i="1035" s="1"/>
  <c r="E18" i="1035"/>
  <c r="Y20" i="1035"/>
  <c r="Y17" i="1035"/>
  <c r="E17" i="1035"/>
  <c r="I20" i="1035"/>
  <c r="M31" i="1034"/>
  <c r="M34" i="1034"/>
  <c r="P50" i="1034"/>
  <c r="S50" i="1034" s="1"/>
  <c r="P57" i="1034"/>
  <c r="Q57" i="1034" s="1"/>
  <c r="T57" i="1034" s="1"/>
  <c r="P69" i="1034"/>
  <c r="S69" i="1034" s="1"/>
  <c r="M72" i="1034"/>
  <c r="P78" i="1034"/>
  <c r="S78" i="1034" s="1"/>
  <c r="P81" i="1034"/>
  <c r="S81" i="1034" s="1"/>
  <c r="M21" i="1034"/>
  <c r="O50" i="1034"/>
  <c r="P15" i="1034"/>
  <c r="Q15" i="1034" s="1"/>
  <c r="T15" i="1034" s="1"/>
  <c r="P24" i="1034"/>
  <c r="Q24" i="1034" s="1"/>
  <c r="T24" i="1034" s="1"/>
  <c r="P28" i="1034"/>
  <c r="Q28" i="1034" s="1"/>
  <c r="T28" i="1034" s="1"/>
  <c r="M47" i="1034"/>
  <c r="W21" i="1034"/>
  <c r="P41" i="1034"/>
  <c r="Q41" i="1034" s="1"/>
  <c r="T41" i="1034" s="1"/>
  <c r="P47" i="1034"/>
  <c r="M51" i="1034"/>
  <c r="P64" i="1034"/>
  <c r="W81" i="1034"/>
  <c r="M16" i="1034"/>
  <c r="M29" i="1034"/>
  <c r="M38" i="1034"/>
  <c r="O47" i="1034"/>
  <c r="M55" i="1034"/>
  <c r="S62" i="1034"/>
  <c r="P67" i="1034"/>
  <c r="O73" i="1034"/>
  <c r="O76" i="1034"/>
  <c r="P79" i="1034"/>
  <c r="Q79" i="1034" s="1"/>
  <c r="T79" i="1034" s="1"/>
  <c r="M88" i="1034"/>
  <c r="O16" i="1034"/>
  <c r="O29" i="1034"/>
  <c r="M45" i="1034"/>
  <c r="P55" i="1034"/>
  <c r="Q55" i="1034" s="1"/>
  <c r="T55" i="1034" s="1"/>
  <c r="M62" i="1034"/>
  <c r="O67" i="1034"/>
  <c r="M70" i="1034"/>
  <c r="P76" i="1034"/>
  <c r="S76" i="1034" s="1"/>
  <c r="O79" i="1034"/>
  <c r="M82" i="1034"/>
  <c r="O88" i="1034"/>
  <c r="P16" i="1034"/>
  <c r="Q16" i="1034" s="1"/>
  <c r="T16" i="1034" s="1"/>
  <c r="S26" i="1034"/>
  <c r="P29" i="1034"/>
  <c r="Q29" i="1034" s="1"/>
  <c r="T29" i="1034" s="1"/>
  <c r="S33" i="1034"/>
  <c r="O62" i="1034"/>
  <c r="S74" i="1034"/>
  <c r="M77" i="1034"/>
  <c r="P85" i="1034"/>
  <c r="Q85" i="1034" s="1"/>
  <c r="T85" i="1034" s="1"/>
  <c r="P88" i="1034"/>
  <c r="Q88" i="1034" s="1"/>
  <c r="T88" i="1034" s="1"/>
  <c r="O14" i="1034"/>
  <c r="M46" i="1034"/>
  <c r="M53" i="1034"/>
  <c r="M71" i="1034"/>
  <c r="P77" i="1034"/>
  <c r="S77" i="1034" s="1"/>
  <c r="M86" i="1034"/>
  <c r="P23" i="1034"/>
  <c r="S23" i="1034" s="1"/>
  <c r="M27" i="1034"/>
  <c r="P30" i="1034"/>
  <c r="Q30" i="1034" s="1"/>
  <c r="T30" i="1034" s="1"/>
  <c r="W33" i="1034"/>
  <c r="P36" i="1034"/>
  <c r="S36" i="1034" s="1"/>
  <c r="M40" i="1034"/>
  <c r="P43" i="1034"/>
  <c r="S43" i="1034" s="1"/>
  <c r="O53" i="1034"/>
  <c r="M60" i="1034"/>
  <c r="M63" i="1034"/>
  <c r="P71" i="1034"/>
  <c r="M83" i="1034"/>
  <c r="P86" i="1034"/>
  <c r="Q86" i="1034" s="1"/>
  <c r="T86" i="1034" s="1"/>
  <c r="P89" i="1034"/>
  <c r="Q89" i="1034" s="1"/>
  <c r="T89" i="1034" s="1"/>
  <c r="O17" i="1034"/>
  <c r="M25" i="1034"/>
  <c r="Q40" i="1034"/>
  <c r="T40" i="1034" s="1"/>
  <c r="Q45" i="1034"/>
  <c r="T45" i="1034" s="1"/>
  <c r="S55" i="1034"/>
  <c r="Q60" i="1034"/>
  <c r="T60" i="1034" s="1"/>
  <c r="Q67" i="1034"/>
  <c r="T67" i="1034" s="1"/>
  <c r="Q69" i="1034"/>
  <c r="T69" i="1034" s="1"/>
  <c r="W78" i="1034"/>
  <c r="O78" i="1034"/>
  <c r="Q83" i="1034"/>
  <c r="T83" i="1034" s="1"/>
  <c r="N13" i="1034"/>
  <c r="Q14" i="1034"/>
  <c r="T14" i="1034" s="1"/>
  <c r="P17" i="1034"/>
  <c r="P25" i="1034"/>
  <c r="S25" i="1034" s="1"/>
  <c r="Q71" i="1034"/>
  <c r="T71" i="1034" s="1"/>
  <c r="Q52" i="1034"/>
  <c r="T52" i="1034" s="1"/>
  <c r="S14" i="1034"/>
  <c r="M15" i="1034"/>
  <c r="W18" i="1034"/>
  <c r="S18" i="1034"/>
  <c r="Q33" i="1034"/>
  <c r="T33" i="1034" s="1"/>
  <c r="M61" i="1034"/>
  <c r="P63" i="1034"/>
  <c r="S63" i="1034" s="1"/>
  <c r="O63" i="1034"/>
  <c r="Q65" i="1034"/>
  <c r="T65" i="1034" s="1"/>
  <c r="S67" i="1034"/>
  <c r="Q78" i="1034"/>
  <c r="T78" i="1034" s="1"/>
  <c r="Q23" i="1034"/>
  <c r="T23" i="1034" s="1"/>
  <c r="Q38" i="1034"/>
  <c r="T38" i="1034" s="1"/>
  <c r="P61" i="1034"/>
  <c r="O15" i="1034"/>
  <c r="Q18" i="1034"/>
  <c r="T18" i="1034" s="1"/>
  <c r="Q31" i="1034"/>
  <c r="T31" i="1034" s="1"/>
  <c r="Q53" i="1034"/>
  <c r="T53" i="1034" s="1"/>
  <c r="W66" i="1034"/>
  <c r="O66" i="1034"/>
  <c r="Q74" i="1034"/>
  <c r="T74" i="1034" s="1"/>
  <c r="S84" i="1034"/>
  <c r="Q26" i="1034"/>
  <c r="T26" i="1034" s="1"/>
  <c r="S31" i="1034"/>
  <c r="Q48" i="1034"/>
  <c r="T48" i="1034" s="1"/>
  <c r="W54" i="1034"/>
  <c r="S54" i="1034"/>
  <c r="S72" i="1034"/>
  <c r="Q84" i="1034"/>
  <c r="T84" i="1034" s="1"/>
  <c r="Q21" i="1034"/>
  <c r="T21" i="1034" s="1"/>
  <c r="Q36" i="1034"/>
  <c r="T36" i="1034" s="1"/>
  <c r="Q72" i="1034"/>
  <c r="T72" i="1034" s="1"/>
  <c r="S15" i="1034"/>
  <c r="W42" i="1034"/>
  <c r="S42" i="1034"/>
  <c r="P51" i="1034"/>
  <c r="O51" i="1034"/>
  <c r="Q54" i="1034"/>
  <c r="T54" i="1034" s="1"/>
  <c r="Q59" i="1034"/>
  <c r="T59" i="1034" s="1"/>
  <c r="Q35" i="1034"/>
  <c r="T35" i="1034" s="1"/>
  <c r="Q19" i="1034"/>
  <c r="T19" i="1034" s="1"/>
  <c r="P39" i="1034"/>
  <c r="O39" i="1034"/>
  <c r="M49" i="1034"/>
  <c r="W15" i="1034"/>
  <c r="W17" i="1034"/>
  <c r="S17" i="1034"/>
  <c r="S19" i="1034"/>
  <c r="W30" i="1034"/>
  <c r="M37" i="1034"/>
  <c r="O42" i="1034"/>
  <c r="S45" i="1034"/>
  <c r="P49" i="1034"/>
  <c r="P73" i="1034"/>
  <c r="S73" i="1034" s="1"/>
  <c r="M73" i="1034"/>
  <c r="P75" i="1034"/>
  <c r="S75" i="1034" s="1"/>
  <c r="O75" i="1034"/>
  <c r="H13" i="1034"/>
  <c r="M13" i="1034" s="1"/>
  <c r="M17" i="1034"/>
  <c r="P27" i="1034"/>
  <c r="S27" i="1034" s="1"/>
  <c r="O27" i="1034"/>
  <c r="S37" i="1034"/>
  <c r="Q37" i="1034"/>
  <c r="T37" i="1034" s="1"/>
  <c r="Q47" i="1034"/>
  <c r="T47" i="1034" s="1"/>
  <c r="Q77" i="1034"/>
  <c r="T77" i="1034" s="1"/>
  <c r="S79" i="1034"/>
  <c r="M85" i="1034"/>
  <c r="P87" i="1034"/>
  <c r="S87" i="1034" s="1"/>
  <c r="O87" i="1034"/>
  <c r="P22" i="1034"/>
  <c r="S24" i="1034"/>
  <c r="W26" i="1034"/>
  <c r="P34" i="1034"/>
  <c r="S34" i="1034" s="1"/>
  <c r="W38" i="1034"/>
  <c r="P46" i="1034"/>
  <c r="S48" i="1034"/>
  <c r="W50" i="1034"/>
  <c r="P58" i="1034"/>
  <c r="S60" i="1034"/>
  <c r="W62" i="1034"/>
  <c r="P70" i="1034"/>
  <c r="M18" i="1034"/>
  <c r="W19" i="1034"/>
  <c r="O20" i="1034"/>
  <c r="M30" i="1034"/>
  <c r="W31" i="1034"/>
  <c r="O32" i="1034"/>
  <c r="M42" i="1034"/>
  <c r="W43" i="1034"/>
  <c r="O44" i="1034"/>
  <c r="S53" i="1034"/>
  <c r="M54" i="1034"/>
  <c r="W55" i="1034"/>
  <c r="O56" i="1034"/>
  <c r="S65" i="1034"/>
  <c r="M66" i="1034"/>
  <c r="W67" i="1034"/>
  <c r="O68" i="1034"/>
  <c r="M78" i="1034"/>
  <c r="W79" i="1034"/>
  <c r="O80" i="1034"/>
  <c r="Q82" i="1034"/>
  <c r="T82" i="1034" s="1"/>
  <c r="S89" i="1034"/>
  <c r="P20" i="1034"/>
  <c r="S20" i="1034" s="1"/>
  <c r="S22" i="1034"/>
  <c r="W24" i="1034"/>
  <c r="O25" i="1034"/>
  <c r="P32" i="1034"/>
  <c r="M35" i="1034"/>
  <c r="W36" i="1034"/>
  <c r="O37" i="1034"/>
  <c r="P44" i="1034"/>
  <c r="S46" i="1034"/>
  <c r="W48" i="1034"/>
  <c r="O49" i="1034"/>
  <c r="P56" i="1034"/>
  <c r="W60" i="1034"/>
  <c r="O61" i="1034"/>
  <c r="P68" i="1034"/>
  <c r="P80" i="1034"/>
  <c r="S82" i="1034"/>
  <c r="O85" i="1034"/>
  <c r="O18" i="1034"/>
  <c r="S39" i="1034"/>
  <c r="S51" i="1034"/>
  <c r="W53" i="1034"/>
  <c r="O54" i="1034"/>
  <c r="W65" i="1034"/>
  <c r="W77" i="1034"/>
  <c r="W89" i="1034"/>
  <c r="W22" i="1034"/>
  <c r="W58" i="1034"/>
  <c r="O59" i="1034"/>
  <c r="P66" i="1034"/>
  <c r="M69" i="1034"/>
  <c r="W70" i="1034"/>
  <c r="O71" i="1034"/>
  <c r="M81" i="1034"/>
  <c r="W82" i="1034"/>
  <c r="O83" i="1034"/>
  <c r="W27" i="1034"/>
  <c r="O28" i="1034"/>
  <c r="W39" i="1034"/>
  <c r="O40" i="1034"/>
  <c r="S49" i="1034"/>
  <c r="M50" i="1034"/>
  <c r="W51" i="1034"/>
  <c r="O52" i="1034"/>
  <c r="W63" i="1034"/>
  <c r="W75" i="1034"/>
  <c r="W20" i="1034"/>
  <c r="O21" i="1034"/>
  <c r="W32" i="1034"/>
  <c r="O33" i="1034"/>
  <c r="W44" i="1034"/>
  <c r="O45" i="1034"/>
  <c r="W56" i="1034"/>
  <c r="O57" i="1034"/>
  <c r="W25" i="1034"/>
  <c r="O26" i="1034"/>
  <c r="S35" i="1034"/>
  <c r="O38" i="1034"/>
  <c r="S47" i="1034"/>
  <c r="W49" i="1034"/>
  <c r="S59" i="1034"/>
  <c r="S71" i="1034"/>
  <c r="O74" i="1034"/>
  <c r="Q76" i="1034"/>
  <c r="T76" i="1034" s="1"/>
  <c r="S83" i="1034"/>
  <c r="O86" i="1034"/>
  <c r="O19" i="1034"/>
  <c r="O31" i="1034"/>
  <c r="S40" i="1034"/>
  <c r="O43" i="1034"/>
  <c r="S52" i="1034"/>
  <c r="W23" i="1034"/>
  <c r="O24" i="1034"/>
  <c r="W35" i="1034"/>
  <c r="O36" i="1034"/>
  <c r="W47" i="1034"/>
  <c r="O48" i="1034"/>
  <c r="W59" i="1034"/>
  <c r="O60" i="1034"/>
  <c r="W71" i="1034"/>
  <c r="O72" i="1034"/>
  <c r="W83" i="1034"/>
  <c r="O84" i="1034"/>
  <c r="F9" i="1033"/>
  <c r="M12" i="1033"/>
  <c r="AC13" i="1033"/>
  <c r="K17" i="1033"/>
  <c r="U21" i="1033"/>
  <c r="W11" i="1033"/>
  <c r="K19" i="1033"/>
  <c r="Q17" i="1033"/>
  <c r="V17" i="1033"/>
  <c r="AC19" i="1033"/>
  <c r="K13" i="1033"/>
  <c r="V15" i="1033"/>
  <c r="U16" i="1033"/>
  <c r="AC17" i="1033"/>
  <c r="N10" i="1033"/>
  <c r="AE10" i="1033" s="1"/>
  <c r="N11" i="1033"/>
  <c r="AE11" i="1033" s="1"/>
  <c r="W14" i="1033"/>
  <c r="AA14" i="1033" s="1"/>
  <c r="O12" i="1033"/>
  <c r="AF12" i="1033" s="1"/>
  <c r="AE12" i="1033"/>
  <c r="K20" i="1033"/>
  <c r="G9" i="1033"/>
  <c r="R10" i="1033"/>
  <c r="AI10" i="1033" s="1"/>
  <c r="R11" i="1033"/>
  <c r="AI11" i="1033" s="1"/>
  <c r="AH11" i="1033"/>
  <c r="N13" i="1033"/>
  <c r="AE13" i="1033" s="1"/>
  <c r="M14" i="1033"/>
  <c r="AC15" i="1033"/>
  <c r="N17" i="1033"/>
  <c r="M18" i="1033"/>
  <c r="M19" i="1033"/>
  <c r="W21" i="1033"/>
  <c r="AK22" i="1033"/>
  <c r="AK23" i="1033"/>
  <c r="AH23" i="1033"/>
  <c r="M17" i="1033"/>
  <c r="R23" i="1033"/>
  <c r="AI23" i="1033" s="1"/>
  <c r="J9" i="1033"/>
  <c r="AK10" i="1033"/>
  <c r="N14" i="1033"/>
  <c r="AC14" i="1033"/>
  <c r="M15" i="1033"/>
  <c r="AE15" i="1033"/>
  <c r="M16" i="1033"/>
  <c r="N18" i="1033"/>
  <c r="N19" i="1033"/>
  <c r="AE19" i="1033"/>
  <c r="M20" i="1033"/>
  <c r="K21" i="1033"/>
  <c r="M13" i="1033"/>
  <c r="Q13" i="1033"/>
  <c r="R13" i="1033" s="1"/>
  <c r="AI13" i="1033" s="1"/>
  <c r="AE14" i="1033"/>
  <c r="N15" i="1033"/>
  <c r="N16" i="1033"/>
  <c r="N20" i="1033"/>
  <c r="AC20" i="1033"/>
  <c r="K22" i="1033"/>
  <c r="U23" i="1033"/>
  <c r="AH10" i="1033"/>
  <c r="L9" i="1033"/>
  <c r="U10" i="1033"/>
  <c r="U11" i="1033"/>
  <c r="Q14" i="1033"/>
  <c r="R14" i="1033" s="1"/>
  <c r="AI14" i="1033" s="1"/>
  <c r="R17" i="1033"/>
  <c r="AI17" i="1033" s="1"/>
  <c r="Q18" i="1033"/>
  <c r="Q19" i="1033"/>
  <c r="AE20" i="1033"/>
  <c r="M21" i="1033"/>
  <c r="AC21" i="1033"/>
  <c r="V11" i="1033"/>
  <c r="AK12" i="1033"/>
  <c r="Q15" i="1033"/>
  <c r="R15" i="1033" s="1"/>
  <c r="AI15" i="1033" s="1"/>
  <c r="Q16" i="1033"/>
  <c r="AK16" i="1033"/>
  <c r="R18" i="1033"/>
  <c r="AI18" i="1033" s="1"/>
  <c r="N21" i="1033"/>
  <c r="AE21" i="1033"/>
  <c r="M22" i="1033"/>
  <c r="K15" i="1033"/>
  <c r="D13" i="1033"/>
  <c r="AK13" i="1033"/>
  <c r="R16" i="1033"/>
  <c r="AI16" i="1033" s="1"/>
  <c r="AK18" i="1033"/>
  <c r="Q20" i="1033"/>
  <c r="N22" i="1033"/>
  <c r="AE22" i="1033" s="1"/>
  <c r="K23" i="1033"/>
  <c r="U13" i="1033"/>
  <c r="D14" i="1033"/>
  <c r="AK15" i="1033"/>
  <c r="D18" i="1033"/>
  <c r="D19" i="1033"/>
  <c r="AK19" i="1033"/>
  <c r="R20" i="1033"/>
  <c r="AI20" i="1033" s="1"/>
  <c r="Q21" i="1033"/>
  <c r="R21" i="1033" s="1"/>
  <c r="AI21" i="1033" s="1"/>
  <c r="AC23" i="1033"/>
  <c r="U14" i="1033"/>
  <c r="AK14" i="1033"/>
  <c r="U18" i="1033"/>
  <c r="U19" i="1033"/>
  <c r="D20" i="1033"/>
  <c r="M23" i="1033"/>
  <c r="V18" i="1033"/>
  <c r="AK20" i="1033"/>
  <c r="N23" i="1033"/>
  <c r="AE23" i="1033" s="1"/>
  <c r="U20" i="1033"/>
  <c r="D21" i="1033"/>
  <c r="N12" i="1032"/>
  <c r="O12" i="1032" s="1"/>
  <c r="K12" i="1032"/>
  <c r="P12" i="1032"/>
  <c r="P30" i="1032"/>
  <c r="E14" i="1032"/>
  <c r="I14" i="1032" s="1"/>
  <c r="G30" i="1032"/>
  <c r="C7" i="1032"/>
  <c r="P47" i="1032"/>
  <c r="F21" i="1032"/>
  <c r="G21" i="1032" s="1"/>
  <c r="I30" i="1032"/>
  <c r="K30" i="1032"/>
  <c r="P42" i="1032"/>
  <c r="G50" i="1032"/>
  <c r="F49" i="1032"/>
  <c r="G49" i="1032" s="1"/>
  <c r="G16" i="1032"/>
  <c r="F15" i="1032"/>
  <c r="J16" i="1032"/>
  <c r="P18" i="1032"/>
  <c r="N18" i="1032"/>
  <c r="O18" i="1032" s="1"/>
  <c r="K18" i="1032"/>
  <c r="H15" i="1032"/>
  <c r="I15" i="1032" s="1"/>
  <c r="I16" i="1032"/>
  <c r="N24" i="1032"/>
  <c r="P24" i="1032" s="1"/>
  <c r="N28" i="1032"/>
  <c r="K28" i="1032"/>
  <c r="P28" i="1032"/>
  <c r="J13" i="1032"/>
  <c r="I13" i="1032"/>
  <c r="H11" i="1032"/>
  <c r="K27" i="1032"/>
  <c r="N27" i="1032"/>
  <c r="O27" i="1032" s="1"/>
  <c r="J26" i="1032"/>
  <c r="N40" i="1032"/>
  <c r="O40" i="1032" s="1"/>
  <c r="K40" i="1032"/>
  <c r="J39" i="1032"/>
  <c r="P40" i="1032"/>
  <c r="I29" i="1032"/>
  <c r="P29" i="1032"/>
  <c r="G29" i="1032"/>
  <c r="J31" i="1032"/>
  <c r="P48" i="1032"/>
  <c r="O48" i="1032"/>
  <c r="P17" i="1032"/>
  <c r="B8" i="1032"/>
  <c r="B7" i="1032" s="1"/>
  <c r="N17" i="1032"/>
  <c r="O17" i="1032" s="1"/>
  <c r="J9" i="1032"/>
  <c r="K17" i="1032"/>
  <c r="D8" i="1032"/>
  <c r="D7" i="1032" s="1"/>
  <c r="F11" i="1032"/>
  <c r="N23" i="1032"/>
  <c r="O23" i="1032" s="1"/>
  <c r="K23" i="1032"/>
  <c r="J22" i="1032"/>
  <c r="P22" i="1032" s="1"/>
  <c r="P23" i="1032"/>
  <c r="P37" i="1032"/>
  <c r="P41" i="1032"/>
  <c r="H8" i="1032"/>
  <c r="I9" i="1032"/>
  <c r="N29" i="1032"/>
  <c r="K29" i="1032"/>
  <c r="I35" i="1032"/>
  <c r="P35" i="1032"/>
  <c r="P39" i="1032"/>
  <c r="J20" i="1032"/>
  <c r="G9" i="1032"/>
  <c r="F10" i="1032"/>
  <c r="I17" i="1032"/>
  <c r="G22" i="1032"/>
  <c r="N32" i="1032"/>
  <c r="O32" i="1032" s="1"/>
  <c r="K33" i="1032"/>
  <c r="N45" i="1032"/>
  <c r="O45" i="1032" s="1"/>
  <c r="I51" i="1032"/>
  <c r="J52" i="1032"/>
  <c r="I18" i="1032"/>
  <c r="J51" i="1032"/>
  <c r="E13" i="1032"/>
  <c r="I22" i="1032"/>
  <c r="H26" i="1032"/>
  <c r="I26" i="1032" s="1"/>
  <c r="E27" i="1032"/>
  <c r="I37" i="1032"/>
  <c r="P45" i="1032"/>
  <c r="K32" i="1032"/>
  <c r="G12" i="1032"/>
  <c r="F31" i="1032"/>
  <c r="G31" i="1032" s="1"/>
  <c r="H39" i="1032"/>
  <c r="G18" i="1032"/>
  <c r="L22" i="1032"/>
  <c r="I23" i="1032"/>
  <c r="H31" i="1032"/>
  <c r="I31" i="1032" s="1"/>
  <c r="I40" i="1032"/>
  <c r="J44" i="1032"/>
  <c r="I50" i="1032"/>
  <c r="L10" i="1032"/>
  <c r="J35" i="1032"/>
  <c r="L44" i="1032"/>
  <c r="N79" i="1036" l="1"/>
  <c r="M38" i="1036"/>
  <c r="N25" i="1036"/>
  <c r="N23" i="1036" s="1"/>
  <c r="N98" i="1036"/>
  <c r="K79" i="1036"/>
  <c r="N28" i="1036"/>
  <c r="N85" i="1036"/>
  <c r="N84" i="1036" s="1"/>
  <c r="I79" i="1036"/>
  <c r="L45" i="1036"/>
  <c r="M45" i="1036" s="1"/>
  <c r="N29" i="1036"/>
  <c r="I53" i="1036"/>
  <c r="N83" i="1036"/>
  <c r="N48" i="1036"/>
  <c r="N45" i="1036" s="1"/>
  <c r="N80" i="1036"/>
  <c r="I38" i="1036"/>
  <c r="L27" i="1036"/>
  <c r="M27" i="1036" s="1"/>
  <c r="I27" i="1036"/>
  <c r="N37" i="1036"/>
  <c r="K32" i="1036"/>
  <c r="I32" i="1036"/>
  <c r="N32" i="1036"/>
  <c r="M74" i="1036"/>
  <c r="G10" i="1036"/>
  <c r="I74" i="1036"/>
  <c r="N97" i="1036"/>
  <c r="N94" i="1036" s="1"/>
  <c r="L89" i="1036"/>
  <c r="M89" i="1036" s="1"/>
  <c r="I89" i="1036"/>
  <c r="L84" i="1036"/>
  <c r="M84" i="1036" s="1"/>
  <c r="I84" i="1036"/>
  <c r="L18" i="1036"/>
  <c r="M18" i="1036" s="1"/>
  <c r="I18" i="1036"/>
  <c r="M53" i="1036"/>
  <c r="L65" i="1036"/>
  <c r="M65" i="1036" s="1"/>
  <c r="I65" i="1036"/>
  <c r="M32" i="1036"/>
  <c r="K38" i="1036"/>
  <c r="N103" i="1036"/>
  <c r="N100" i="1036" s="1"/>
  <c r="L23" i="1036"/>
  <c r="M23" i="1036" s="1"/>
  <c r="I23" i="1036"/>
  <c r="L11" i="1036"/>
  <c r="M11" i="1036" s="1"/>
  <c r="H10" i="1036"/>
  <c r="I11" i="1036"/>
  <c r="K11" i="1036"/>
  <c r="R9" i="1035"/>
  <c r="O9" i="1035"/>
  <c r="M9" i="1035"/>
  <c r="S9" i="1035"/>
  <c r="P20" i="1035"/>
  <c r="W20" i="1035" s="1"/>
  <c r="U20" i="1035"/>
  <c r="E9" i="1035"/>
  <c r="P19" i="1035"/>
  <c r="W19" i="1035" s="1"/>
  <c r="P18" i="1035"/>
  <c r="W18" i="1035" s="1"/>
  <c r="X31" i="1035"/>
  <c r="U9" i="1035"/>
  <c r="I9" i="1035"/>
  <c r="Y9" i="1035"/>
  <c r="P10" i="1035"/>
  <c r="W10" i="1035" s="1"/>
  <c r="S88" i="1034"/>
  <c r="S85" i="1034"/>
  <c r="Q50" i="1034"/>
  <c r="T50" i="1034" s="1"/>
  <c r="Q81" i="1034"/>
  <c r="T81" i="1034" s="1"/>
  <c r="S57" i="1034"/>
  <c r="S41" i="1034"/>
  <c r="Q43" i="1034"/>
  <c r="T43" i="1034" s="1"/>
  <c r="S28" i="1034"/>
  <c r="S86" i="1034"/>
  <c r="Q64" i="1034"/>
  <c r="T64" i="1034" s="1"/>
  <c r="S64" i="1034"/>
  <c r="W13" i="1034"/>
  <c r="S16" i="1034"/>
  <c r="S29" i="1034"/>
  <c r="S30" i="1034"/>
  <c r="Q39" i="1034"/>
  <c r="T39" i="1034" s="1"/>
  <c r="Q51" i="1034"/>
  <c r="T51" i="1034" s="1"/>
  <c r="Q80" i="1034"/>
  <c r="T80" i="1034" s="1"/>
  <c r="Q49" i="1034"/>
  <c r="T49" i="1034" s="1"/>
  <c r="S32" i="1034"/>
  <c r="Q32" i="1034"/>
  <c r="T32" i="1034" s="1"/>
  <c r="Q70" i="1034"/>
  <c r="T70" i="1034" s="1"/>
  <c r="Q58" i="1034"/>
  <c r="T58" i="1034" s="1"/>
  <c r="Q34" i="1034"/>
  <c r="T34" i="1034" s="1"/>
  <c r="Q87" i="1034"/>
  <c r="T87" i="1034" s="1"/>
  <c r="S80" i="1034"/>
  <c r="Q66" i="1034"/>
  <c r="T66" i="1034" s="1"/>
  <c r="S70" i="1034"/>
  <c r="Q68" i="1034"/>
  <c r="T68" i="1034" s="1"/>
  <c r="Q75" i="1034"/>
  <c r="T75" i="1034" s="1"/>
  <c r="S44" i="1034"/>
  <c r="Q44" i="1034"/>
  <c r="T44" i="1034" s="1"/>
  <c r="Q25" i="1034"/>
  <c r="T25" i="1034" s="1"/>
  <c r="Q27" i="1034"/>
  <c r="T27" i="1034" s="1"/>
  <c r="S66" i="1034"/>
  <c r="S68" i="1034"/>
  <c r="Q17" i="1034"/>
  <c r="T17" i="1034" s="1"/>
  <c r="Q56" i="1034"/>
  <c r="T56" i="1034" s="1"/>
  <c r="Q73" i="1034"/>
  <c r="T73" i="1034" s="1"/>
  <c r="S61" i="1034"/>
  <c r="Q61" i="1034"/>
  <c r="T61" i="1034" s="1"/>
  <c r="Q20" i="1034"/>
  <c r="T20" i="1034" s="1"/>
  <c r="Q46" i="1034"/>
  <c r="T46" i="1034" s="1"/>
  <c r="Q22" i="1034"/>
  <c r="T22" i="1034" s="1"/>
  <c r="S56" i="1034"/>
  <c r="S58" i="1034"/>
  <c r="Q63" i="1034"/>
  <c r="T63" i="1034" s="1"/>
  <c r="O13" i="1034"/>
  <c r="P13" i="1034"/>
  <c r="O10" i="1033"/>
  <c r="AF10" i="1033" s="1"/>
  <c r="O11" i="1033"/>
  <c r="AF11" i="1033" s="1"/>
  <c r="AH17" i="1033"/>
  <c r="X17" i="1033"/>
  <c r="X16" i="1033"/>
  <c r="AH16" i="1033"/>
  <c r="X18" i="1033"/>
  <c r="AH18" i="1033"/>
  <c r="AH15" i="1033"/>
  <c r="X15" i="1033"/>
  <c r="O14" i="1033"/>
  <c r="AF14" i="1033" s="1"/>
  <c r="AH19" i="1033"/>
  <c r="X19" i="1033"/>
  <c r="O17" i="1033"/>
  <c r="AF17" i="1033" s="1"/>
  <c r="AE17" i="1033"/>
  <c r="X23" i="1033"/>
  <c r="AH14" i="1033"/>
  <c r="X14" i="1033"/>
  <c r="AK9" i="1033"/>
  <c r="O19" i="1033"/>
  <c r="AF19" i="1033" s="1"/>
  <c r="AG19" i="1033" s="1"/>
  <c r="N9" i="1033"/>
  <c r="K9" i="1033"/>
  <c r="M9" i="1033"/>
  <c r="O23" i="1033"/>
  <c r="AF23" i="1033" s="1"/>
  <c r="AH21" i="1033"/>
  <c r="X21" i="1033"/>
  <c r="O22" i="1033"/>
  <c r="AF22" i="1033" s="1"/>
  <c r="O21" i="1033"/>
  <c r="AF21" i="1033" s="1"/>
  <c r="O16" i="1033"/>
  <c r="AF16" i="1033" s="1"/>
  <c r="AE16" i="1033"/>
  <c r="X13" i="1033"/>
  <c r="AH13" i="1033"/>
  <c r="O18" i="1033"/>
  <c r="AF18" i="1033" s="1"/>
  <c r="AE18" i="1033"/>
  <c r="O13" i="1033"/>
  <c r="AF13" i="1033" s="1"/>
  <c r="O20" i="1033"/>
  <c r="AF20" i="1033" s="1"/>
  <c r="AH20" i="1033"/>
  <c r="X20" i="1033"/>
  <c r="R19" i="1033"/>
  <c r="O15" i="1033"/>
  <c r="AF15" i="1033" s="1"/>
  <c r="N16" i="1032"/>
  <c r="O16" i="1032" s="1"/>
  <c r="K16" i="1032"/>
  <c r="G15" i="1032"/>
  <c r="J15" i="1032"/>
  <c r="E11" i="1032"/>
  <c r="M13" i="1032"/>
  <c r="P13" i="1032"/>
  <c r="J14" i="1032"/>
  <c r="N20" i="1032"/>
  <c r="N9" i="1032"/>
  <c r="O9" i="1032" s="1"/>
  <c r="K9" i="1032"/>
  <c r="N22" i="1032"/>
  <c r="O22" i="1032" s="1"/>
  <c r="M22" i="1032"/>
  <c r="L21" i="1032"/>
  <c r="L8" i="1032"/>
  <c r="K13" i="1032"/>
  <c r="N13" i="1032"/>
  <c r="P51" i="1032"/>
  <c r="N51" i="1032"/>
  <c r="O51" i="1032" s="1"/>
  <c r="K51" i="1032"/>
  <c r="J50" i="1032"/>
  <c r="J10" i="1032"/>
  <c r="K10" i="1032" s="1"/>
  <c r="F8" i="1032"/>
  <c r="I39" i="1032"/>
  <c r="H38" i="1032"/>
  <c r="N39" i="1032"/>
  <c r="O39" i="1032" s="1"/>
  <c r="K39" i="1032"/>
  <c r="M14" i="1032"/>
  <c r="N35" i="1032"/>
  <c r="K35" i="1032"/>
  <c r="P9" i="1032"/>
  <c r="N44" i="1032"/>
  <c r="O44" i="1032" s="1"/>
  <c r="M44" i="1032"/>
  <c r="L43" i="1032"/>
  <c r="J21" i="1032"/>
  <c r="K22" i="1032"/>
  <c r="N26" i="1032"/>
  <c r="O26" i="1032" s="1"/>
  <c r="P26" i="1032"/>
  <c r="K26" i="1032"/>
  <c r="H21" i="1032"/>
  <c r="I21" i="1032" s="1"/>
  <c r="J11" i="1032"/>
  <c r="G11" i="1032"/>
  <c r="P16" i="1032"/>
  <c r="G13" i="1032"/>
  <c r="N31" i="1032"/>
  <c r="O31" i="1032" s="1"/>
  <c r="K31" i="1032"/>
  <c r="P31" i="1032"/>
  <c r="K44" i="1032"/>
  <c r="P44" i="1032"/>
  <c r="J43" i="1032"/>
  <c r="M27" i="1032"/>
  <c r="I27" i="1032"/>
  <c r="G27" i="1032"/>
  <c r="P27" i="1032"/>
  <c r="E10" i="1032"/>
  <c r="H7" i="1032"/>
  <c r="G14" i="1032"/>
  <c r="N27" i="1036" l="1"/>
  <c r="I10" i="1036"/>
  <c r="L10" i="1036"/>
  <c r="M10" i="1036" s="1"/>
  <c r="K10" i="1036"/>
  <c r="P9" i="1035"/>
  <c r="W9" i="1035" s="1"/>
  <c r="Q13" i="1034"/>
  <c r="S13" i="1034"/>
  <c r="AI19" i="1033"/>
  <c r="AE9" i="1033"/>
  <c r="O9" i="1033"/>
  <c r="AF9" i="1033" s="1"/>
  <c r="AG9" i="1033" s="1"/>
  <c r="AH9" i="1033" s="1"/>
  <c r="AI9" i="1033" s="1"/>
  <c r="N11" i="1032"/>
  <c r="O11" i="1032" s="1"/>
  <c r="K11" i="1032"/>
  <c r="O20" i="1032"/>
  <c r="P20" i="1032"/>
  <c r="K14" i="1032"/>
  <c r="N14" i="1032"/>
  <c r="P10" i="1032"/>
  <c r="E8" i="1032"/>
  <c r="I10" i="1032"/>
  <c r="K43" i="1032"/>
  <c r="P43" i="1032"/>
  <c r="M8" i="1032"/>
  <c r="L7" i="1032"/>
  <c r="P14" i="1032"/>
  <c r="M10" i="1032"/>
  <c r="P11" i="1032"/>
  <c r="N15" i="1032"/>
  <c r="O15" i="1032" s="1"/>
  <c r="K15" i="1032"/>
  <c r="P15" i="1032"/>
  <c r="I11" i="1032"/>
  <c r="K21" i="1032"/>
  <c r="P21" i="1032"/>
  <c r="N21" i="1032"/>
  <c r="O21" i="1032" s="1"/>
  <c r="M21" i="1032"/>
  <c r="J38" i="1032"/>
  <c r="I38" i="1032"/>
  <c r="S31" i="1032"/>
  <c r="N10" i="1032"/>
  <c r="O10" i="1032" s="1"/>
  <c r="N43" i="1032"/>
  <c r="O43" i="1032" s="1"/>
  <c r="M43" i="1032"/>
  <c r="G8" i="1032"/>
  <c r="F7" i="1032"/>
  <c r="J49" i="1032"/>
  <c r="N50" i="1032"/>
  <c r="O50" i="1032" s="1"/>
  <c r="K50" i="1032"/>
  <c r="P50" i="1032"/>
  <c r="J8" i="1032"/>
  <c r="N8" i="1032" s="1"/>
  <c r="O8" i="1032" s="1"/>
  <c r="G10" i="1032"/>
  <c r="N10" i="1036" l="1"/>
  <c r="N38" i="1032"/>
  <c r="O38" i="1032" s="1"/>
  <c r="K38" i="1032"/>
  <c r="P38" i="1032"/>
  <c r="K49" i="1032"/>
  <c r="N49" i="1032"/>
  <c r="O49" i="1032" s="1"/>
  <c r="P49" i="1032"/>
  <c r="J7" i="1032"/>
  <c r="N7" i="1032" s="1"/>
  <c r="O7" i="1032" s="1"/>
  <c r="K8" i="1032"/>
  <c r="P8" i="1032"/>
  <c r="E7" i="1032"/>
  <c r="M7" i="1032" s="1"/>
  <c r="I8" i="1032"/>
  <c r="P7" i="1032" l="1"/>
  <c r="I7" i="1032"/>
  <c r="K7" i="1032"/>
  <c r="G7" i="1032"/>
  <c r="E9" i="46" l="1"/>
  <c r="F9" i="46" s="1"/>
  <c r="D9" i="46"/>
  <c r="E8" i="46"/>
  <c r="F8" i="46" s="1"/>
  <c r="B8" i="46"/>
  <c r="D8" i="46" s="1"/>
  <c r="F7" i="46"/>
  <c r="I7" i="46" s="1"/>
  <c r="E7" i="46"/>
  <c r="D7" i="46"/>
  <c r="H33" i="60"/>
  <c r="F33" i="60"/>
  <c r="G33" i="60" s="1"/>
  <c r="E33" i="60"/>
  <c r="D33" i="60"/>
  <c r="D29" i="60"/>
  <c r="J28" i="60"/>
  <c r="I5" i="60"/>
  <c r="K2" i="60" s="1"/>
  <c r="H5" i="60"/>
  <c r="F4" i="60"/>
  <c r="E4" i="60"/>
  <c r="D4" i="60"/>
  <c r="C4" i="60"/>
  <c r="F1" i="60"/>
  <c r="M24" i="56"/>
  <c r="H16" i="56"/>
  <c r="G15" i="56"/>
  <c r="G12" i="56"/>
  <c r="D12" i="56"/>
  <c r="K11" i="56"/>
  <c r="G11" i="56"/>
  <c r="D11" i="56"/>
  <c r="K9" i="56"/>
  <c r="D9" i="56"/>
  <c r="C73" i="54"/>
  <c r="I63" i="54"/>
  <c r="H63" i="54"/>
  <c r="E63" i="54" s="1"/>
  <c r="I46" i="54"/>
  <c r="H46" i="54"/>
  <c r="F46" i="54"/>
  <c r="H45" i="54"/>
  <c r="F45" i="54"/>
  <c r="I45" i="54" s="1"/>
  <c r="H44" i="54"/>
  <c r="F44" i="54"/>
  <c r="I44" i="54" s="1"/>
  <c r="I43" i="54"/>
  <c r="H43" i="54"/>
  <c r="F43" i="54"/>
  <c r="I42" i="54"/>
  <c r="G41" i="54"/>
  <c r="H41" i="54" s="1"/>
  <c r="E41" i="54"/>
  <c r="F41" i="54" s="1"/>
  <c r="I41" i="54" s="1"/>
  <c r="D41" i="54"/>
  <c r="C41" i="54"/>
  <c r="I39" i="54"/>
  <c r="I38" i="54"/>
  <c r="H38" i="54"/>
  <c r="I37" i="54"/>
  <c r="H37" i="54"/>
  <c r="I36" i="54"/>
  <c r="K36" i="54" s="1"/>
  <c r="K37" i="54" s="1"/>
  <c r="H36" i="54"/>
  <c r="I35" i="54"/>
  <c r="H35" i="54"/>
  <c r="H33" i="54"/>
  <c r="G33" i="54"/>
  <c r="E33" i="54"/>
  <c r="D33" i="54"/>
  <c r="I40" i="48" s="1"/>
  <c r="C33" i="54"/>
  <c r="I31" i="54"/>
  <c r="H31" i="54"/>
  <c r="F31" i="54"/>
  <c r="I30" i="54"/>
  <c r="H30" i="54"/>
  <c r="F30" i="54"/>
  <c r="I29" i="54"/>
  <c r="H29" i="54"/>
  <c r="F29" i="54"/>
  <c r="I28" i="54"/>
  <c r="H28" i="54"/>
  <c r="F28" i="54"/>
  <c r="G26" i="54"/>
  <c r="E26" i="54"/>
  <c r="I26" i="54" s="1"/>
  <c r="D26" i="54"/>
  <c r="C26" i="54"/>
  <c r="F24" i="54"/>
  <c r="E24" i="54"/>
  <c r="E15" i="54" s="1"/>
  <c r="E7" i="54" s="1"/>
  <c r="D24" i="54"/>
  <c r="I24" i="54" s="1"/>
  <c r="I23" i="54"/>
  <c r="D23" i="54"/>
  <c r="F23" i="54" s="1"/>
  <c r="D22" i="54"/>
  <c r="I22" i="54" s="1"/>
  <c r="C22" i="54"/>
  <c r="I21" i="54"/>
  <c r="H21" i="54"/>
  <c r="F21" i="54"/>
  <c r="D21" i="54"/>
  <c r="D15" i="54" s="1"/>
  <c r="F15" i="54" s="1"/>
  <c r="I20" i="54"/>
  <c r="H20" i="54"/>
  <c r="F20" i="54"/>
  <c r="I19" i="54"/>
  <c r="F19" i="54"/>
  <c r="C19" i="54"/>
  <c r="H19" i="54" s="1"/>
  <c r="I18" i="54"/>
  <c r="H18" i="54"/>
  <c r="F18" i="54"/>
  <c r="G15" i="54"/>
  <c r="G7" i="54" s="1"/>
  <c r="C9" i="47"/>
  <c r="C8" i="47"/>
  <c r="C7" i="47"/>
  <c r="C54" i="48"/>
  <c r="J47" i="48"/>
  <c r="I47" i="48"/>
  <c r="G47" i="48"/>
  <c r="F47" i="48"/>
  <c r="E47" i="48"/>
  <c r="D47" i="48"/>
  <c r="C47" i="48"/>
  <c r="H47" i="48" s="1"/>
  <c r="G46" i="48"/>
  <c r="G45" i="48"/>
  <c r="D45" i="48"/>
  <c r="F43" i="48"/>
  <c r="I42" i="48"/>
  <c r="H42" i="48"/>
  <c r="D42" i="48"/>
  <c r="J41" i="48"/>
  <c r="H41" i="48"/>
  <c r="F41" i="48"/>
  <c r="H40" i="48"/>
  <c r="E40" i="48"/>
  <c r="D40" i="48"/>
  <c r="F40" i="48" s="1"/>
  <c r="I39" i="48"/>
  <c r="H39" i="48"/>
  <c r="D39" i="48"/>
  <c r="I38" i="48"/>
  <c r="I46" i="48" s="1"/>
  <c r="E38" i="48"/>
  <c r="E46" i="48" s="1"/>
  <c r="C38" i="48"/>
  <c r="C46" i="48" s="1"/>
  <c r="H46" i="48" s="1"/>
  <c r="I37" i="48"/>
  <c r="F37" i="48"/>
  <c r="E37" i="48"/>
  <c r="D37" i="48"/>
  <c r="J37" i="48" s="1"/>
  <c r="C37" i="48"/>
  <c r="G34" i="48"/>
  <c r="J32" i="48"/>
  <c r="H32" i="48"/>
  <c r="F32" i="48"/>
  <c r="J31" i="48"/>
  <c r="F31" i="48"/>
  <c r="J30" i="48"/>
  <c r="F30" i="48"/>
  <c r="J29" i="48"/>
  <c r="I29" i="48"/>
  <c r="I20" i="48" s="1"/>
  <c r="H29" i="48"/>
  <c r="F29" i="48"/>
  <c r="D29" i="48"/>
  <c r="J28" i="48"/>
  <c r="H28" i="48"/>
  <c r="F28" i="48"/>
  <c r="J27" i="48"/>
  <c r="H27" i="48"/>
  <c r="F27" i="48"/>
  <c r="J26" i="48"/>
  <c r="F26" i="48"/>
  <c r="J25" i="48"/>
  <c r="F25" i="48"/>
  <c r="C25" i="48"/>
  <c r="H25" i="48" s="1"/>
  <c r="J24" i="48"/>
  <c r="H24" i="48"/>
  <c r="F24" i="48"/>
  <c r="J23" i="48"/>
  <c r="H23" i="48"/>
  <c r="F23" i="48"/>
  <c r="H20" i="48"/>
  <c r="G20" i="48"/>
  <c r="E20" i="48"/>
  <c r="D20" i="48"/>
  <c r="J20" i="48" s="1"/>
  <c r="C20" i="48"/>
  <c r="J9" i="48"/>
  <c r="H9" i="48"/>
  <c r="F9" i="48"/>
  <c r="I8" i="48"/>
  <c r="H8" i="48"/>
  <c r="G8" i="48"/>
  <c r="E8" i="48"/>
  <c r="D8" i="48"/>
  <c r="J8" i="48" s="1"/>
  <c r="C8" i="48"/>
  <c r="G7" i="48"/>
  <c r="A4" i="48"/>
  <c r="A4" i="54" s="1"/>
  <c r="H42" i="55"/>
  <c r="H40" i="55"/>
  <c r="H36" i="55"/>
  <c r="P24" i="55"/>
  <c r="N15" i="55"/>
  <c r="M15" i="55"/>
  <c r="L15" i="55"/>
  <c r="F15" i="56" s="1"/>
  <c r="I15" i="55"/>
  <c r="K15" i="56" s="1"/>
  <c r="H15" i="55"/>
  <c r="J15" i="56" s="1"/>
  <c r="G15" i="55"/>
  <c r="E15" i="55"/>
  <c r="D15" i="56" s="1"/>
  <c r="D15" i="55"/>
  <c r="C15" i="56" s="1"/>
  <c r="M14" i="55"/>
  <c r="G14" i="56" s="1"/>
  <c r="L14" i="55"/>
  <c r="N14" i="55" s="1"/>
  <c r="I14" i="55"/>
  <c r="K14" i="56" s="1"/>
  <c r="H14" i="55"/>
  <c r="G14" i="55"/>
  <c r="E14" i="55"/>
  <c r="D14" i="56" s="1"/>
  <c r="D14" i="55"/>
  <c r="C14" i="56" s="1"/>
  <c r="M13" i="55"/>
  <c r="L13" i="55"/>
  <c r="F13" i="56" s="1"/>
  <c r="I13" i="55"/>
  <c r="K13" i="56" s="1"/>
  <c r="H13" i="55"/>
  <c r="J13" i="55" s="1"/>
  <c r="L13" i="56" s="1"/>
  <c r="E13" i="55"/>
  <c r="D13" i="56" s="1"/>
  <c r="D13" i="55"/>
  <c r="C13" i="56" s="1"/>
  <c r="N12" i="55"/>
  <c r="L12" i="55"/>
  <c r="F12" i="56" s="1"/>
  <c r="I12" i="55"/>
  <c r="K12" i="56" s="1"/>
  <c r="H12" i="55"/>
  <c r="J12" i="55" s="1"/>
  <c r="G12" i="55"/>
  <c r="D12" i="55"/>
  <c r="C12" i="56" s="1"/>
  <c r="L11" i="55"/>
  <c r="H11" i="55"/>
  <c r="J11" i="55" s="1"/>
  <c r="G11" i="55"/>
  <c r="D11" i="55"/>
  <c r="C11" i="56" s="1"/>
  <c r="N10" i="55"/>
  <c r="H10" i="56" s="1"/>
  <c r="M10" i="55"/>
  <c r="G10" i="56" s="1"/>
  <c r="L10" i="55"/>
  <c r="I10" i="55"/>
  <c r="K10" i="56" s="1"/>
  <c r="H10" i="55"/>
  <c r="J10" i="56" s="1"/>
  <c r="G10" i="55"/>
  <c r="E10" i="55"/>
  <c r="D10" i="56" s="1"/>
  <c r="D10" i="55"/>
  <c r="C10" i="56" s="1"/>
  <c r="M9" i="55"/>
  <c r="L9" i="55"/>
  <c r="F9" i="56" s="1"/>
  <c r="H9" i="55"/>
  <c r="J9" i="56" s="1"/>
  <c r="G9" i="55"/>
  <c r="D9" i="55"/>
  <c r="F9" i="55" s="1"/>
  <c r="E9" i="56" s="1"/>
  <c r="N8" i="55"/>
  <c r="H8" i="56" s="1"/>
  <c r="M8" i="55"/>
  <c r="L8" i="55"/>
  <c r="F8" i="56" s="1"/>
  <c r="I8" i="55"/>
  <c r="K8" i="56" s="1"/>
  <c r="H8" i="55"/>
  <c r="J8" i="56" s="1"/>
  <c r="G8" i="55"/>
  <c r="F8" i="55"/>
  <c r="E8" i="56" s="1"/>
  <c r="E8" i="55"/>
  <c r="D8" i="56" s="1"/>
  <c r="R6" i="55"/>
  <c r="G29" i="58"/>
  <c r="E29" i="58"/>
  <c r="I24" i="58"/>
  <c r="I29" i="58" s="1"/>
  <c r="H24" i="58"/>
  <c r="G24" i="58"/>
  <c r="F24" i="58"/>
  <c r="F29" i="58" s="1"/>
  <c r="E19" i="58"/>
  <c r="D19" i="58"/>
  <c r="C19" i="58"/>
  <c r="I15" i="58"/>
  <c r="H15" i="58"/>
  <c r="H29" i="58" s="1"/>
  <c r="G15" i="58"/>
  <c r="F15" i="58"/>
  <c r="E15" i="58"/>
  <c r="D15" i="58"/>
  <c r="D29" i="58" s="1"/>
  <c r="C15" i="58"/>
  <c r="C29" i="58" s="1"/>
  <c r="B15" i="58"/>
  <c r="M112" i="61"/>
  <c r="G112" i="61"/>
  <c r="J112" i="61" s="1"/>
  <c r="M111" i="61"/>
  <c r="G111" i="61"/>
  <c r="J111" i="61" s="1"/>
  <c r="M110" i="61"/>
  <c r="J110" i="61"/>
  <c r="G110" i="61"/>
  <c r="M109" i="61"/>
  <c r="J109" i="61"/>
  <c r="G109" i="61"/>
  <c r="M108" i="61"/>
  <c r="G108" i="61"/>
  <c r="J108" i="61" s="1"/>
  <c r="M107" i="61"/>
  <c r="J107" i="61"/>
  <c r="M106" i="61"/>
  <c r="J106" i="61"/>
  <c r="M105" i="61"/>
  <c r="J105" i="61"/>
  <c r="M104" i="61"/>
  <c r="J104" i="61"/>
  <c r="G104" i="61"/>
  <c r="M103" i="61"/>
  <c r="G103" i="61"/>
  <c r="J103" i="61" s="1"/>
  <c r="M102" i="61"/>
  <c r="G102" i="61"/>
  <c r="J102" i="61" s="1"/>
  <c r="M101" i="61"/>
  <c r="J101" i="61"/>
  <c r="G101" i="61"/>
  <c r="M100" i="61"/>
  <c r="J100" i="61"/>
  <c r="G100" i="61"/>
  <c r="M99" i="61"/>
  <c r="G99" i="61"/>
  <c r="J99" i="61" s="1"/>
  <c r="M98" i="61"/>
  <c r="G98" i="61"/>
  <c r="J98" i="61" s="1"/>
  <c r="M97" i="61"/>
  <c r="J97" i="61"/>
  <c r="G97" i="61"/>
  <c r="M96" i="61"/>
  <c r="J96" i="61"/>
  <c r="G96" i="61"/>
  <c r="M95" i="61"/>
  <c r="G95" i="61"/>
  <c r="J95" i="61" s="1"/>
  <c r="M94" i="61"/>
  <c r="G94" i="61"/>
  <c r="J94" i="61" s="1"/>
  <c r="M93" i="61"/>
  <c r="J93" i="61"/>
  <c r="G93" i="61"/>
  <c r="M92" i="61"/>
  <c r="J92" i="61"/>
  <c r="G92" i="61"/>
  <c r="M91" i="61"/>
  <c r="G91" i="61"/>
  <c r="J91" i="61" s="1"/>
  <c r="M90" i="61"/>
  <c r="G90" i="61"/>
  <c r="J90" i="61" s="1"/>
  <c r="M89" i="61"/>
  <c r="J89" i="61"/>
  <c r="G89" i="61"/>
  <c r="M88" i="61"/>
  <c r="J88" i="61"/>
  <c r="G88" i="61"/>
  <c r="M87" i="61"/>
  <c r="G87" i="61"/>
  <c r="J87" i="61" s="1"/>
  <c r="M86" i="61"/>
  <c r="G86" i="61"/>
  <c r="J86" i="61" s="1"/>
  <c r="M85" i="61"/>
  <c r="J85" i="61"/>
  <c r="G85" i="61"/>
  <c r="M84" i="61"/>
  <c r="J84" i="61"/>
  <c r="G84" i="61"/>
  <c r="M83" i="61"/>
  <c r="G83" i="61"/>
  <c r="J83" i="61" s="1"/>
  <c r="M82" i="61"/>
  <c r="G82" i="61"/>
  <c r="J82" i="61" s="1"/>
  <c r="M81" i="61"/>
  <c r="J81" i="61"/>
  <c r="G81" i="61"/>
  <c r="M80" i="61"/>
  <c r="J80" i="61"/>
  <c r="G80" i="61"/>
  <c r="M79" i="61"/>
  <c r="G79" i="61"/>
  <c r="J79" i="61" s="1"/>
  <c r="M78" i="61"/>
  <c r="G78" i="61"/>
  <c r="J78" i="61" s="1"/>
  <c r="M77" i="61"/>
  <c r="J77" i="61"/>
  <c r="G77" i="61"/>
  <c r="M76" i="61"/>
  <c r="J76" i="61"/>
  <c r="G76" i="61"/>
  <c r="M75" i="61"/>
  <c r="G75" i="61"/>
  <c r="J75" i="61" s="1"/>
  <c r="M74" i="61"/>
  <c r="G74" i="61"/>
  <c r="J74" i="61" s="1"/>
  <c r="M73" i="61"/>
  <c r="J73" i="61"/>
  <c r="G73" i="61"/>
  <c r="M72" i="61"/>
  <c r="J72" i="61"/>
  <c r="G72" i="61"/>
  <c r="M71" i="61"/>
  <c r="G71" i="61"/>
  <c r="J71" i="61" s="1"/>
  <c r="M70" i="61"/>
  <c r="G70" i="61"/>
  <c r="J70" i="61" s="1"/>
  <c r="M69" i="61"/>
  <c r="J69" i="61"/>
  <c r="G69" i="61"/>
  <c r="M68" i="61"/>
  <c r="J68" i="61"/>
  <c r="G68" i="61"/>
  <c r="M67" i="61"/>
  <c r="G67" i="61"/>
  <c r="J67" i="61" s="1"/>
  <c r="M66" i="61"/>
  <c r="G66" i="61"/>
  <c r="J66" i="61" s="1"/>
  <c r="M65" i="61"/>
  <c r="J65" i="61"/>
  <c r="G65" i="61"/>
  <c r="M64" i="61"/>
  <c r="J64" i="61"/>
  <c r="G64" i="61"/>
  <c r="M63" i="61"/>
  <c r="G63" i="61"/>
  <c r="J63" i="61" s="1"/>
  <c r="M62" i="61"/>
  <c r="G62" i="61"/>
  <c r="J62" i="61" s="1"/>
  <c r="M61" i="61"/>
  <c r="J61" i="61"/>
  <c r="G61" i="61"/>
  <c r="M60" i="61"/>
  <c r="J60" i="61"/>
  <c r="G60" i="61"/>
  <c r="M59" i="61"/>
  <c r="G59" i="61"/>
  <c r="J59" i="61" s="1"/>
  <c r="M58" i="61"/>
  <c r="G58" i="61"/>
  <c r="J58" i="61" s="1"/>
  <c r="K57" i="61"/>
  <c r="I57" i="61"/>
  <c r="J57" i="61" s="1"/>
  <c r="G57" i="61"/>
  <c r="D57" i="61"/>
  <c r="M57" i="61" s="1"/>
  <c r="M56" i="61"/>
  <c r="K56" i="61"/>
  <c r="I56" i="61"/>
  <c r="D56" i="61"/>
  <c r="G56" i="61" s="1"/>
  <c r="K55" i="61"/>
  <c r="I55" i="61"/>
  <c r="J55" i="61" s="1"/>
  <c r="G55" i="61"/>
  <c r="D55" i="61"/>
  <c r="M55" i="61" s="1"/>
  <c r="K54" i="61"/>
  <c r="I54" i="61"/>
  <c r="J54" i="61" s="1"/>
  <c r="D54" i="61"/>
  <c r="G54" i="61" s="1"/>
  <c r="K53" i="61"/>
  <c r="I53" i="61"/>
  <c r="J53" i="61" s="1"/>
  <c r="G53" i="61"/>
  <c r="D53" i="61"/>
  <c r="M53" i="61" s="1"/>
  <c r="M52" i="61"/>
  <c r="K52" i="61"/>
  <c r="I52" i="61"/>
  <c r="J52" i="61" s="1"/>
  <c r="D52" i="61"/>
  <c r="G52" i="61" s="1"/>
  <c r="K51" i="61"/>
  <c r="I51" i="61"/>
  <c r="J51" i="61" s="1"/>
  <c r="G51" i="61"/>
  <c r="D51" i="61"/>
  <c r="M51" i="61" s="1"/>
  <c r="M50" i="61"/>
  <c r="K50" i="61"/>
  <c r="I50" i="61"/>
  <c r="D50" i="61"/>
  <c r="G50" i="61" s="1"/>
  <c r="K49" i="61"/>
  <c r="I49" i="61"/>
  <c r="J49" i="61" s="1"/>
  <c r="G49" i="61"/>
  <c r="D49" i="61"/>
  <c r="M49" i="61" s="1"/>
  <c r="K48" i="61"/>
  <c r="I48" i="61"/>
  <c r="J48" i="61" s="1"/>
  <c r="D48" i="61"/>
  <c r="G48" i="61" s="1"/>
  <c r="K47" i="61"/>
  <c r="I47" i="61"/>
  <c r="J47" i="61" s="1"/>
  <c r="G47" i="61"/>
  <c r="D47" i="61"/>
  <c r="M47" i="61" s="1"/>
  <c r="M46" i="61"/>
  <c r="K46" i="61"/>
  <c r="I46" i="61"/>
  <c r="J46" i="61" s="1"/>
  <c r="D46" i="61"/>
  <c r="G46" i="61" s="1"/>
  <c r="K45" i="61"/>
  <c r="I45" i="61"/>
  <c r="J45" i="61" s="1"/>
  <c r="G45" i="61"/>
  <c r="D45" i="61"/>
  <c r="M44" i="61"/>
  <c r="K44" i="61"/>
  <c r="I44" i="61"/>
  <c r="D44" i="61"/>
  <c r="G44" i="61" s="1"/>
  <c r="K43" i="61"/>
  <c r="I43" i="61"/>
  <c r="J43" i="61" s="1"/>
  <c r="G43" i="61"/>
  <c r="D43" i="61"/>
  <c r="K42" i="61"/>
  <c r="I42" i="61"/>
  <c r="J42" i="61" s="1"/>
  <c r="D42" i="61"/>
  <c r="G42" i="61" s="1"/>
  <c r="K41" i="61"/>
  <c r="I41" i="61"/>
  <c r="J41" i="61" s="1"/>
  <c r="G41" i="61"/>
  <c r="D41" i="61"/>
  <c r="M41" i="61" s="1"/>
  <c r="M40" i="61"/>
  <c r="K40" i="61"/>
  <c r="I40" i="61"/>
  <c r="J40" i="61" s="1"/>
  <c r="D40" i="61"/>
  <c r="G40" i="61" s="1"/>
  <c r="K39" i="61"/>
  <c r="I39" i="61"/>
  <c r="J39" i="61" s="1"/>
  <c r="G39" i="61"/>
  <c r="D39" i="61"/>
  <c r="M38" i="61"/>
  <c r="K38" i="61"/>
  <c r="I38" i="61"/>
  <c r="D38" i="61"/>
  <c r="G38" i="61" s="1"/>
  <c r="K37" i="61"/>
  <c r="I37" i="61"/>
  <c r="J37" i="61" s="1"/>
  <c r="G37" i="61"/>
  <c r="D37" i="61"/>
  <c r="K36" i="61"/>
  <c r="I36" i="61"/>
  <c r="J36" i="61" s="1"/>
  <c r="D36" i="61"/>
  <c r="G36" i="61" s="1"/>
  <c r="K35" i="61"/>
  <c r="I35" i="61"/>
  <c r="J35" i="61" s="1"/>
  <c r="G35" i="61"/>
  <c r="D35" i="61"/>
  <c r="M35" i="61" s="1"/>
  <c r="M34" i="61"/>
  <c r="K34" i="61"/>
  <c r="I34" i="61"/>
  <c r="J34" i="61" s="1"/>
  <c r="D34" i="61"/>
  <c r="G34" i="61" s="1"/>
  <c r="K33" i="61"/>
  <c r="I33" i="61"/>
  <c r="J33" i="61" s="1"/>
  <c r="G33" i="61"/>
  <c r="D33" i="61"/>
  <c r="M32" i="61"/>
  <c r="K32" i="61"/>
  <c r="I32" i="61"/>
  <c r="D32" i="61"/>
  <c r="G32" i="61" s="1"/>
  <c r="K31" i="61"/>
  <c r="I31" i="61"/>
  <c r="J31" i="61" s="1"/>
  <c r="G31" i="61"/>
  <c r="D31" i="61"/>
  <c r="K30" i="61"/>
  <c r="I30" i="61"/>
  <c r="J30" i="61" s="1"/>
  <c r="D30" i="61"/>
  <c r="G30" i="61" s="1"/>
  <c r="K29" i="61"/>
  <c r="I29" i="61"/>
  <c r="J29" i="61" s="1"/>
  <c r="G29" i="61"/>
  <c r="D29" i="61"/>
  <c r="M29" i="61" s="1"/>
  <c r="M28" i="61"/>
  <c r="K28" i="61"/>
  <c r="I28" i="61"/>
  <c r="J28" i="61" s="1"/>
  <c r="D28" i="61"/>
  <c r="G28" i="61" s="1"/>
  <c r="K27" i="61"/>
  <c r="I27" i="61"/>
  <c r="J27" i="61" s="1"/>
  <c r="G27" i="61"/>
  <c r="D27" i="61"/>
  <c r="M26" i="61"/>
  <c r="K26" i="61"/>
  <c r="I26" i="61"/>
  <c r="D26" i="61"/>
  <c r="G26" i="61" s="1"/>
  <c r="K25" i="61"/>
  <c r="I25" i="61"/>
  <c r="J25" i="61" s="1"/>
  <c r="G25" i="61"/>
  <c r="D25" i="61"/>
  <c r="K24" i="61"/>
  <c r="I24" i="61"/>
  <c r="J24" i="61" s="1"/>
  <c r="D24" i="61"/>
  <c r="G24" i="61" s="1"/>
  <c r="K23" i="61"/>
  <c r="I23" i="61"/>
  <c r="J23" i="61" s="1"/>
  <c r="G23" i="61"/>
  <c r="D23" i="61"/>
  <c r="M23" i="61" s="1"/>
  <c r="M22" i="61"/>
  <c r="K22" i="61"/>
  <c r="I22" i="61"/>
  <c r="J22" i="61" s="1"/>
  <c r="D22" i="61"/>
  <c r="G22" i="61" s="1"/>
  <c r="K21" i="61"/>
  <c r="I21" i="61"/>
  <c r="J21" i="61" s="1"/>
  <c r="G21" i="61"/>
  <c r="D21" i="61"/>
  <c r="M20" i="61"/>
  <c r="K20" i="61"/>
  <c r="I20" i="61"/>
  <c r="D20" i="61"/>
  <c r="G20" i="61" s="1"/>
  <c r="K19" i="61"/>
  <c r="I19" i="61"/>
  <c r="J19" i="61" s="1"/>
  <c r="G19" i="61"/>
  <c r="D19" i="61"/>
  <c r="K18" i="61"/>
  <c r="I18" i="61"/>
  <c r="D18" i="61"/>
  <c r="G18" i="61" s="1"/>
  <c r="I17" i="61"/>
  <c r="G17" i="61"/>
  <c r="J17" i="61" s="1"/>
  <c r="D17" i="61"/>
  <c r="M17" i="61" s="1"/>
  <c r="K16" i="61"/>
  <c r="I16" i="61"/>
  <c r="J16" i="61" s="1"/>
  <c r="G16" i="61"/>
  <c r="D16" i="61"/>
  <c r="M15" i="61"/>
  <c r="K15" i="61"/>
  <c r="I15" i="61"/>
  <c r="G15" i="61"/>
  <c r="J15" i="61" s="1"/>
  <c r="D15" i="61"/>
  <c r="K14" i="61"/>
  <c r="I14" i="61"/>
  <c r="G14" i="61"/>
  <c r="D14" i="61"/>
  <c r="M13" i="61"/>
  <c r="M11" i="61" s="1"/>
  <c r="M9" i="61" s="1"/>
  <c r="K13" i="61"/>
  <c r="I13" i="61"/>
  <c r="I9" i="61" s="1"/>
  <c r="G13" i="61"/>
  <c r="D13" i="61"/>
  <c r="M12" i="61"/>
  <c r="J12" i="61"/>
  <c r="K11" i="61"/>
  <c r="I11" i="61"/>
  <c r="H11" i="61"/>
  <c r="H9" i="61" s="1"/>
  <c r="F11" i="61"/>
  <c r="E11" i="61"/>
  <c r="D11" i="61"/>
  <c r="D9" i="61" s="1"/>
  <c r="G9" i="61" s="1"/>
  <c r="K9" i="61"/>
  <c r="F9" i="61"/>
  <c r="E9" i="61"/>
  <c r="K6" i="61"/>
  <c r="I6" i="61"/>
  <c r="G6" i="61"/>
  <c r="H2" i="223"/>
  <c r="L84" i="499"/>
  <c r="K84" i="499"/>
  <c r="J84" i="499"/>
  <c r="I84" i="499"/>
  <c r="H84" i="499"/>
  <c r="E84" i="499"/>
  <c r="N83" i="499"/>
  <c r="M83" i="499"/>
  <c r="K83" i="499"/>
  <c r="L83" i="499" s="1"/>
  <c r="J83" i="499"/>
  <c r="H83" i="499"/>
  <c r="I83" i="499" s="1"/>
  <c r="E83" i="499"/>
  <c r="G83" i="499" s="1"/>
  <c r="L82" i="499"/>
  <c r="K82" i="499"/>
  <c r="N82" i="499" s="1"/>
  <c r="J82" i="499"/>
  <c r="H82" i="499"/>
  <c r="E82" i="499"/>
  <c r="G82" i="499" s="1"/>
  <c r="N81" i="499"/>
  <c r="J81" i="499"/>
  <c r="H81" i="499"/>
  <c r="K81" i="499" s="1"/>
  <c r="F81" i="499"/>
  <c r="E81" i="499"/>
  <c r="J80" i="499"/>
  <c r="K80" i="499" s="1"/>
  <c r="H80" i="499"/>
  <c r="G80" i="499"/>
  <c r="M80" i="499" s="1"/>
  <c r="F80" i="499"/>
  <c r="E80" i="499"/>
  <c r="L80" i="499" s="1"/>
  <c r="J79" i="499"/>
  <c r="H79" i="499"/>
  <c r="I79" i="499" s="1"/>
  <c r="G79" i="499"/>
  <c r="M78" i="499"/>
  <c r="L78" i="499"/>
  <c r="K78" i="499"/>
  <c r="N78" i="499" s="1"/>
  <c r="J78" i="499"/>
  <c r="I78" i="499"/>
  <c r="H78" i="499"/>
  <c r="G78" i="499"/>
  <c r="F78" i="499"/>
  <c r="E78" i="499"/>
  <c r="J77" i="499"/>
  <c r="K77" i="499" s="1"/>
  <c r="H77" i="499"/>
  <c r="F77" i="499"/>
  <c r="E77" i="499"/>
  <c r="J76" i="499"/>
  <c r="H76" i="499"/>
  <c r="K76" i="499" s="1"/>
  <c r="F76" i="499"/>
  <c r="E76" i="499"/>
  <c r="G76" i="499" s="1"/>
  <c r="M76" i="499" s="1"/>
  <c r="J75" i="499"/>
  <c r="K75" i="499" s="1"/>
  <c r="H75" i="499"/>
  <c r="I75" i="499" s="1"/>
  <c r="G75" i="499"/>
  <c r="M75" i="499" s="1"/>
  <c r="F75" i="499"/>
  <c r="E75" i="499"/>
  <c r="J74" i="499"/>
  <c r="H74" i="499"/>
  <c r="E74" i="499"/>
  <c r="G74" i="499" s="1"/>
  <c r="J73" i="499"/>
  <c r="H73" i="499"/>
  <c r="G73" i="499"/>
  <c r="E73" i="499"/>
  <c r="J72" i="499"/>
  <c r="K72" i="499" s="1"/>
  <c r="I72" i="499"/>
  <c r="H72" i="499"/>
  <c r="G72" i="499"/>
  <c r="E72" i="499"/>
  <c r="M71" i="499"/>
  <c r="K71" i="499"/>
  <c r="L71" i="499" s="1"/>
  <c r="J71" i="499"/>
  <c r="H71" i="499"/>
  <c r="I71" i="499" s="1"/>
  <c r="F71" i="499"/>
  <c r="G71" i="499" s="1"/>
  <c r="E71" i="499"/>
  <c r="N70" i="499"/>
  <c r="L70" i="499"/>
  <c r="K70" i="499"/>
  <c r="J70" i="499"/>
  <c r="H70" i="499"/>
  <c r="E70" i="499"/>
  <c r="G70" i="499" s="1"/>
  <c r="M70" i="499" s="1"/>
  <c r="J69" i="499"/>
  <c r="H69" i="499"/>
  <c r="E69" i="499"/>
  <c r="G69" i="499" s="1"/>
  <c r="J68" i="499"/>
  <c r="H68" i="499"/>
  <c r="E68" i="499"/>
  <c r="G68" i="499" s="1"/>
  <c r="N67" i="499"/>
  <c r="L67" i="499"/>
  <c r="J67" i="499"/>
  <c r="H67" i="499"/>
  <c r="K67" i="499" s="1"/>
  <c r="G67" i="499"/>
  <c r="M67" i="499" s="1"/>
  <c r="E67" i="499"/>
  <c r="K66" i="499"/>
  <c r="J66" i="499"/>
  <c r="I66" i="499"/>
  <c r="H66" i="499"/>
  <c r="F66" i="499"/>
  <c r="E66" i="499"/>
  <c r="G66" i="499" s="1"/>
  <c r="M66" i="499" s="1"/>
  <c r="L65" i="499"/>
  <c r="K65" i="499"/>
  <c r="N65" i="499" s="1"/>
  <c r="J65" i="499"/>
  <c r="I65" i="499"/>
  <c r="H65" i="499"/>
  <c r="G65" i="499"/>
  <c r="M65" i="499" s="1"/>
  <c r="E65" i="499"/>
  <c r="J64" i="499"/>
  <c r="H64" i="499"/>
  <c r="G64" i="499"/>
  <c r="F64" i="499"/>
  <c r="E64" i="499"/>
  <c r="K63" i="499"/>
  <c r="J63" i="499"/>
  <c r="I63" i="499"/>
  <c r="H63" i="499"/>
  <c r="F63" i="499"/>
  <c r="E63" i="499"/>
  <c r="G63" i="499" s="1"/>
  <c r="N62" i="499"/>
  <c r="L62" i="499"/>
  <c r="J62" i="499"/>
  <c r="H62" i="499"/>
  <c r="K62" i="499" s="1"/>
  <c r="G62" i="499"/>
  <c r="M62" i="499" s="1"/>
  <c r="E62" i="499"/>
  <c r="N61" i="499"/>
  <c r="M61" i="499"/>
  <c r="K61" i="499"/>
  <c r="L61" i="499" s="1"/>
  <c r="J61" i="499"/>
  <c r="I61" i="499"/>
  <c r="H61" i="499"/>
  <c r="E61" i="499"/>
  <c r="G61" i="499" s="1"/>
  <c r="K60" i="499"/>
  <c r="J60" i="499"/>
  <c r="I60" i="499"/>
  <c r="H60" i="499"/>
  <c r="F60" i="499"/>
  <c r="G60" i="499" s="1"/>
  <c r="E60" i="499"/>
  <c r="L59" i="499"/>
  <c r="K59" i="499"/>
  <c r="N59" i="499" s="1"/>
  <c r="J59" i="499"/>
  <c r="H59" i="499"/>
  <c r="I59" i="499" s="1"/>
  <c r="G59" i="499"/>
  <c r="M59" i="499" s="1"/>
  <c r="E59" i="499"/>
  <c r="J58" i="499"/>
  <c r="H58" i="499"/>
  <c r="K58" i="499" s="1"/>
  <c r="E58" i="499"/>
  <c r="J57" i="499"/>
  <c r="K57" i="499" s="1"/>
  <c r="H57" i="499"/>
  <c r="I57" i="499" s="1"/>
  <c r="G57" i="499"/>
  <c r="M57" i="499" s="1"/>
  <c r="F57" i="499"/>
  <c r="E57" i="499"/>
  <c r="K56" i="499"/>
  <c r="J56" i="499"/>
  <c r="H56" i="499"/>
  <c r="F56" i="499"/>
  <c r="E56" i="499"/>
  <c r="N55" i="499"/>
  <c r="K55" i="499"/>
  <c r="L55" i="499" s="1"/>
  <c r="J55" i="499"/>
  <c r="H55" i="499"/>
  <c r="I55" i="499" s="1"/>
  <c r="F55" i="499"/>
  <c r="G55" i="499" s="1"/>
  <c r="M55" i="499" s="1"/>
  <c r="E55" i="499"/>
  <c r="K54" i="499"/>
  <c r="J54" i="499"/>
  <c r="I54" i="499"/>
  <c r="H54" i="499"/>
  <c r="E54" i="499"/>
  <c r="G54" i="499" s="1"/>
  <c r="M54" i="499" s="1"/>
  <c r="J53" i="499"/>
  <c r="I53" i="499"/>
  <c r="H53" i="499"/>
  <c r="E53" i="499"/>
  <c r="G53" i="499" s="1"/>
  <c r="N52" i="499"/>
  <c r="K52" i="499"/>
  <c r="J52" i="499"/>
  <c r="H52" i="499"/>
  <c r="E52" i="499"/>
  <c r="N51" i="499"/>
  <c r="J51" i="499"/>
  <c r="I51" i="499"/>
  <c r="H51" i="499"/>
  <c r="K51" i="499" s="1"/>
  <c r="L51" i="499" s="1"/>
  <c r="G51" i="499"/>
  <c r="E51" i="499"/>
  <c r="J50" i="499"/>
  <c r="I50" i="499"/>
  <c r="H50" i="499"/>
  <c r="K50" i="499" s="1"/>
  <c r="F50" i="499"/>
  <c r="E50" i="499"/>
  <c r="G50" i="499" s="1"/>
  <c r="K49" i="499"/>
  <c r="J49" i="499"/>
  <c r="H49" i="499"/>
  <c r="F49" i="499"/>
  <c r="E49" i="499"/>
  <c r="J48" i="499"/>
  <c r="I48" i="499"/>
  <c r="H48" i="499"/>
  <c r="K48" i="499" s="1"/>
  <c r="N48" i="499" s="1"/>
  <c r="G48" i="499"/>
  <c r="M48" i="499" s="1"/>
  <c r="E48" i="499"/>
  <c r="K47" i="499"/>
  <c r="J47" i="499"/>
  <c r="H47" i="499"/>
  <c r="E47" i="499"/>
  <c r="J46" i="499"/>
  <c r="H46" i="499"/>
  <c r="G46" i="499"/>
  <c r="E46" i="499"/>
  <c r="J45" i="499"/>
  <c r="I45" i="499"/>
  <c r="H45" i="499"/>
  <c r="G45" i="499"/>
  <c r="F45" i="499"/>
  <c r="E45" i="499"/>
  <c r="J44" i="499"/>
  <c r="H44" i="499"/>
  <c r="E44" i="499"/>
  <c r="J43" i="499"/>
  <c r="K43" i="499" s="1"/>
  <c r="L43" i="499" s="1"/>
  <c r="H43" i="499"/>
  <c r="G43" i="499"/>
  <c r="E43" i="499"/>
  <c r="J42" i="499"/>
  <c r="K42" i="499" s="1"/>
  <c r="I42" i="499"/>
  <c r="H42" i="499"/>
  <c r="F42" i="499"/>
  <c r="E42" i="499"/>
  <c r="G42" i="499" s="1"/>
  <c r="J41" i="499"/>
  <c r="I41" i="499"/>
  <c r="H41" i="499"/>
  <c r="K41" i="499" s="1"/>
  <c r="L41" i="499" s="1"/>
  <c r="G41" i="499"/>
  <c r="E41" i="499"/>
  <c r="J40" i="499"/>
  <c r="I40" i="499"/>
  <c r="H40" i="499"/>
  <c r="K40" i="499" s="1"/>
  <c r="F40" i="499"/>
  <c r="E40" i="499"/>
  <c r="G40" i="499" s="1"/>
  <c r="N39" i="499"/>
  <c r="L39" i="499"/>
  <c r="J39" i="499"/>
  <c r="H39" i="499"/>
  <c r="K39" i="499" s="1"/>
  <c r="G39" i="499"/>
  <c r="M39" i="499" s="1"/>
  <c r="F39" i="499"/>
  <c r="E39" i="499"/>
  <c r="L38" i="499"/>
  <c r="K38" i="499"/>
  <c r="N38" i="499" s="1"/>
  <c r="J38" i="499"/>
  <c r="H38" i="499"/>
  <c r="I38" i="499" s="1"/>
  <c r="E38" i="499"/>
  <c r="G38" i="499" s="1"/>
  <c r="J37" i="499"/>
  <c r="H37" i="499"/>
  <c r="G37" i="499"/>
  <c r="F37" i="499"/>
  <c r="E37" i="499"/>
  <c r="K36" i="499"/>
  <c r="J36" i="499"/>
  <c r="H36" i="499"/>
  <c r="E36" i="499"/>
  <c r="N35" i="499"/>
  <c r="L35" i="499"/>
  <c r="K35" i="499"/>
  <c r="J35" i="499"/>
  <c r="H35" i="499"/>
  <c r="I35" i="499" s="1"/>
  <c r="G35" i="499"/>
  <c r="M35" i="499" s="1"/>
  <c r="F35" i="499"/>
  <c r="E35" i="499"/>
  <c r="J34" i="499"/>
  <c r="H34" i="499"/>
  <c r="K34" i="499" s="1"/>
  <c r="N34" i="499" s="1"/>
  <c r="E34" i="499"/>
  <c r="G34" i="499" s="1"/>
  <c r="K33" i="499"/>
  <c r="N33" i="499" s="1"/>
  <c r="J33" i="499"/>
  <c r="H33" i="499"/>
  <c r="F33" i="499"/>
  <c r="E33" i="499"/>
  <c r="I33" i="499" s="1"/>
  <c r="J32" i="499"/>
  <c r="K32" i="499" s="1"/>
  <c r="H32" i="499"/>
  <c r="F32" i="499"/>
  <c r="E32" i="499"/>
  <c r="N31" i="499"/>
  <c r="M31" i="499"/>
  <c r="J31" i="499"/>
  <c r="I31" i="499"/>
  <c r="H31" i="499"/>
  <c r="K31" i="499" s="1"/>
  <c r="L31" i="499" s="1"/>
  <c r="G31" i="499"/>
  <c r="E31" i="499"/>
  <c r="J30" i="499"/>
  <c r="K30" i="499" s="1"/>
  <c r="I30" i="499"/>
  <c r="H30" i="499"/>
  <c r="E30" i="499"/>
  <c r="G30" i="499" s="1"/>
  <c r="N29" i="499"/>
  <c r="M29" i="499"/>
  <c r="J29" i="499"/>
  <c r="H29" i="499"/>
  <c r="K29" i="499" s="1"/>
  <c r="L29" i="499" s="1"/>
  <c r="G29" i="499"/>
  <c r="F29" i="499"/>
  <c r="E29" i="499"/>
  <c r="K28" i="499"/>
  <c r="J28" i="499"/>
  <c r="H28" i="499"/>
  <c r="E28" i="499"/>
  <c r="I28" i="499" s="1"/>
  <c r="N27" i="499"/>
  <c r="J27" i="499"/>
  <c r="I27" i="499"/>
  <c r="H27" i="499"/>
  <c r="K27" i="499" s="1"/>
  <c r="L27" i="499" s="1"/>
  <c r="G27" i="499"/>
  <c r="F27" i="499"/>
  <c r="E27" i="499"/>
  <c r="K26" i="499"/>
  <c r="N26" i="499" s="1"/>
  <c r="J26" i="499"/>
  <c r="H26" i="499"/>
  <c r="E26" i="499"/>
  <c r="G26" i="499" s="1"/>
  <c r="M26" i="499" s="1"/>
  <c r="J25" i="499"/>
  <c r="H25" i="499"/>
  <c r="K25" i="499" s="1"/>
  <c r="G25" i="499"/>
  <c r="F25" i="499"/>
  <c r="E25" i="499"/>
  <c r="J24" i="499"/>
  <c r="H24" i="499"/>
  <c r="F24" i="499"/>
  <c r="E24" i="499"/>
  <c r="G24" i="499" s="1"/>
  <c r="J23" i="499"/>
  <c r="K23" i="499" s="1"/>
  <c r="H23" i="499"/>
  <c r="F23" i="499"/>
  <c r="E23" i="499"/>
  <c r="G23" i="499" s="1"/>
  <c r="N22" i="499"/>
  <c r="M22" i="499"/>
  <c r="J22" i="499"/>
  <c r="H22" i="499"/>
  <c r="K22" i="499" s="1"/>
  <c r="L22" i="499" s="1"/>
  <c r="G22" i="499"/>
  <c r="E22" i="499"/>
  <c r="J21" i="499"/>
  <c r="K21" i="499" s="1"/>
  <c r="H21" i="499"/>
  <c r="F21" i="499"/>
  <c r="E21" i="499"/>
  <c r="J20" i="499"/>
  <c r="I20" i="499"/>
  <c r="H20" i="499"/>
  <c r="K20" i="499" s="1"/>
  <c r="L20" i="499" s="1"/>
  <c r="G20" i="499"/>
  <c r="M20" i="499" s="1"/>
  <c r="F20" i="499"/>
  <c r="E20" i="499"/>
  <c r="J19" i="499"/>
  <c r="H19" i="499"/>
  <c r="G19" i="499"/>
  <c r="J18" i="499"/>
  <c r="H18" i="499"/>
  <c r="E18" i="499"/>
  <c r="G18" i="499" s="1"/>
  <c r="J17" i="499"/>
  <c r="H17" i="499"/>
  <c r="K17" i="499" s="1"/>
  <c r="E17" i="499"/>
  <c r="G17" i="499" s="1"/>
  <c r="J16" i="499"/>
  <c r="K16" i="499" s="1"/>
  <c r="H16" i="499"/>
  <c r="I16" i="499" s="1"/>
  <c r="F16" i="499"/>
  <c r="G16" i="499" s="1"/>
  <c r="E16" i="499"/>
  <c r="J15" i="499"/>
  <c r="H15" i="499"/>
  <c r="K15" i="499" s="1"/>
  <c r="L15" i="499" s="1"/>
  <c r="G15" i="499"/>
  <c r="F15" i="499"/>
  <c r="E15" i="499"/>
  <c r="K14" i="499"/>
  <c r="N14" i="499" s="1"/>
  <c r="J14" i="499"/>
  <c r="H14" i="499"/>
  <c r="F14" i="499"/>
  <c r="E14" i="499"/>
  <c r="G14" i="499" s="1"/>
  <c r="M14" i="499" s="1"/>
  <c r="N13" i="499"/>
  <c r="K13" i="499"/>
  <c r="L13" i="499" s="1"/>
  <c r="J13" i="499"/>
  <c r="H13" i="499"/>
  <c r="I13" i="499" s="1"/>
  <c r="F13" i="499"/>
  <c r="E13" i="499"/>
  <c r="G13" i="499" s="1"/>
  <c r="J12" i="499"/>
  <c r="H12" i="499"/>
  <c r="I12" i="499" s="1"/>
  <c r="G12" i="499"/>
  <c r="E12" i="499"/>
  <c r="J11" i="499"/>
  <c r="H11" i="499"/>
  <c r="K11" i="499" s="1"/>
  <c r="G11" i="499"/>
  <c r="M11" i="499" s="1"/>
  <c r="E11" i="499"/>
  <c r="J10" i="499"/>
  <c r="J8" i="499" s="1"/>
  <c r="I10" i="499"/>
  <c r="H10" i="499"/>
  <c r="E10" i="499"/>
  <c r="G10" i="499" s="1"/>
  <c r="J9" i="499"/>
  <c r="I9" i="499"/>
  <c r="H9" i="499"/>
  <c r="F9" i="499"/>
  <c r="G9" i="499" s="1"/>
  <c r="E9" i="499"/>
  <c r="E8" i="499"/>
  <c r="D8" i="499"/>
  <c r="X1183" i="770"/>
  <c r="T1183" i="770"/>
  <c r="Q1183" i="770"/>
  <c r="U1183" i="770" s="1"/>
  <c r="V1183" i="770" s="1"/>
  <c r="X1182" i="770"/>
  <c r="T1182" i="770"/>
  <c r="R1182" i="770"/>
  <c r="Q1182" i="770"/>
  <c r="U1182" i="770" s="1"/>
  <c r="N1182" i="770"/>
  <c r="T1181" i="770"/>
  <c r="Q1181" i="770"/>
  <c r="U1181" i="770" s="1"/>
  <c r="T1180" i="770"/>
  <c r="Q1180" i="770"/>
  <c r="R1180" i="770" s="1"/>
  <c r="U1179" i="770"/>
  <c r="V1179" i="770" s="1"/>
  <c r="T1179" i="770"/>
  <c r="Q1179" i="770"/>
  <c r="R1179" i="770" s="1"/>
  <c r="N1179" i="770"/>
  <c r="U1178" i="770"/>
  <c r="V1178" i="770" s="1"/>
  <c r="T1178" i="770"/>
  <c r="R1178" i="770"/>
  <c r="Q1178" i="770"/>
  <c r="N1178" i="770"/>
  <c r="V1177" i="770"/>
  <c r="U1177" i="770"/>
  <c r="Q1177" i="770"/>
  <c r="N1177" i="770"/>
  <c r="X1177" i="770" s="1"/>
  <c r="U1176" i="770"/>
  <c r="Q1176" i="770"/>
  <c r="M1176" i="770"/>
  <c r="N1176" i="770" s="1"/>
  <c r="X1175" i="770"/>
  <c r="T1175" i="770"/>
  <c r="R1175" i="770"/>
  <c r="Q1175" i="770"/>
  <c r="U1175" i="770" s="1"/>
  <c r="V1175" i="770" s="1"/>
  <c r="Q1174" i="770"/>
  <c r="U1174" i="770" s="1"/>
  <c r="N1174" i="770"/>
  <c r="X1174" i="770" s="1"/>
  <c r="T1173" i="770"/>
  <c r="Q1173" i="770"/>
  <c r="R1173" i="770" s="1"/>
  <c r="U1172" i="770"/>
  <c r="V1172" i="770" s="1"/>
  <c r="T1172" i="770"/>
  <c r="Q1172" i="770"/>
  <c r="R1172" i="770" s="1"/>
  <c r="N1172" i="770"/>
  <c r="U1171" i="770"/>
  <c r="V1171" i="770" s="1"/>
  <c r="T1171" i="770"/>
  <c r="Q1171" i="770"/>
  <c r="M1171" i="770"/>
  <c r="N1171" i="770" s="1"/>
  <c r="R1171" i="770" s="1"/>
  <c r="V1170" i="770"/>
  <c r="U1170" i="770"/>
  <c r="X1170" i="770" s="1"/>
  <c r="T1170" i="770"/>
  <c r="Q1170" i="770"/>
  <c r="R1170" i="770" s="1"/>
  <c r="X1169" i="770"/>
  <c r="U1169" i="770"/>
  <c r="V1169" i="770" s="1"/>
  <c r="T1169" i="770"/>
  <c r="Q1169" i="770"/>
  <c r="R1169" i="770" s="1"/>
  <c r="Q1168" i="770"/>
  <c r="R1168" i="770" s="1"/>
  <c r="N1168" i="770"/>
  <c r="T1168" i="770" s="1"/>
  <c r="Q1167" i="770"/>
  <c r="U1167" i="770" s="1"/>
  <c r="V1167" i="770" s="1"/>
  <c r="K1167" i="770"/>
  <c r="N1167" i="770" s="1"/>
  <c r="T1166" i="770"/>
  <c r="Q1166" i="770"/>
  <c r="R1166" i="770" s="1"/>
  <c r="N1166" i="770"/>
  <c r="V1165" i="770"/>
  <c r="U1165" i="770"/>
  <c r="T1165" i="770"/>
  <c r="R1165" i="770"/>
  <c r="Q1165" i="770"/>
  <c r="N1165" i="770"/>
  <c r="X1165" i="770" s="1"/>
  <c r="X1164" i="770"/>
  <c r="U1164" i="770"/>
  <c r="V1164" i="770" s="1"/>
  <c r="T1164" i="770"/>
  <c r="Q1164" i="770"/>
  <c r="R1164" i="770" s="1"/>
  <c r="X1163" i="770"/>
  <c r="V1163" i="770"/>
  <c r="U1163" i="770"/>
  <c r="Q1163" i="770"/>
  <c r="R1163" i="770" s="1"/>
  <c r="N1163" i="770"/>
  <c r="T1163" i="770" s="1"/>
  <c r="Q1162" i="770"/>
  <c r="U1162" i="770" s="1"/>
  <c r="N1162" i="770"/>
  <c r="T1162" i="770" s="1"/>
  <c r="X1161" i="770"/>
  <c r="V1161" i="770"/>
  <c r="R1161" i="770"/>
  <c r="Q1161" i="770"/>
  <c r="U1161" i="770" s="1"/>
  <c r="N1161" i="770"/>
  <c r="T1161" i="770" s="1"/>
  <c r="T1160" i="770"/>
  <c r="Q1160" i="770"/>
  <c r="U1160" i="770" s="1"/>
  <c r="V1160" i="770" s="1"/>
  <c r="N1160" i="770"/>
  <c r="T1159" i="770"/>
  <c r="Q1159" i="770"/>
  <c r="U1159" i="770" s="1"/>
  <c r="V1159" i="770" s="1"/>
  <c r="N1159" i="770"/>
  <c r="U1158" i="770"/>
  <c r="V1158" i="770" s="1"/>
  <c r="T1158" i="770"/>
  <c r="R1158" i="770"/>
  <c r="Q1158" i="770"/>
  <c r="N1158" i="770"/>
  <c r="X1158" i="770" s="1"/>
  <c r="U1157" i="770"/>
  <c r="V1157" i="770" s="1"/>
  <c r="T1157" i="770"/>
  <c r="Q1157" i="770"/>
  <c r="R1157" i="770" s="1"/>
  <c r="X1156" i="770"/>
  <c r="U1156" i="770"/>
  <c r="V1156" i="770" s="1"/>
  <c r="T1156" i="770"/>
  <c r="Q1156" i="770"/>
  <c r="N1156" i="770"/>
  <c r="Q1155" i="770"/>
  <c r="N1155" i="770"/>
  <c r="T1155" i="770" s="1"/>
  <c r="X1154" i="770"/>
  <c r="V1154" i="770"/>
  <c r="Q1154" i="770"/>
  <c r="U1154" i="770" s="1"/>
  <c r="N1154" i="770"/>
  <c r="T1154" i="770" s="1"/>
  <c r="X1153" i="770"/>
  <c r="T1153" i="770"/>
  <c r="R1153" i="770"/>
  <c r="Q1153" i="770"/>
  <c r="U1153" i="770" s="1"/>
  <c r="N1153" i="770"/>
  <c r="T1152" i="770"/>
  <c r="R1152" i="770"/>
  <c r="Q1152" i="770"/>
  <c r="U1152" i="770" s="1"/>
  <c r="T1151" i="770"/>
  <c r="R1151" i="770"/>
  <c r="Q1151" i="770"/>
  <c r="U1151" i="770" s="1"/>
  <c r="V1151" i="770" s="1"/>
  <c r="N1151" i="770"/>
  <c r="V1150" i="770"/>
  <c r="U1150" i="770"/>
  <c r="X1150" i="770" s="1"/>
  <c r="T1150" i="770"/>
  <c r="R1150" i="770"/>
  <c r="Q1150" i="770"/>
  <c r="V1149" i="770"/>
  <c r="U1149" i="770"/>
  <c r="T1149" i="770"/>
  <c r="R1149" i="770"/>
  <c r="Q1149" i="770"/>
  <c r="N1149" i="770"/>
  <c r="V1148" i="770"/>
  <c r="U1148" i="770"/>
  <c r="Q1148" i="770"/>
  <c r="N1148" i="770"/>
  <c r="T1148" i="770" s="1"/>
  <c r="Q1147" i="770"/>
  <c r="N1147" i="770"/>
  <c r="T1147" i="770" s="1"/>
  <c r="X1146" i="770"/>
  <c r="V1146" i="770"/>
  <c r="T1146" i="770"/>
  <c r="Q1146" i="770"/>
  <c r="U1146" i="770" s="1"/>
  <c r="R1145" i="770"/>
  <c r="Q1145" i="770"/>
  <c r="U1145" i="770" s="1"/>
  <c r="X1145" i="770" s="1"/>
  <c r="N1145" i="770"/>
  <c r="T1145" i="770" s="1"/>
  <c r="Q1144" i="770"/>
  <c r="U1144" i="770" s="1"/>
  <c r="N1144" i="770"/>
  <c r="X1144" i="770" s="1"/>
  <c r="T1143" i="770"/>
  <c r="Q1143" i="770"/>
  <c r="R1143" i="770" s="1"/>
  <c r="N1143" i="770"/>
  <c r="V1142" i="770"/>
  <c r="U1142" i="770"/>
  <c r="X1142" i="770" s="1"/>
  <c r="T1142" i="770"/>
  <c r="R1142" i="770"/>
  <c r="Q1142" i="770"/>
  <c r="N1142" i="770"/>
  <c r="X1141" i="770"/>
  <c r="U1141" i="770"/>
  <c r="V1141" i="770" s="1"/>
  <c r="T1141" i="770"/>
  <c r="Q1141" i="770"/>
  <c r="R1141" i="770" s="1"/>
  <c r="X1140" i="770"/>
  <c r="V1140" i="770"/>
  <c r="U1140" i="770"/>
  <c r="Q1140" i="770"/>
  <c r="R1140" i="770" s="1"/>
  <c r="N1140" i="770"/>
  <c r="T1140" i="770" s="1"/>
  <c r="T1139" i="770"/>
  <c r="Q1139" i="770"/>
  <c r="R1139" i="770" s="1"/>
  <c r="V1138" i="770"/>
  <c r="U1138" i="770"/>
  <c r="X1138" i="770" s="1"/>
  <c r="T1138" i="770"/>
  <c r="Q1138" i="770"/>
  <c r="R1138" i="770" s="1"/>
  <c r="X1137" i="770"/>
  <c r="U1137" i="770"/>
  <c r="V1137" i="770" s="1"/>
  <c r="T1137" i="770"/>
  <c r="Q1137" i="770"/>
  <c r="R1137" i="770" s="1"/>
  <c r="T1136" i="770"/>
  <c r="Q1136" i="770"/>
  <c r="R1136" i="770" s="1"/>
  <c r="U1135" i="770"/>
  <c r="X1135" i="770" s="1"/>
  <c r="T1135" i="770"/>
  <c r="Q1135" i="770"/>
  <c r="R1135" i="770" s="1"/>
  <c r="T1134" i="770"/>
  <c r="Q1134" i="770"/>
  <c r="R1134" i="770" s="1"/>
  <c r="T1133" i="770"/>
  <c r="Q1133" i="770"/>
  <c r="R1133" i="770" s="1"/>
  <c r="U1132" i="770"/>
  <c r="X1132" i="770" s="1"/>
  <c r="T1132" i="770"/>
  <c r="Q1132" i="770"/>
  <c r="R1132" i="770" s="1"/>
  <c r="U1131" i="770"/>
  <c r="X1131" i="770" s="1"/>
  <c r="Q1131" i="770"/>
  <c r="R1131" i="770" s="1"/>
  <c r="N1131" i="770"/>
  <c r="T1131" i="770" s="1"/>
  <c r="Q1130" i="770"/>
  <c r="U1130" i="770" s="1"/>
  <c r="N1130" i="770"/>
  <c r="T1130" i="770" s="1"/>
  <c r="Q1129" i="770"/>
  <c r="U1129" i="770" s="1"/>
  <c r="N1129" i="770"/>
  <c r="T1129" i="770" s="1"/>
  <c r="R1128" i="770"/>
  <c r="Q1128" i="770"/>
  <c r="U1128" i="770" s="1"/>
  <c r="V1128" i="770" s="1"/>
  <c r="M1128" i="770"/>
  <c r="N1128" i="770" s="1"/>
  <c r="Q1127" i="770"/>
  <c r="N1127" i="770"/>
  <c r="R1126" i="770"/>
  <c r="Q1126" i="770"/>
  <c r="U1126" i="770" s="1"/>
  <c r="N1126" i="770"/>
  <c r="T1126" i="770" s="1"/>
  <c r="Q1125" i="770"/>
  <c r="U1125" i="770" s="1"/>
  <c r="N1125" i="770"/>
  <c r="T1124" i="770"/>
  <c r="R1124" i="770"/>
  <c r="Q1124" i="770"/>
  <c r="U1124" i="770" s="1"/>
  <c r="U1123" i="770"/>
  <c r="V1123" i="770" s="1"/>
  <c r="Q1123" i="770"/>
  <c r="R1123" i="770" s="1"/>
  <c r="N1123" i="770"/>
  <c r="X1123" i="770" s="1"/>
  <c r="V1122" i="770"/>
  <c r="U1122" i="770"/>
  <c r="T1122" i="770"/>
  <c r="Q1122" i="770"/>
  <c r="R1122" i="770" s="1"/>
  <c r="N1122" i="770"/>
  <c r="U1121" i="770"/>
  <c r="Q1121" i="770"/>
  <c r="N1121" i="770"/>
  <c r="M1121" i="770"/>
  <c r="U1120" i="770"/>
  <c r="V1120" i="770" s="1"/>
  <c r="Q1120" i="770"/>
  <c r="R1120" i="770" s="1"/>
  <c r="N1120" i="770"/>
  <c r="T1120" i="770" s="1"/>
  <c r="Q1119" i="770"/>
  <c r="N1119" i="770"/>
  <c r="T1119" i="770" s="1"/>
  <c r="T1118" i="770"/>
  <c r="Q1118" i="770"/>
  <c r="U1118" i="770" s="1"/>
  <c r="Q1117" i="770"/>
  <c r="N1117" i="770"/>
  <c r="M1117" i="770"/>
  <c r="U1116" i="770"/>
  <c r="V1116" i="770" s="1"/>
  <c r="Q1116" i="770"/>
  <c r="M1116" i="770"/>
  <c r="N1116" i="770" s="1"/>
  <c r="U1115" i="770"/>
  <c r="Q1115" i="770"/>
  <c r="M1115" i="770"/>
  <c r="N1115" i="770" s="1"/>
  <c r="U1114" i="770"/>
  <c r="V1114" i="770" s="1"/>
  <c r="T1114" i="770"/>
  <c r="Q1114" i="770"/>
  <c r="R1114" i="770" s="1"/>
  <c r="U1113" i="770"/>
  <c r="V1113" i="770" s="1"/>
  <c r="T1113" i="770"/>
  <c r="R1113" i="770"/>
  <c r="Q1113" i="770"/>
  <c r="U1112" i="770"/>
  <c r="T1112" i="770"/>
  <c r="Q1112" i="770"/>
  <c r="R1112" i="770" s="1"/>
  <c r="T1111" i="770"/>
  <c r="Q1111" i="770"/>
  <c r="X1110" i="770"/>
  <c r="T1110" i="770"/>
  <c r="R1110" i="770"/>
  <c r="Q1110" i="770"/>
  <c r="U1110" i="770" s="1"/>
  <c r="V1110" i="770" s="1"/>
  <c r="U1109" i="770"/>
  <c r="T1109" i="770"/>
  <c r="Q1109" i="770"/>
  <c r="R1109" i="770" s="1"/>
  <c r="U1108" i="770"/>
  <c r="Q1108" i="770"/>
  <c r="N1108" i="770"/>
  <c r="X1108" i="770" s="1"/>
  <c r="U1107" i="770"/>
  <c r="V1107" i="770" s="1"/>
  <c r="T1107" i="770"/>
  <c r="Q1107" i="770"/>
  <c r="R1107" i="770" s="1"/>
  <c r="M1107" i="770"/>
  <c r="N1107" i="770" s="1"/>
  <c r="U1106" i="770"/>
  <c r="V1106" i="770" s="1"/>
  <c r="Q1106" i="770"/>
  <c r="N1106" i="770"/>
  <c r="U1105" i="770"/>
  <c r="V1105" i="770" s="1"/>
  <c r="Q1105" i="770"/>
  <c r="R1105" i="770" s="1"/>
  <c r="N1105" i="770"/>
  <c r="T1105" i="770" s="1"/>
  <c r="V1104" i="770"/>
  <c r="T1104" i="770"/>
  <c r="Q1104" i="770"/>
  <c r="U1104" i="770" s="1"/>
  <c r="N1104" i="770"/>
  <c r="X1104" i="770" s="1"/>
  <c r="U1103" i="770"/>
  <c r="V1103" i="770" s="1"/>
  <c r="T1103" i="770"/>
  <c r="Q1103" i="770"/>
  <c r="R1103" i="770" s="1"/>
  <c r="N1103" i="770"/>
  <c r="X1103" i="770" s="1"/>
  <c r="U1102" i="770"/>
  <c r="T1102" i="770"/>
  <c r="Q1102" i="770"/>
  <c r="R1102" i="770" s="1"/>
  <c r="V1101" i="770"/>
  <c r="U1101" i="770"/>
  <c r="X1101" i="770" s="1"/>
  <c r="T1101" i="770"/>
  <c r="R1101" i="770"/>
  <c r="Q1101" i="770"/>
  <c r="T1100" i="770"/>
  <c r="Q1100" i="770"/>
  <c r="U1100" i="770" s="1"/>
  <c r="T1099" i="770"/>
  <c r="Q1099" i="770"/>
  <c r="M1099" i="770"/>
  <c r="N1099" i="770" s="1"/>
  <c r="Q1098" i="770"/>
  <c r="N1098" i="770"/>
  <c r="T1098" i="770" s="1"/>
  <c r="U1097" i="770"/>
  <c r="V1097" i="770" s="1"/>
  <c r="Q1097" i="770"/>
  <c r="R1097" i="770" s="1"/>
  <c r="N1097" i="770"/>
  <c r="T1096" i="770"/>
  <c r="Q1096" i="770"/>
  <c r="U1096" i="770" s="1"/>
  <c r="X1095" i="770"/>
  <c r="R1095" i="770"/>
  <c r="Q1095" i="770"/>
  <c r="U1095" i="770" s="1"/>
  <c r="V1095" i="770" s="1"/>
  <c r="N1095" i="770"/>
  <c r="T1095" i="770" s="1"/>
  <c r="T1094" i="770"/>
  <c r="Q1094" i="770"/>
  <c r="X1093" i="770"/>
  <c r="U1093" i="770"/>
  <c r="V1093" i="770" s="1"/>
  <c r="Q1093" i="770"/>
  <c r="R1093" i="770" s="1"/>
  <c r="N1093" i="770"/>
  <c r="T1093" i="770" s="1"/>
  <c r="V1092" i="770"/>
  <c r="U1092" i="770"/>
  <c r="X1092" i="770" s="1"/>
  <c r="T1092" i="770"/>
  <c r="Q1092" i="770"/>
  <c r="R1092" i="770" s="1"/>
  <c r="U1091" i="770"/>
  <c r="V1091" i="770" s="1"/>
  <c r="T1091" i="770"/>
  <c r="Q1091" i="770"/>
  <c r="R1091" i="770" s="1"/>
  <c r="N1091" i="770"/>
  <c r="X1091" i="770" s="1"/>
  <c r="U1090" i="770"/>
  <c r="Q1090" i="770"/>
  <c r="N1090" i="770"/>
  <c r="Q1089" i="770"/>
  <c r="N1089" i="770"/>
  <c r="T1089" i="770" s="1"/>
  <c r="Q1088" i="770"/>
  <c r="R1088" i="770" s="1"/>
  <c r="N1088" i="770"/>
  <c r="T1088" i="770" s="1"/>
  <c r="Q1087" i="770"/>
  <c r="N1087" i="770"/>
  <c r="T1087" i="770" s="1"/>
  <c r="U1086" i="770"/>
  <c r="V1086" i="770" s="1"/>
  <c r="Q1086" i="770"/>
  <c r="R1086" i="770" s="1"/>
  <c r="N1086" i="770"/>
  <c r="T1086" i="770" s="1"/>
  <c r="U1085" i="770"/>
  <c r="V1085" i="770" s="1"/>
  <c r="T1085" i="770"/>
  <c r="Q1085" i="770"/>
  <c r="R1085" i="770" s="1"/>
  <c r="N1085" i="770"/>
  <c r="X1084" i="770"/>
  <c r="V1084" i="770"/>
  <c r="U1084" i="770"/>
  <c r="T1084" i="770"/>
  <c r="R1084" i="770"/>
  <c r="Q1084" i="770"/>
  <c r="X1083" i="770"/>
  <c r="V1083" i="770"/>
  <c r="U1083" i="770"/>
  <c r="T1083" i="770"/>
  <c r="R1083" i="770"/>
  <c r="Q1083" i="770"/>
  <c r="U1082" i="770"/>
  <c r="R1082" i="770"/>
  <c r="Q1082" i="770"/>
  <c r="N1082" i="770"/>
  <c r="T1082" i="770" s="1"/>
  <c r="T1081" i="770"/>
  <c r="Q1081" i="770"/>
  <c r="R1081" i="770" s="1"/>
  <c r="T1080" i="770"/>
  <c r="Q1080" i="770"/>
  <c r="V1079" i="770"/>
  <c r="U1079" i="770"/>
  <c r="X1079" i="770" s="1"/>
  <c r="T1079" i="770"/>
  <c r="Q1079" i="770"/>
  <c r="R1079" i="770" s="1"/>
  <c r="T1078" i="770"/>
  <c r="Q1078" i="770"/>
  <c r="R1078" i="770" s="1"/>
  <c r="Q1077" i="770"/>
  <c r="R1077" i="770" s="1"/>
  <c r="N1077" i="770"/>
  <c r="T1077" i="770" s="1"/>
  <c r="X1076" i="770"/>
  <c r="V1076" i="770"/>
  <c r="R1076" i="770"/>
  <c r="Q1076" i="770"/>
  <c r="U1076" i="770" s="1"/>
  <c r="N1076" i="770"/>
  <c r="T1076" i="770" s="1"/>
  <c r="X1075" i="770"/>
  <c r="T1075" i="770"/>
  <c r="R1075" i="770"/>
  <c r="Q1075" i="770"/>
  <c r="U1075" i="770" s="1"/>
  <c r="V1075" i="770" s="1"/>
  <c r="N1075" i="770"/>
  <c r="M1075" i="770"/>
  <c r="V1074" i="770"/>
  <c r="U1074" i="770"/>
  <c r="T1074" i="770"/>
  <c r="R1074" i="770"/>
  <c r="Q1074" i="770"/>
  <c r="N1074" i="770"/>
  <c r="U1073" i="770"/>
  <c r="X1073" i="770" s="1"/>
  <c r="T1073" i="770"/>
  <c r="Q1073" i="770"/>
  <c r="R1073" i="770" s="1"/>
  <c r="U1072" i="770"/>
  <c r="X1072" i="770" s="1"/>
  <c r="Q1072" i="770"/>
  <c r="R1072" i="770" s="1"/>
  <c r="T1071" i="770"/>
  <c r="Q1071" i="770"/>
  <c r="R1071" i="770" s="1"/>
  <c r="N1071" i="770"/>
  <c r="V1070" i="770"/>
  <c r="U1070" i="770"/>
  <c r="T1070" i="770"/>
  <c r="R1070" i="770"/>
  <c r="Q1070" i="770"/>
  <c r="N1070" i="770"/>
  <c r="X1070" i="770" s="1"/>
  <c r="X1069" i="770"/>
  <c r="U1069" i="770"/>
  <c r="Q1069" i="770"/>
  <c r="R1069" i="770" s="1"/>
  <c r="U1068" i="770"/>
  <c r="T1068" i="770"/>
  <c r="R1068" i="770"/>
  <c r="Q1068" i="770"/>
  <c r="N1068" i="770"/>
  <c r="U1067" i="770"/>
  <c r="X1067" i="770" s="1"/>
  <c r="T1067" i="770"/>
  <c r="R1067" i="770"/>
  <c r="Q1067" i="770"/>
  <c r="N1067" i="770"/>
  <c r="V1066" i="770"/>
  <c r="U1066" i="770"/>
  <c r="X1066" i="770" s="1"/>
  <c r="T1066" i="770"/>
  <c r="Q1066" i="770"/>
  <c r="R1066" i="770" s="1"/>
  <c r="U1065" i="770"/>
  <c r="V1065" i="770" s="1"/>
  <c r="T1065" i="770"/>
  <c r="Q1065" i="770"/>
  <c r="R1065" i="770" s="1"/>
  <c r="N1065" i="770"/>
  <c r="X1065" i="770" s="1"/>
  <c r="M1065" i="770"/>
  <c r="Q1064" i="770"/>
  <c r="U1064" i="770" s="1"/>
  <c r="V1064" i="770" s="1"/>
  <c r="N1064" i="770"/>
  <c r="T1064" i="770" s="1"/>
  <c r="T1063" i="770"/>
  <c r="R1063" i="770"/>
  <c r="Q1063" i="770"/>
  <c r="U1063" i="770" s="1"/>
  <c r="V1063" i="770" s="1"/>
  <c r="X1062" i="770"/>
  <c r="T1062" i="770"/>
  <c r="Q1062" i="770"/>
  <c r="U1062" i="770" s="1"/>
  <c r="V1062" i="770" s="1"/>
  <c r="X1061" i="770"/>
  <c r="T1061" i="770"/>
  <c r="R1061" i="770"/>
  <c r="Q1061" i="770"/>
  <c r="U1061" i="770" s="1"/>
  <c r="V1061" i="770" s="1"/>
  <c r="N1061" i="770"/>
  <c r="T1060" i="770"/>
  <c r="R1060" i="770"/>
  <c r="Q1060" i="770"/>
  <c r="U1060" i="770" s="1"/>
  <c r="T1059" i="770"/>
  <c r="Q1059" i="770"/>
  <c r="R1059" i="770" s="1"/>
  <c r="U1058" i="770"/>
  <c r="T1058" i="770"/>
  <c r="R1058" i="770"/>
  <c r="Q1058" i="770"/>
  <c r="T1057" i="770"/>
  <c r="R1057" i="770"/>
  <c r="Q1057" i="770"/>
  <c r="U1057" i="770" s="1"/>
  <c r="V1057" i="770" s="1"/>
  <c r="M1057" i="770"/>
  <c r="N1057" i="770" s="1"/>
  <c r="U1056" i="770"/>
  <c r="V1056" i="770" s="1"/>
  <c r="T1056" i="770"/>
  <c r="Q1056" i="770"/>
  <c r="R1056" i="770" s="1"/>
  <c r="U1055" i="770"/>
  <c r="V1055" i="770" s="1"/>
  <c r="T1055" i="770"/>
  <c r="Q1055" i="770"/>
  <c r="R1055" i="770" s="1"/>
  <c r="N1055" i="770"/>
  <c r="X1055" i="770" s="1"/>
  <c r="Q1054" i="770"/>
  <c r="R1054" i="770" s="1"/>
  <c r="N1054" i="770"/>
  <c r="T1054" i="770" s="1"/>
  <c r="Q1053" i="770"/>
  <c r="U1053" i="770" s="1"/>
  <c r="X1053" i="770" s="1"/>
  <c r="N1053" i="770"/>
  <c r="T1053" i="770" s="1"/>
  <c r="Q1052" i="770"/>
  <c r="U1052" i="770" s="1"/>
  <c r="N1052" i="770"/>
  <c r="X1052" i="770" s="1"/>
  <c r="U1051" i="770"/>
  <c r="V1051" i="770" s="1"/>
  <c r="T1051" i="770"/>
  <c r="Q1051" i="770"/>
  <c r="R1051" i="770" s="1"/>
  <c r="N1051" i="770"/>
  <c r="X1051" i="770" s="1"/>
  <c r="V1050" i="770"/>
  <c r="U1050" i="770"/>
  <c r="X1050" i="770" s="1"/>
  <c r="T1050" i="770"/>
  <c r="R1050" i="770"/>
  <c r="Q1050" i="770"/>
  <c r="X1049" i="770"/>
  <c r="U1049" i="770"/>
  <c r="R1049" i="770"/>
  <c r="Q1049" i="770"/>
  <c r="R1048" i="770"/>
  <c r="Q1048" i="770"/>
  <c r="U1048" i="770" s="1"/>
  <c r="V1048" i="770" s="1"/>
  <c r="N1048" i="770"/>
  <c r="X1048" i="770" s="1"/>
  <c r="T1047" i="770"/>
  <c r="R1047" i="770"/>
  <c r="Q1047" i="770"/>
  <c r="U1047" i="770" s="1"/>
  <c r="U1046" i="770"/>
  <c r="V1046" i="770" s="1"/>
  <c r="T1046" i="770"/>
  <c r="Q1046" i="770"/>
  <c r="R1046" i="770" s="1"/>
  <c r="N1046" i="770"/>
  <c r="X1046" i="770" s="1"/>
  <c r="X1045" i="770"/>
  <c r="U1045" i="770"/>
  <c r="Q1045" i="770"/>
  <c r="M1045" i="770"/>
  <c r="N1045" i="770" s="1"/>
  <c r="R1045" i="770" s="1"/>
  <c r="T1044" i="770"/>
  <c r="R1044" i="770"/>
  <c r="Q1044" i="770"/>
  <c r="U1044" i="770" s="1"/>
  <c r="Q1043" i="770"/>
  <c r="U1043" i="770" s="1"/>
  <c r="V1043" i="770" s="1"/>
  <c r="N1043" i="770"/>
  <c r="T1043" i="770" s="1"/>
  <c r="X1042" i="770"/>
  <c r="V1042" i="770"/>
  <c r="T1042" i="770"/>
  <c r="Q1042" i="770"/>
  <c r="U1042" i="770" s="1"/>
  <c r="X1041" i="770"/>
  <c r="V1041" i="770"/>
  <c r="R1041" i="770"/>
  <c r="Q1041" i="770"/>
  <c r="U1041" i="770" s="1"/>
  <c r="N1041" i="770"/>
  <c r="T1041" i="770" s="1"/>
  <c r="U1040" i="770"/>
  <c r="V1040" i="770" s="1"/>
  <c r="T1040" i="770"/>
  <c r="R1040" i="770"/>
  <c r="Q1040" i="770"/>
  <c r="N1040" i="770"/>
  <c r="T1039" i="770"/>
  <c r="R1039" i="770"/>
  <c r="Q1039" i="770"/>
  <c r="U1039" i="770" s="1"/>
  <c r="Q1038" i="770"/>
  <c r="U1038" i="770" s="1"/>
  <c r="V1038" i="770" s="1"/>
  <c r="K1038" i="770"/>
  <c r="N1038" i="770" s="1"/>
  <c r="T1037" i="770"/>
  <c r="Q1037" i="770"/>
  <c r="R1037" i="770" s="1"/>
  <c r="N1037" i="770"/>
  <c r="Q1036" i="770"/>
  <c r="K1036" i="770"/>
  <c r="N1036" i="770" s="1"/>
  <c r="T1035" i="770"/>
  <c r="R1035" i="770"/>
  <c r="Q1035" i="770"/>
  <c r="U1035" i="770" s="1"/>
  <c r="Q1034" i="770"/>
  <c r="U1034" i="770" s="1"/>
  <c r="N1034" i="770"/>
  <c r="X1034" i="770" s="1"/>
  <c r="U1033" i="770"/>
  <c r="V1033" i="770" s="1"/>
  <c r="T1033" i="770"/>
  <c r="Q1033" i="770"/>
  <c r="R1033" i="770" s="1"/>
  <c r="N1033" i="770"/>
  <c r="X1033" i="770" s="1"/>
  <c r="V1032" i="770"/>
  <c r="U1032" i="770"/>
  <c r="X1032" i="770" s="1"/>
  <c r="T1032" i="770"/>
  <c r="R1032" i="770"/>
  <c r="Q1032" i="770"/>
  <c r="X1031" i="770"/>
  <c r="U1031" i="770"/>
  <c r="R1031" i="770"/>
  <c r="Q1031" i="770"/>
  <c r="R1030" i="770"/>
  <c r="Q1030" i="770"/>
  <c r="U1030" i="770" s="1"/>
  <c r="V1030" i="770" s="1"/>
  <c r="N1030" i="770"/>
  <c r="X1030" i="770" s="1"/>
  <c r="Q1029" i="770"/>
  <c r="U1029" i="770" s="1"/>
  <c r="V1029" i="770" s="1"/>
  <c r="M1029" i="770"/>
  <c r="N1029" i="770" s="1"/>
  <c r="T1028" i="770"/>
  <c r="Q1028" i="770"/>
  <c r="R1028" i="770" s="1"/>
  <c r="N1028" i="770"/>
  <c r="T1027" i="770"/>
  <c r="Q1027" i="770"/>
  <c r="R1027" i="770" s="1"/>
  <c r="Q1026" i="770"/>
  <c r="U1026" i="770" s="1"/>
  <c r="N1026" i="770"/>
  <c r="T1026" i="770" s="1"/>
  <c r="X1025" i="770"/>
  <c r="U1025" i="770"/>
  <c r="Q1025" i="770"/>
  <c r="R1025" i="770" s="1"/>
  <c r="V1024" i="770"/>
  <c r="U1024" i="770"/>
  <c r="X1024" i="770" s="1"/>
  <c r="T1024" i="770"/>
  <c r="Q1024" i="770"/>
  <c r="R1024" i="770" s="1"/>
  <c r="U1023" i="770"/>
  <c r="X1023" i="770" s="1"/>
  <c r="T1023" i="770"/>
  <c r="Q1023" i="770"/>
  <c r="R1023" i="770" s="1"/>
  <c r="T1022" i="770"/>
  <c r="Q1022" i="770"/>
  <c r="R1022" i="770" s="1"/>
  <c r="Q1021" i="770"/>
  <c r="R1021" i="770" s="1"/>
  <c r="N1021" i="770"/>
  <c r="T1021" i="770" s="1"/>
  <c r="T1020" i="770"/>
  <c r="R1020" i="770"/>
  <c r="Q1020" i="770"/>
  <c r="U1020" i="770" s="1"/>
  <c r="Q1019" i="770"/>
  <c r="U1019" i="770" s="1"/>
  <c r="N1019" i="770"/>
  <c r="T1019" i="770" s="1"/>
  <c r="T1018" i="770"/>
  <c r="Q1018" i="770"/>
  <c r="U1018" i="770" s="1"/>
  <c r="X1018" i="770" s="1"/>
  <c r="Q1017" i="770"/>
  <c r="U1017" i="770" s="1"/>
  <c r="N1017" i="770"/>
  <c r="X1017" i="770" s="1"/>
  <c r="X1016" i="770"/>
  <c r="U1016" i="770"/>
  <c r="V1016" i="770" s="1"/>
  <c r="T1016" i="770"/>
  <c r="Q1016" i="770"/>
  <c r="R1016" i="770" s="1"/>
  <c r="Q1015" i="770"/>
  <c r="U1015" i="770" s="1"/>
  <c r="X1015" i="770" s="1"/>
  <c r="R1014" i="770"/>
  <c r="Q1014" i="770"/>
  <c r="U1014" i="770" s="1"/>
  <c r="V1014" i="770" s="1"/>
  <c r="N1014" i="770"/>
  <c r="T1014" i="770" s="1"/>
  <c r="T1013" i="770"/>
  <c r="R1013" i="770"/>
  <c r="Q1013" i="770"/>
  <c r="U1013" i="770" s="1"/>
  <c r="X1013" i="770" s="1"/>
  <c r="T1012" i="770"/>
  <c r="Q1012" i="770"/>
  <c r="U1012" i="770" s="1"/>
  <c r="X1012" i="770" s="1"/>
  <c r="X1011" i="770"/>
  <c r="V1011" i="770"/>
  <c r="T1011" i="770"/>
  <c r="Q1011" i="770"/>
  <c r="U1011" i="770" s="1"/>
  <c r="X1010" i="770"/>
  <c r="V1010" i="770"/>
  <c r="T1010" i="770"/>
  <c r="R1010" i="770"/>
  <c r="Q1010" i="770"/>
  <c r="U1010" i="770" s="1"/>
  <c r="N1010" i="770"/>
  <c r="X1009" i="770"/>
  <c r="U1009" i="770"/>
  <c r="V1009" i="770" s="1"/>
  <c r="T1009" i="770"/>
  <c r="R1009" i="770"/>
  <c r="Q1009" i="770"/>
  <c r="N1009" i="770"/>
  <c r="V1008" i="770"/>
  <c r="U1008" i="770"/>
  <c r="T1008" i="770"/>
  <c r="R1008" i="770"/>
  <c r="Q1008" i="770"/>
  <c r="N1008" i="770"/>
  <c r="X1007" i="770"/>
  <c r="V1007" i="770"/>
  <c r="U1007" i="770"/>
  <c r="Q1007" i="770"/>
  <c r="N1007" i="770"/>
  <c r="T1007" i="770" s="1"/>
  <c r="U1006" i="770"/>
  <c r="Q1006" i="770"/>
  <c r="N1006" i="770"/>
  <c r="X1006" i="770" s="1"/>
  <c r="K1006" i="770"/>
  <c r="T1005" i="770"/>
  <c r="Q1005" i="770"/>
  <c r="U1005" i="770" s="1"/>
  <c r="X1005" i="770" s="1"/>
  <c r="Q1004" i="770"/>
  <c r="U1004" i="770" s="1"/>
  <c r="N1004" i="770"/>
  <c r="X1004" i="770" s="1"/>
  <c r="K1004" i="770"/>
  <c r="Q1003" i="770"/>
  <c r="R1003" i="770" s="1"/>
  <c r="K1003" i="770"/>
  <c r="G1003" i="770"/>
  <c r="N1003" i="770" s="1"/>
  <c r="T1003" i="770" s="1"/>
  <c r="R1002" i="770"/>
  <c r="Q1002" i="770"/>
  <c r="U1002" i="770" s="1"/>
  <c r="V1002" i="770" s="1"/>
  <c r="N1002" i="770"/>
  <c r="T1002" i="770" s="1"/>
  <c r="M1002" i="770"/>
  <c r="T1001" i="770"/>
  <c r="Q1001" i="770"/>
  <c r="U1001" i="770" s="1"/>
  <c r="V1001" i="770" s="1"/>
  <c r="N1001" i="770"/>
  <c r="K1001" i="770"/>
  <c r="V1000" i="770"/>
  <c r="U1000" i="770"/>
  <c r="X1000" i="770" s="1"/>
  <c r="T1000" i="770"/>
  <c r="R1000" i="770"/>
  <c r="Q1000" i="770"/>
  <c r="U999" i="770"/>
  <c r="Q999" i="770"/>
  <c r="K999" i="770"/>
  <c r="N999" i="770" s="1"/>
  <c r="X998" i="770"/>
  <c r="U998" i="770"/>
  <c r="Q998" i="770"/>
  <c r="R998" i="770" s="1"/>
  <c r="N998" i="770"/>
  <c r="T998" i="770" s="1"/>
  <c r="X997" i="770"/>
  <c r="V997" i="770"/>
  <c r="T997" i="770"/>
  <c r="Q997" i="770"/>
  <c r="U997" i="770" s="1"/>
  <c r="X996" i="770"/>
  <c r="V996" i="770"/>
  <c r="T996" i="770"/>
  <c r="R996" i="770"/>
  <c r="Q996" i="770"/>
  <c r="U996" i="770" s="1"/>
  <c r="V995" i="770"/>
  <c r="T995" i="770"/>
  <c r="R995" i="770"/>
  <c r="Q995" i="770"/>
  <c r="U995" i="770" s="1"/>
  <c r="X995" i="770" s="1"/>
  <c r="N995" i="770"/>
  <c r="U994" i="770"/>
  <c r="V994" i="770" s="1"/>
  <c r="T994" i="770"/>
  <c r="R994" i="770"/>
  <c r="Q994" i="770"/>
  <c r="N994" i="770"/>
  <c r="U993" i="770"/>
  <c r="V993" i="770" s="1"/>
  <c r="T993" i="770"/>
  <c r="R993" i="770"/>
  <c r="Q993" i="770"/>
  <c r="N993" i="770"/>
  <c r="V992" i="770"/>
  <c r="U992" i="770"/>
  <c r="X992" i="770" s="1"/>
  <c r="T992" i="770"/>
  <c r="R992" i="770"/>
  <c r="Q992" i="770"/>
  <c r="N992" i="770"/>
  <c r="U991" i="770"/>
  <c r="X991" i="770" s="1"/>
  <c r="T991" i="770"/>
  <c r="Q991" i="770"/>
  <c r="N991" i="770"/>
  <c r="X990" i="770"/>
  <c r="V990" i="770"/>
  <c r="U990" i="770"/>
  <c r="T990" i="770"/>
  <c r="Q990" i="770"/>
  <c r="R990" i="770" s="1"/>
  <c r="U989" i="770"/>
  <c r="X989" i="770" s="1"/>
  <c r="R989" i="770"/>
  <c r="Q989" i="770"/>
  <c r="N989" i="770"/>
  <c r="T989" i="770" s="1"/>
  <c r="X988" i="770"/>
  <c r="V988" i="770"/>
  <c r="T988" i="770"/>
  <c r="R988" i="770"/>
  <c r="Q988" i="770"/>
  <c r="U988" i="770" s="1"/>
  <c r="V987" i="770"/>
  <c r="T987" i="770"/>
  <c r="R987" i="770"/>
  <c r="Q987" i="770"/>
  <c r="U987" i="770" s="1"/>
  <c r="X987" i="770" s="1"/>
  <c r="T986" i="770"/>
  <c r="R986" i="770"/>
  <c r="Q986" i="770"/>
  <c r="U986" i="770" s="1"/>
  <c r="V986" i="770" s="1"/>
  <c r="N986" i="770"/>
  <c r="X986" i="770" s="1"/>
  <c r="T985" i="770"/>
  <c r="Q985" i="770"/>
  <c r="U985" i="770" s="1"/>
  <c r="V985" i="770" s="1"/>
  <c r="N985" i="770"/>
  <c r="M985" i="770"/>
  <c r="U984" i="770"/>
  <c r="Q984" i="770"/>
  <c r="M984" i="770"/>
  <c r="N984" i="770" s="1"/>
  <c r="T983" i="770"/>
  <c r="Q983" i="770"/>
  <c r="U983" i="770" s="1"/>
  <c r="X982" i="770"/>
  <c r="U982" i="770"/>
  <c r="Q982" i="770"/>
  <c r="R982" i="770" s="1"/>
  <c r="N982" i="770"/>
  <c r="T982" i="770" s="1"/>
  <c r="Q981" i="770"/>
  <c r="U981" i="770" s="1"/>
  <c r="N981" i="770"/>
  <c r="X981" i="770" s="1"/>
  <c r="X980" i="770"/>
  <c r="U980" i="770"/>
  <c r="Q980" i="770"/>
  <c r="R980" i="770" s="1"/>
  <c r="N980" i="770"/>
  <c r="T980" i="770" s="1"/>
  <c r="U979" i="770"/>
  <c r="X979" i="770" s="1"/>
  <c r="T979" i="770"/>
  <c r="Q979" i="770"/>
  <c r="R979" i="770" s="1"/>
  <c r="V978" i="770"/>
  <c r="U978" i="770"/>
  <c r="X978" i="770" s="1"/>
  <c r="T978" i="770"/>
  <c r="R978" i="770"/>
  <c r="Q978" i="770"/>
  <c r="U977" i="770"/>
  <c r="X977" i="770" s="1"/>
  <c r="T977" i="770"/>
  <c r="R977" i="770"/>
  <c r="Q977" i="770"/>
  <c r="T976" i="770"/>
  <c r="R976" i="770"/>
  <c r="Q976" i="770"/>
  <c r="U976" i="770" s="1"/>
  <c r="V976" i="770" s="1"/>
  <c r="K976" i="770"/>
  <c r="N976" i="770" s="1"/>
  <c r="T975" i="770"/>
  <c r="Q975" i="770"/>
  <c r="R975" i="770" s="1"/>
  <c r="N975" i="770"/>
  <c r="U974" i="770"/>
  <c r="V974" i="770" s="1"/>
  <c r="T974" i="770"/>
  <c r="R974" i="770"/>
  <c r="Q974" i="770"/>
  <c r="N974" i="770"/>
  <c r="X974" i="770" s="1"/>
  <c r="V973" i="770"/>
  <c r="T973" i="770"/>
  <c r="R973" i="770"/>
  <c r="Q973" i="770"/>
  <c r="U973" i="770" s="1"/>
  <c r="X973" i="770" s="1"/>
  <c r="U972" i="770"/>
  <c r="V972" i="770" s="1"/>
  <c r="T972" i="770"/>
  <c r="R972" i="770"/>
  <c r="Q972" i="770"/>
  <c r="N972" i="770"/>
  <c r="U971" i="770"/>
  <c r="V971" i="770" s="1"/>
  <c r="T971" i="770"/>
  <c r="R971" i="770"/>
  <c r="Q971" i="770"/>
  <c r="N971" i="770"/>
  <c r="V970" i="770"/>
  <c r="U970" i="770"/>
  <c r="X970" i="770" s="1"/>
  <c r="T970" i="770"/>
  <c r="R970" i="770"/>
  <c r="Q970" i="770"/>
  <c r="N970" i="770"/>
  <c r="U969" i="770"/>
  <c r="Q969" i="770"/>
  <c r="N969" i="770"/>
  <c r="K969" i="770"/>
  <c r="T968" i="770"/>
  <c r="R968" i="770"/>
  <c r="Q968" i="770"/>
  <c r="U968" i="770" s="1"/>
  <c r="R967" i="770"/>
  <c r="Q967" i="770"/>
  <c r="U967" i="770" s="1"/>
  <c r="V967" i="770" s="1"/>
  <c r="N967" i="770"/>
  <c r="T967" i="770" s="1"/>
  <c r="M967" i="770"/>
  <c r="U966" i="770"/>
  <c r="V966" i="770" s="1"/>
  <c r="T966" i="770"/>
  <c r="R966" i="770"/>
  <c r="Q966" i="770"/>
  <c r="U965" i="770"/>
  <c r="V965" i="770" s="1"/>
  <c r="T965" i="770"/>
  <c r="R965" i="770"/>
  <c r="Q965" i="770"/>
  <c r="N965" i="770"/>
  <c r="V964" i="770"/>
  <c r="U964" i="770"/>
  <c r="X964" i="770" s="1"/>
  <c r="T964" i="770"/>
  <c r="R964" i="770"/>
  <c r="Q964" i="770"/>
  <c r="V963" i="770"/>
  <c r="U963" i="770"/>
  <c r="X963" i="770" s="1"/>
  <c r="T963" i="770"/>
  <c r="R963" i="770"/>
  <c r="Q963" i="770"/>
  <c r="V962" i="770"/>
  <c r="U962" i="770"/>
  <c r="X962" i="770" s="1"/>
  <c r="T962" i="770"/>
  <c r="R962" i="770"/>
  <c r="Q962" i="770"/>
  <c r="U961" i="770"/>
  <c r="X961" i="770" s="1"/>
  <c r="T961" i="770"/>
  <c r="R961" i="770"/>
  <c r="Q961" i="770"/>
  <c r="N961" i="770"/>
  <c r="U960" i="770"/>
  <c r="T960" i="770"/>
  <c r="Q960" i="770"/>
  <c r="R960" i="770" s="1"/>
  <c r="X959" i="770"/>
  <c r="V959" i="770"/>
  <c r="U959" i="770"/>
  <c r="Q959" i="770"/>
  <c r="R959" i="770" s="1"/>
  <c r="N959" i="770"/>
  <c r="T959" i="770" s="1"/>
  <c r="T958" i="770"/>
  <c r="Q958" i="770"/>
  <c r="Q957" i="770"/>
  <c r="N957" i="770"/>
  <c r="T957" i="770" s="1"/>
  <c r="X956" i="770"/>
  <c r="R956" i="770"/>
  <c r="Q956" i="770"/>
  <c r="U956" i="770" s="1"/>
  <c r="V956" i="770" s="1"/>
  <c r="N956" i="770"/>
  <c r="T956" i="770" s="1"/>
  <c r="T955" i="770"/>
  <c r="Q955" i="770"/>
  <c r="N955" i="770"/>
  <c r="Q954" i="770"/>
  <c r="U954" i="770" s="1"/>
  <c r="X954" i="770" s="1"/>
  <c r="T953" i="770"/>
  <c r="R953" i="770"/>
  <c r="Q953" i="770"/>
  <c r="U953" i="770" s="1"/>
  <c r="X952" i="770"/>
  <c r="T952" i="770"/>
  <c r="R952" i="770"/>
  <c r="Q952" i="770"/>
  <c r="U952" i="770" s="1"/>
  <c r="V952" i="770" s="1"/>
  <c r="Q951" i="770"/>
  <c r="U951" i="770" s="1"/>
  <c r="V951" i="770" s="1"/>
  <c r="N951" i="770"/>
  <c r="T950" i="770"/>
  <c r="R950" i="770"/>
  <c r="Q950" i="770"/>
  <c r="U950" i="770" s="1"/>
  <c r="N950" i="770"/>
  <c r="U949" i="770"/>
  <c r="T949" i="770"/>
  <c r="R949" i="770"/>
  <c r="Q949" i="770"/>
  <c r="N949" i="770"/>
  <c r="Q948" i="770"/>
  <c r="U948" i="770" s="1"/>
  <c r="X948" i="770" s="1"/>
  <c r="X947" i="770"/>
  <c r="U947" i="770"/>
  <c r="Q947" i="770"/>
  <c r="V946" i="770"/>
  <c r="U946" i="770"/>
  <c r="T946" i="770"/>
  <c r="R946" i="770"/>
  <c r="Q946" i="770"/>
  <c r="N946" i="770"/>
  <c r="X946" i="770" s="1"/>
  <c r="U945" i="770"/>
  <c r="Q945" i="770"/>
  <c r="R945" i="770" s="1"/>
  <c r="N945" i="770"/>
  <c r="T945" i="770" s="1"/>
  <c r="Q944" i="770"/>
  <c r="N944" i="770"/>
  <c r="Q943" i="770"/>
  <c r="U943" i="770" s="1"/>
  <c r="N943" i="770"/>
  <c r="T942" i="770"/>
  <c r="Q942" i="770"/>
  <c r="U942" i="770" s="1"/>
  <c r="N942" i="770"/>
  <c r="G942" i="770"/>
  <c r="V941" i="770"/>
  <c r="U941" i="770"/>
  <c r="T941" i="770"/>
  <c r="R941" i="770"/>
  <c r="Q941" i="770"/>
  <c r="N941" i="770"/>
  <c r="X941" i="770" s="1"/>
  <c r="U940" i="770"/>
  <c r="Q940" i="770"/>
  <c r="N940" i="770"/>
  <c r="T940" i="770" s="1"/>
  <c r="U939" i="770"/>
  <c r="X939" i="770" s="1"/>
  <c r="Q939" i="770"/>
  <c r="N939" i="770"/>
  <c r="T939" i="770" s="1"/>
  <c r="Q938" i="770"/>
  <c r="U938" i="770" s="1"/>
  <c r="V938" i="770" s="1"/>
  <c r="N938" i="770"/>
  <c r="T938" i="770" s="1"/>
  <c r="T937" i="770"/>
  <c r="R937" i="770"/>
  <c r="Q937" i="770"/>
  <c r="U937" i="770" s="1"/>
  <c r="V937" i="770" s="1"/>
  <c r="N937" i="770"/>
  <c r="G937" i="770"/>
  <c r="U936" i="770"/>
  <c r="V936" i="770" s="1"/>
  <c r="T936" i="770"/>
  <c r="R936" i="770"/>
  <c r="Q936" i="770"/>
  <c r="N936" i="770"/>
  <c r="X936" i="770" s="1"/>
  <c r="G936" i="770"/>
  <c r="Q935" i="770"/>
  <c r="N935" i="770"/>
  <c r="T935" i="770" s="1"/>
  <c r="Q934" i="770"/>
  <c r="U934" i="770" s="1"/>
  <c r="V934" i="770" s="1"/>
  <c r="N934" i="770"/>
  <c r="T934" i="770" s="1"/>
  <c r="M934" i="770"/>
  <c r="G934" i="770"/>
  <c r="U933" i="770"/>
  <c r="Q933" i="770"/>
  <c r="M933" i="770"/>
  <c r="G933" i="770"/>
  <c r="Q932" i="770"/>
  <c r="U932" i="770" s="1"/>
  <c r="V932" i="770" s="1"/>
  <c r="N932" i="770"/>
  <c r="T932" i="770" s="1"/>
  <c r="M932" i="770"/>
  <c r="G932" i="770"/>
  <c r="U931" i="770"/>
  <c r="Q931" i="770"/>
  <c r="M931" i="770"/>
  <c r="G931" i="770"/>
  <c r="V930" i="770"/>
  <c r="T930" i="770"/>
  <c r="R930" i="770"/>
  <c r="Q930" i="770"/>
  <c r="U930" i="770" s="1"/>
  <c r="X930" i="770" s="1"/>
  <c r="Q929" i="770"/>
  <c r="U929" i="770" s="1"/>
  <c r="V929" i="770" s="1"/>
  <c r="N929" i="770"/>
  <c r="T929" i="770" s="1"/>
  <c r="M929" i="770"/>
  <c r="G929" i="770"/>
  <c r="U928" i="770"/>
  <c r="Q928" i="770"/>
  <c r="M928" i="770"/>
  <c r="G928" i="770"/>
  <c r="R927" i="770"/>
  <c r="Q927" i="770"/>
  <c r="U927" i="770" s="1"/>
  <c r="V927" i="770" s="1"/>
  <c r="N927" i="770"/>
  <c r="T927" i="770" s="1"/>
  <c r="M927" i="770"/>
  <c r="G927" i="770"/>
  <c r="U926" i="770"/>
  <c r="X926" i="770" s="1"/>
  <c r="T926" i="770"/>
  <c r="R926" i="770"/>
  <c r="Q926" i="770"/>
  <c r="U925" i="770"/>
  <c r="V925" i="770" s="1"/>
  <c r="T925" i="770"/>
  <c r="Q925" i="770"/>
  <c r="M925" i="770"/>
  <c r="G925" i="770"/>
  <c r="N925" i="770" s="1"/>
  <c r="Q924" i="770"/>
  <c r="U924" i="770" s="1"/>
  <c r="V924" i="770" s="1"/>
  <c r="N924" i="770"/>
  <c r="T924" i="770" s="1"/>
  <c r="M924" i="770"/>
  <c r="G924" i="770"/>
  <c r="U923" i="770"/>
  <c r="V923" i="770" s="1"/>
  <c r="T923" i="770"/>
  <c r="R923" i="770"/>
  <c r="Q923" i="770"/>
  <c r="M923" i="770"/>
  <c r="G923" i="770"/>
  <c r="N923" i="770" s="1"/>
  <c r="Q922" i="770"/>
  <c r="U922" i="770" s="1"/>
  <c r="V922" i="770" s="1"/>
  <c r="N922" i="770"/>
  <c r="T922" i="770" s="1"/>
  <c r="M922" i="770"/>
  <c r="G922" i="770"/>
  <c r="U921" i="770"/>
  <c r="Q921" i="770"/>
  <c r="M921" i="770"/>
  <c r="G921" i="770"/>
  <c r="N921" i="770" s="1"/>
  <c r="X921" i="770" s="1"/>
  <c r="U920" i="770"/>
  <c r="X920" i="770" s="1"/>
  <c r="Q920" i="770"/>
  <c r="R920" i="770" s="1"/>
  <c r="N920" i="770"/>
  <c r="U919" i="770"/>
  <c r="X919" i="770" s="1"/>
  <c r="R919" i="770"/>
  <c r="Q919" i="770"/>
  <c r="N919" i="770"/>
  <c r="U918" i="770"/>
  <c r="V918" i="770" s="1"/>
  <c r="T918" i="770"/>
  <c r="Q918" i="770"/>
  <c r="R918" i="770" s="1"/>
  <c r="N918" i="770"/>
  <c r="X918" i="770" s="1"/>
  <c r="M918" i="770"/>
  <c r="G918" i="770"/>
  <c r="X917" i="770"/>
  <c r="T917" i="770"/>
  <c r="Q917" i="770"/>
  <c r="U917" i="770" s="1"/>
  <c r="V917" i="770" s="1"/>
  <c r="N917" i="770"/>
  <c r="M917" i="770"/>
  <c r="G917" i="770"/>
  <c r="U916" i="770"/>
  <c r="Q916" i="770"/>
  <c r="M916" i="770"/>
  <c r="N916" i="770" s="1"/>
  <c r="G916" i="770"/>
  <c r="Q915" i="770"/>
  <c r="U915" i="770" s="1"/>
  <c r="N915" i="770"/>
  <c r="X915" i="770" s="1"/>
  <c r="X914" i="770"/>
  <c r="T914" i="770"/>
  <c r="R914" i="770"/>
  <c r="Q914" i="770"/>
  <c r="U914" i="770" s="1"/>
  <c r="V914" i="770" s="1"/>
  <c r="Q913" i="770"/>
  <c r="U913" i="770" s="1"/>
  <c r="X913" i="770" s="1"/>
  <c r="U912" i="770"/>
  <c r="V912" i="770" s="1"/>
  <c r="Q912" i="770"/>
  <c r="N912" i="770"/>
  <c r="X912" i="770" s="1"/>
  <c r="X911" i="770"/>
  <c r="V911" i="770"/>
  <c r="U911" i="770"/>
  <c r="Q911" i="770"/>
  <c r="N911" i="770"/>
  <c r="T911" i="770" s="1"/>
  <c r="X910" i="770"/>
  <c r="V910" i="770"/>
  <c r="Q910" i="770"/>
  <c r="U910" i="770" s="1"/>
  <c r="N910" i="770"/>
  <c r="T910" i="770" s="1"/>
  <c r="T909" i="770"/>
  <c r="Q909" i="770"/>
  <c r="U909" i="770" s="1"/>
  <c r="V909" i="770" s="1"/>
  <c r="Q908" i="770"/>
  <c r="U908" i="770" s="1"/>
  <c r="N908" i="770"/>
  <c r="X908" i="770" s="1"/>
  <c r="U907" i="770"/>
  <c r="Q907" i="770"/>
  <c r="R907" i="770" s="1"/>
  <c r="M907" i="770"/>
  <c r="G907" i="770"/>
  <c r="N907" i="770" s="1"/>
  <c r="X907" i="770" s="1"/>
  <c r="T906" i="770"/>
  <c r="Q906" i="770"/>
  <c r="R906" i="770" s="1"/>
  <c r="X905" i="770"/>
  <c r="U905" i="770"/>
  <c r="V905" i="770" s="1"/>
  <c r="Q905" i="770"/>
  <c r="N905" i="770"/>
  <c r="T905" i="770" s="1"/>
  <c r="Q904" i="770"/>
  <c r="U904" i="770" s="1"/>
  <c r="M904" i="770"/>
  <c r="N904" i="770" s="1"/>
  <c r="G904" i="770"/>
  <c r="V903" i="770"/>
  <c r="U903" i="770"/>
  <c r="X903" i="770" s="1"/>
  <c r="T903" i="770"/>
  <c r="R903" i="770"/>
  <c r="Q903" i="770"/>
  <c r="U902" i="770"/>
  <c r="V902" i="770" s="1"/>
  <c r="Q902" i="770"/>
  <c r="M902" i="770"/>
  <c r="G902" i="770"/>
  <c r="N902" i="770" s="1"/>
  <c r="X902" i="770" s="1"/>
  <c r="Q901" i="770"/>
  <c r="U901" i="770" s="1"/>
  <c r="M901" i="770"/>
  <c r="N901" i="770" s="1"/>
  <c r="G901" i="770"/>
  <c r="U900" i="770"/>
  <c r="Q900" i="770"/>
  <c r="M900" i="770"/>
  <c r="G900" i="770"/>
  <c r="Q899" i="770"/>
  <c r="U899" i="770" s="1"/>
  <c r="M899" i="770"/>
  <c r="N899" i="770" s="1"/>
  <c r="G899" i="770"/>
  <c r="U898" i="770"/>
  <c r="Q898" i="770"/>
  <c r="M898" i="770"/>
  <c r="G898" i="770"/>
  <c r="Q897" i="770"/>
  <c r="U897" i="770" s="1"/>
  <c r="V897" i="770" s="1"/>
  <c r="N897" i="770"/>
  <c r="T897" i="770" s="1"/>
  <c r="R896" i="770"/>
  <c r="Q896" i="770"/>
  <c r="U896" i="770" s="1"/>
  <c r="V896" i="770" s="1"/>
  <c r="N896" i="770"/>
  <c r="T896" i="770" s="1"/>
  <c r="M896" i="770"/>
  <c r="G896" i="770"/>
  <c r="U895" i="770"/>
  <c r="X895" i="770" s="1"/>
  <c r="T895" i="770"/>
  <c r="Q895" i="770"/>
  <c r="R895" i="770" s="1"/>
  <c r="N895" i="770"/>
  <c r="U894" i="770"/>
  <c r="V894" i="770" s="1"/>
  <c r="Q894" i="770"/>
  <c r="N894" i="770"/>
  <c r="T894" i="770" s="1"/>
  <c r="T893" i="770"/>
  <c r="Q893" i="770"/>
  <c r="U893" i="770" s="1"/>
  <c r="X893" i="770" s="1"/>
  <c r="Q892" i="770"/>
  <c r="U892" i="770" s="1"/>
  <c r="M892" i="770"/>
  <c r="N892" i="770" s="1"/>
  <c r="Q891" i="770"/>
  <c r="U891" i="770" s="1"/>
  <c r="M891" i="770"/>
  <c r="G891" i="770"/>
  <c r="Q890" i="770"/>
  <c r="M890" i="770"/>
  <c r="N890" i="770" s="1"/>
  <c r="G890" i="770"/>
  <c r="U889" i="770"/>
  <c r="X889" i="770" s="1"/>
  <c r="T889" i="770"/>
  <c r="R889" i="770"/>
  <c r="Q889" i="770"/>
  <c r="T888" i="770"/>
  <c r="Q888" i="770"/>
  <c r="R888" i="770" s="1"/>
  <c r="Q887" i="770"/>
  <c r="U887" i="770" s="1"/>
  <c r="V887" i="770" s="1"/>
  <c r="M887" i="770"/>
  <c r="G887" i="770"/>
  <c r="N887" i="770" s="1"/>
  <c r="T886" i="770"/>
  <c r="R886" i="770"/>
  <c r="Q886" i="770"/>
  <c r="U886" i="770" s="1"/>
  <c r="Q885" i="770"/>
  <c r="M885" i="770"/>
  <c r="N885" i="770" s="1"/>
  <c r="G885" i="770"/>
  <c r="T884" i="770"/>
  <c r="R884" i="770"/>
  <c r="Q884" i="770"/>
  <c r="U884" i="770" s="1"/>
  <c r="V884" i="770" s="1"/>
  <c r="M884" i="770"/>
  <c r="G884" i="770"/>
  <c r="N884" i="770" s="1"/>
  <c r="U883" i="770"/>
  <c r="Q883" i="770"/>
  <c r="M883" i="770"/>
  <c r="G883" i="770"/>
  <c r="N883" i="770" s="1"/>
  <c r="U882" i="770"/>
  <c r="T882" i="770"/>
  <c r="R882" i="770"/>
  <c r="Q882" i="770"/>
  <c r="U881" i="770"/>
  <c r="X881" i="770" s="1"/>
  <c r="T881" i="770"/>
  <c r="R881" i="770"/>
  <c r="Q881" i="770"/>
  <c r="Q880" i="770"/>
  <c r="R880" i="770" s="1"/>
  <c r="M880" i="770"/>
  <c r="G880" i="770"/>
  <c r="N880" i="770" s="1"/>
  <c r="Q879" i="770"/>
  <c r="N879" i="770"/>
  <c r="T879" i="770" s="1"/>
  <c r="M879" i="770"/>
  <c r="G879" i="770"/>
  <c r="U878" i="770"/>
  <c r="X878" i="770" s="1"/>
  <c r="T878" i="770"/>
  <c r="Q878" i="770"/>
  <c r="R878" i="770" s="1"/>
  <c r="T877" i="770"/>
  <c r="Q877" i="770"/>
  <c r="U877" i="770" s="1"/>
  <c r="T876" i="770"/>
  <c r="Q876" i="770"/>
  <c r="R876" i="770" s="1"/>
  <c r="U875" i="770"/>
  <c r="V875" i="770" s="1"/>
  <c r="Q875" i="770"/>
  <c r="M875" i="770"/>
  <c r="G875" i="770"/>
  <c r="N875" i="770" s="1"/>
  <c r="X874" i="770"/>
  <c r="V874" i="770"/>
  <c r="U874" i="770"/>
  <c r="T874" i="770"/>
  <c r="Q874" i="770"/>
  <c r="R874" i="770" s="1"/>
  <c r="U873" i="770"/>
  <c r="Q873" i="770"/>
  <c r="M873" i="770"/>
  <c r="G873" i="770"/>
  <c r="N873" i="770" s="1"/>
  <c r="U872" i="770"/>
  <c r="Q872" i="770"/>
  <c r="R872" i="770" s="1"/>
  <c r="M872" i="770"/>
  <c r="G872" i="770"/>
  <c r="N872" i="770" s="1"/>
  <c r="X872" i="770" s="1"/>
  <c r="Q871" i="770"/>
  <c r="U871" i="770" s="1"/>
  <c r="M871" i="770"/>
  <c r="N871" i="770" s="1"/>
  <c r="G871" i="770"/>
  <c r="Q870" i="770"/>
  <c r="R870" i="770" s="1"/>
  <c r="Q869" i="770"/>
  <c r="U869" i="770" s="1"/>
  <c r="M869" i="770"/>
  <c r="N869" i="770" s="1"/>
  <c r="G869" i="770"/>
  <c r="U868" i="770"/>
  <c r="V868" i="770" s="1"/>
  <c r="T868" i="770"/>
  <c r="R868" i="770"/>
  <c r="Q868" i="770"/>
  <c r="N868" i="770"/>
  <c r="X868" i="770" s="1"/>
  <c r="M868" i="770"/>
  <c r="G868" i="770"/>
  <c r="X867" i="770"/>
  <c r="V867" i="770"/>
  <c r="T867" i="770"/>
  <c r="R867" i="770"/>
  <c r="Q867" i="770"/>
  <c r="U867" i="770" s="1"/>
  <c r="Q866" i="770"/>
  <c r="U866" i="770" s="1"/>
  <c r="M866" i="770"/>
  <c r="N866" i="770" s="1"/>
  <c r="G866" i="770"/>
  <c r="U865" i="770"/>
  <c r="Q865" i="770"/>
  <c r="N865" i="770"/>
  <c r="R865" i="770" s="1"/>
  <c r="M865" i="770"/>
  <c r="G865" i="770"/>
  <c r="T864" i="770"/>
  <c r="Q864" i="770"/>
  <c r="U864" i="770" s="1"/>
  <c r="X864" i="770" s="1"/>
  <c r="T863" i="770"/>
  <c r="Q863" i="770"/>
  <c r="U863" i="770" s="1"/>
  <c r="X863" i="770" s="1"/>
  <c r="T862" i="770"/>
  <c r="Q862" i="770"/>
  <c r="U862" i="770" s="1"/>
  <c r="X862" i="770" s="1"/>
  <c r="Q861" i="770"/>
  <c r="U861" i="770" s="1"/>
  <c r="M861" i="770"/>
  <c r="N861" i="770" s="1"/>
  <c r="G861" i="770"/>
  <c r="X860" i="770"/>
  <c r="U860" i="770"/>
  <c r="V860" i="770" s="1"/>
  <c r="T860" i="770"/>
  <c r="R860" i="770"/>
  <c r="Q860" i="770"/>
  <c r="N860" i="770"/>
  <c r="M860" i="770"/>
  <c r="G860" i="770"/>
  <c r="Q859" i="770"/>
  <c r="U859" i="770" s="1"/>
  <c r="M859" i="770"/>
  <c r="N859" i="770" s="1"/>
  <c r="G859" i="770"/>
  <c r="X858" i="770"/>
  <c r="V858" i="770"/>
  <c r="U858" i="770"/>
  <c r="T858" i="770"/>
  <c r="R858" i="770"/>
  <c r="Q858" i="770"/>
  <c r="X857" i="770"/>
  <c r="V857" i="770"/>
  <c r="U857" i="770"/>
  <c r="T857" i="770"/>
  <c r="R857" i="770"/>
  <c r="Q857" i="770"/>
  <c r="X856" i="770"/>
  <c r="U856" i="770"/>
  <c r="Q856" i="770"/>
  <c r="R856" i="770" s="1"/>
  <c r="U855" i="770"/>
  <c r="V855" i="770" s="1"/>
  <c r="T855" i="770"/>
  <c r="R855" i="770"/>
  <c r="Q855" i="770"/>
  <c r="N855" i="770"/>
  <c r="G855" i="770"/>
  <c r="U854" i="770"/>
  <c r="Q854" i="770"/>
  <c r="N854" i="770"/>
  <c r="R854" i="770" s="1"/>
  <c r="Q853" i="770"/>
  <c r="M853" i="770"/>
  <c r="N853" i="770" s="1"/>
  <c r="G853" i="770"/>
  <c r="T852" i="770"/>
  <c r="R852" i="770"/>
  <c r="Q852" i="770"/>
  <c r="U852" i="770" s="1"/>
  <c r="V852" i="770" s="1"/>
  <c r="N852" i="770"/>
  <c r="X852" i="770" s="1"/>
  <c r="M852" i="770"/>
  <c r="G852" i="770"/>
  <c r="U851" i="770"/>
  <c r="V851" i="770" s="1"/>
  <c r="Q851" i="770"/>
  <c r="M851" i="770"/>
  <c r="G851" i="770"/>
  <c r="N851" i="770" s="1"/>
  <c r="Q850" i="770"/>
  <c r="U850" i="770" s="1"/>
  <c r="V850" i="770" s="1"/>
  <c r="N850" i="770"/>
  <c r="X850" i="770" s="1"/>
  <c r="M850" i="770"/>
  <c r="G850" i="770"/>
  <c r="U849" i="770"/>
  <c r="V849" i="770" s="1"/>
  <c r="T849" i="770"/>
  <c r="Q849" i="770"/>
  <c r="N849" i="770"/>
  <c r="X849" i="770" s="1"/>
  <c r="M849" i="770"/>
  <c r="G849" i="770"/>
  <c r="X848" i="770"/>
  <c r="U848" i="770"/>
  <c r="V848" i="770" s="1"/>
  <c r="T848" i="770"/>
  <c r="R848" i="770"/>
  <c r="Q848" i="770"/>
  <c r="N848" i="770"/>
  <c r="U847" i="770"/>
  <c r="V847" i="770" s="1"/>
  <c r="Q847" i="770"/>
  <c r="M847" i="770"/>
  <c r="G847" i="770"/>
  <c r="N847" i="770" s="1"/>
  <c r="X847" i="770" s="1"/>
  <c r="T846" i="770"/>
  <c r="Q846" i="770"/>
  <c r="R846" i="770" s="1"/>
  <c r="U845" i="770"/>
  <c r="V845" i="770" s="1"/>
  <c r="Q845" i="770"/>
  <c r="R845" i="770" s="1"/>
  <c r="N845" i="770"/>
  <c r="T845" i="770" s="1"/>
  <c r="M845" i="770"/>
  <c r="G845" i="770"/>
  <c r="Q844" i="770"/>
  <c r="R844" i="770" s="1"/>
  <c r="M844" i="770"/>
  <c r="G844" i="770"/>
  <c r="N844" i="770" s="1"/>
  <c r="U843" i="770"/>
  <c r="X843" i="770" s="1"/>
  <c r="R843" i="770"/>
  <c r="Q843" i="770"/>
  <c r="U842" i="770"/>
  <c r="Q842" i="770"/>
  <c r="M842" i="770"/>
  <c r="N842" i="770" s="1"/>
  <c r="G842" i="770"/>
  <c r="Q841" i="770"/>
  <c r="U841" i="770" s="1"/>
  <c r="M841" i="770"/>
  <c r="N841" i="770" s="1"/>
  <c r="G841" i="770"/>
  <c r="U840" i="770"/>
  <c r="Q840" i="770"/>
  <c r="M840" i="770"/>
  <c r="N840" i="770" s="1"/>
  <c r="G840" i="770"/>
  <c r="T839" i="770"/>
  <c r="R839" i="770"/>
  <c r="Q839" i="770"/>
  <c r="U839" i="770" s="1"/>
  <c r="V839" i="770" s="1"/>
  <c r="N839" i="770"/>
  <c r="X839" i="770" s="1"/>
  <c r="M839" i="770"/>
  <c r="G839" i="770"/>
  <c r="X838" i="770"/>
  <c r="U838" i="770"/>
  <c r="V838" i="770" s="1"/>
  <c r="T838" i="770"/>
  <c r="R838" i="770"/>
  <c r="Q838" i="770"/>
  <c r="U837" i="770"/>
  <c r="Q837" i="770"/>
  <c r="N837" i="770"/>
  <c r="X837" i="770" s="1"/>
  <c r="M837" i="770"/>
  <c r="G837" i="770"/>
  <c r="Q836" i="770"/>
  <c r="U836" i="770" s="1"/>
  <c r="M836" i="770"/>
  <c r="N836" i="770" s="1"/>
  <c r="G836" i="770"/>
  <c r="V835" i="770"/>
  <c r="U835" i="770"/>
  <c r="X835" i="770" s="1"/>
  <c r="T835" i="770"/>
  <c r="R835" i="770"/>
  <c r="Q835" i="770"/>
  <c r="U834" i="770"/>
  <c r="V834" i="770" s="1"/>
  <c r="Q834" i="770"/>
  <c r="M834" i="770"/>
  <c r="G834" i="770"/>
  <c r="N834" i="770" s="1"/>
  <c r="Q833" i="770"/>
  <c r="U833" i="770" s="1"/>
  <c r="V833" i="770" s="1"/>
  <c r="N833" i="770"/>
  <c r="X833" i="770" s="1"/>
  <c r="M833" i="770"/>
  <c r="G833" i="770"/>
  <c r="U832" i="770"/>
  <c r="Q832" i="770"/>
  <c r="M832" i="770"/>
  <c r="G832" i="770"/>
  <c r="N832" i="770" s="1"/>
  <c r="Q831" i="770"/>
  <c r="U831" i="770" s="1"/>
  <c r="N831" i="770"/>
  <c r="X831" i="770" s="1"/>
  <c r="M831" i="770"/>
  <c r="G831" i="770"/>
  <c r="U830" i="770"/>
  <c r="V830" i="770" s="1"/>
  <c r="T830" i="770"/>
  <c r="R830" i="770"/>
  <c r="Q830" i="770"/>
  <c r="N830" i="770"/>
  <c r="X830" i="770" s="1"/>
  <c r="M830" i="770"/>
  <c r="G830" i="770"/>
  <c r="Q829" i="770"/>
  <c r="U829" i="770" s="1"/>
  <c r="M829" i="770"/>
  <c r="N829" i="770" s="1"/>
  <c r="G829" i="770"/>
  <c r="U828" i="770"/>
  <c r="R828" i="770"/>
  <c r="Q828" i="770"/>
  <c r="N828" i="770"/>
  <c r="X828" i="770" s="1"/>
  <c r="K828" i="770"/>
  <c r="G828" i="770"/>
  <c r="V827" i="770"/>
  <c r="T827" i="770"/>
  <c r="Q827" i="770"/>
  <c r="U827" i="770" s="1"/>
  <c r="X827" i="770" s="1"/>
  <c r="T826" i="770"/>
  <c r="Q826" i="770"/>
  <c r="U826" i="770" s="1"/>
  <c r="X826" i="770" s="1"/>
  <c r="Q825" i="770"/>
  <c r="U825" i="770" s="1"/>
  <c r="V825" i="770" s="1"/>
  <c r="M825" i="770"/>
  <c r="N825" i="770" s="1"/>
  <c r="G825" i="770"/>
  <c r="V824" i="770"/>
  <c r="U824" i="770"/>
  <c r="X824" i="770" s="1"/>
  <c r="T824" i="770"/>
  <c r="R824" i="770"/>
  <c r="Q824" i="770"/>
  <c r="U823" i="770"/>
  <c r="Q823" i="770"/>
  <c r="M823" i="770"/>
  <c r="G823" i="770"/>
  <c r="N823" i="770" s="1"/>
  <c r="Q822" i="770"/>
  <c r="U822" i="770" s="1"/>
  <c r="V822" i="770" s="1"/>
  <c r="N822" i="770"/>
  <c r="X822" i="770" s="1"/>
  <c r="M822" i="770"/>
  <c r="G822" i="770"/>
  <c r="U821" i="770"/>
  <c r="V821" i="770" s="1"/>
  <c r="Q821" i="770"/>
  <c r="M821" i="770"/>
  <c r="G821" i="770"/>
  <c r="N821" i="770" s="1"/>
  <c r="Q820" i="770"/>
  <c r="U820" i="770" s="1"/>
  <c r="N820" i="770"/>
  <c r="X820" i="770" s="1"/>
  <c r="M820" i="770"/>
  <c r="G820" i="770"/>
  <c r="U819" i="770"/>
  <c r="V819" i="770" s="1"/>
  <c r="T819" i="770"/>
  <c r="R819" i="770"/>
  <c r="Q819" i="770"/>
  <c r="N819" i="770"/>
  <c r="X819" i="770" s="1"/>
  <c r="M819" i="770"/>
  <c r="G819" i="770"/>
  <c r="Q818" i="770"/>
  <c r="U818" i="770" s="1"/>
  <c r="M818" i="770"/>
  <c r="N818" i="770" s="1"/>
  <c r="G818" i="770"/>
  <c r="X817" i="770"/>
  <c r="V817" i="770"/>
  <c r="U817" i="770"/>
  <c r="T817" i="770"/>
  <c r="R817" i="770"/>
  <c r="Q817" i="770"/>
  <c r="U816" i="770"/>
  <c r="Q816" i="770"/>
  <c r="M816" i="770"/>
  <c r="N816" i="770" s="1"/>
  <c r="G816" i="770"/>
  <c r="Q815" i="770"/>
  <c r="U815" i="770" s="1"/>
  <c r="M815" i="770"/>
  <c r="N815" i="770" s="1"/>
  <c r="G815" i="770"/>
  <c r="U814" i="770"/>
  <c r="V814" i="770" s="1"/>
  <c r="Q814" i="770"/>
  <c r="M814" i="770"/>
  <c r="N814" i="770" s="1"/>
  <c r="G814" i="770"/>
  <c r="T813" i="770"/>
  <c r="R813" i="770"/>
  <c r="Q813" i="770"/>
  <c r="U813" i="770" s="1"/>
  <c r="V813" i="770" s="1"/>
  <c r="N813" i="770"/>
  <c r="X813" i="770" s="1"/>
  <c r="M813" i="770"/>
  <c r="G813" i="770"/>
  <c r="U812" i="770"/>
  <c r="Q812" i="770"/>
  <c r="M812" i="770"/>
  <c r="N812" i="770" s="1"/>
  <c r="G812" i="770"/>
  <c r="R811" i="770"/>
  <c r="Q811" i="770"/>
  <c r="U811" i="770" s="1"/>
  <c r="V811" i="770" s="1"/>
  <c r="N811" i="770"/>
  <c r="X811" i="770" s="1"/>
  <c r="M811" i="770"/>
  <c r="G811" i="770"/>
  <c r="U810" i="770"/>
  <c r="V810" i="770" s="1"/>
  <c r="Q810" i="770"/>
  <c r="M810" i="770"/>
  <c r="G810" i="770"/>
  <c r="N810" i="770" s="1"/>
  <c r="Q809" i="770"/>
  <c r="M809" i="770"/>
  <c r="N809" i="770" s="1"/>
  <c r="G809" i="770"/>
  <c r="V808" i="770"/>
  <c r="U808" i="770"/>
  <c r="X808" i="770" s="1"/>
  <c r="T808" i="770"/>
  <c r="R808" i="770"/>
  <c r="Q808" i="770"/>
  <c r="U807" i="770"/>
  <c r="V807" i="770" s="1"/>
  <c r="Q807" i="770"/>
  <c r="M807" i="770"/>
  <c r="G807" i="770"/>
  <c r="N807" i="770" s="1"/>
  <c r="Q806" i="770"/>
  <c r="M806" i="770"/>
  <c r="N806" i="770" s="1"/>
  <c r="G806" i="770"/>
  <c r="U805" i="770"/>
  <c r="Q805" i="770"/>
  <c r="M805" i="770"/>
  <c r="G805" i="770"/>
  <c r="N805" i="770" s="1"/>
  <c r="R804" i="770"/>
  <c r="Q804" i="770"/>
  <c r="U804" i="770" s="1"/>
  <c r="V804" i="770" s="1"/>
  <c r="N804" i="770"/>
  <c r="M804" i="770"/>
  <c r="G804" i="770"/>
  <c r="U803" i="770"/>
  <c r="X803" i="770" s="1"/>
  <c r="T803" i="770"/>
  <c r="R803" i="770"/>
  <c r="Q803" i="770"/>
  <c r="U802" i="770"/>
  <c r="Q802" i="770"/>
  <c r="M802" i="770"/>
  <c r="G802" i="770"/>
  <c r="N802" i="770" s="1"/>
  <c r="R801" i="770"/>
  <c r="Q801" i="770"/>
  <c r="U801" i="770" s="1"/>
  <c r="V801" i="770" s="1"/>
  <c r="N801" i="770"/>
  <c r="X801" i="770" s="1"/>
  <c r="M801" i="770"/>
  <c r="G801" i="770"/>
  <c r="U800" i="770"/>
  <c r="Q800" i="770"/>
  <c r="M800" i="770"/>
  <c r="G800" i="770"/>
  <c r="N800" i="770" s="1"/>
  <c r="Q799" i="770"/>
  <c r="R799" i="770" s="1"/>
  <c r="M799" i="770"/>
  <c r="N799" i="770" s="1"/>
  <c r="G799" i="770"/>
  <c r="U798" i="770"/>
  <c r="Q798" i="770"/>
  <c r="M798" i="770"/>
  <c r="G798" i="770"/>
  <c r="N798" i="770" s="1"/>
  <c r="V798" i="770" s="1"/>
  <c r="R797" i="770"/>
  <c r="Q797" i="770"/>
  <c r="U797" i="770" s="1"/>
  <c r="V797" i="770" s="1"/>
  <c r="N797" i="770"/>
  <c r="X797" i="770" s="1"/>
  <c r="M797" i="770"/>
  <c r="G797" i="770"/>
  <c r="U796" i="770"/>
  <c r="V796" i="770" s="1"/>
  <c r="Q796" i="770"/>
  <c r="M796" i="770"/>
  <c r="G796" i="770"/>
  <c r="N796" i="770" s="1"/>
  <c r="Q795" i="770"/>
  <c r="M795" i="770"/>
  <c r="N795" i="770" s="1"/>
  <c r="G795" i="770"/>
  <c r="U794" i="770"/>
  <c r="Q794" i="770"/>
  <c r="M794" i="770"/>
  <c r="G794" i="770"/>
  <c r="N794" i="770" s="1"/>
  <c r="R793" i="770"/>
  <c r="Q793" i="770"/>
  <c r="U793" i="770" s="1"/>
  <c r="V793" i="770" s="1"/>
  <c r="N793" i="770"/>
  <c r="M793" i="770"/>
  <c r="G793" i="770"/>
  <c r="U792" i="770"/>
  <c r="Q792" i="770"/>
  <c r="M792" i="770"/>
  <c r="G792" i="770"/>
  <c r="Q791" i="770"/>
  <c r="M791" i="770"/>
  <c r="N791" i="770" s="1"/>
  <c r="G791" i="770"/>
  <c r="V790" i="770"/>
  <c r="U790" i="770"/>
  <c r="X790" i="770" s="1"/>
  <c r="T790" i="770"/>
  <c r="R790" i="770"/>
  <c r="Q790" i="770"/>
  <c r="N790" i="770"/>
  <c r="X789" i="770"/>
  <c r="V789" i="770"/>
  <c r="U789" i="770"/>
  <c r="T789" i="770"/>
  <c r="Q789" i="770"/>
  <c r="R789" i="770" s="1"/>
  <c r="X788" i="770"/>
  <c r="U788" i="770"/>
  <c r="V788" i="770" s="1"/>
  <c r="Q788" i="770"/>
  <c r="R788" i="770" s="1"/>
  <c r="N788" i="770"/>
  <c r="T788" i="770" s="1"/>
  <c r="M788" i="770"/>
  <c r="G788" i="770"/>
  <c r="T787" i="770"/>
  <c r="Q787" i="770"/>
  <c r="N787" i="770"/>
  <c r="M787" i="770"/>
  <c r="G787" i="770"/>
  <c r="U786" i="770"/>
  <c r="Q786" i="770"/>
  <c r="N786" i="770"/>
  <c r="M786" i="770"/>
  <c r="G786" i="770"/>
  <c r="T785" i="770"/>
  <c r="R785" i="770"/>
  <c r="Q785" i="770"/>
  <c r="U785" i="770" s="1"/>
  <c r="V785" i="770" s="1"/>
  <c r="N785" i="770"/>
  <c r="M785" i="770"/>
  <c r="G785" i="770"/>
  <c r="U784" i="770"/>
  <c r="Q784" i="770"/>
  <c r="N784" i="770"/>
  <c r="T784" i="770" s="1"/>
  <c r="M784" i="770"/>
  <c r="G784" i="770"/>
  <c r="T783" i="770"/>
  <c r="Q783" i="770"/>
  <c r="T782" i="770"/>
  <c r="R782" i="770"/>
  <c r="Q782" i="770"/>
  <c r="U782" i="770" s="1"/>
  <c r="V782" i="770" s="1"/>
  <c r="N782" i="770"/>
  <c r="X782" i="770" s="1"/>
  <c r="M782" i="770"/>
  <c r="G782" i="770"/>
  <c r="U781" i="770"/>
  <c r="Q781" i="770"/>
  <c r="M781" i="770"/>
  <c r="N781" i="770" s="1"/>
  <c r="G781" i="770"/>
  <c r="Q780" i="770"/>
  <c r="Q779" i="770"/>
  <c r="N779" i="770"/>
  <c r="T779" i="770" s="1"/>
  <c r="M779" i="770"/>
  <c r="G779" i="770"/>
  <c r="U778" i="770"/>
  <c r="T778" i="770"/>
  <c r="R778" i="770"/>
  <c r="Q778" i="770"/>
  <c r="U777" i="770"/>
  <c r="V777" i="770" s="1"/>
  <c r="Q777" i="770"/>
  <c r="M777" i="770"/>
  <c r="G777" i="770"/>
  <c r="N777" i="770" s="1"/>
  <c r="Q776" i="770"/>
  <c r="N776" i="770"/>
  <c r="T776" i="770" s="1"/>
  <c r="M776" i="770"/>
  <c r="G776" i="770"/>
  <c r="U775" i="770"/>
  <c r="T775" i="770"/>
  <c r="Q775" i="770"/>
  <c r="M775" i="770"/>
  <c r="G775" i="770"/>
  <c r="N775" i="770" s="1"/>
  <c r="X775" i="770" s="1"/>
  <c r="Q774" i="770"/>
  <c r="N774" i="770"/>
  <c r="T774" i="770" s="1"/>
  <c r="M774" i="770"/>
  <c r="G774" i="770"/>
  <c r="U773" i="770"/>
  <c r="V773" i="770" s="1"/>
  <c r="T773" i="770"/>
  <c r="Q773" i="770"/>
  <c r="R773" i="770" s="1"/>
  <c r="M773" i="770"/>
  <c r="G773" i="770"/>
  <c r="N773" i="770" s="1"/>
  <c r="Q772" i="770"/>
  <c r="N772" i="770"/>
  <c r="T772" i="770" s="1"/>
  <c r="M772" i="770"/>
  <c r="G772" i="770"/>
  <c r="U771" i="770"/>
  <c r="T771" i="770"/>
  <c r="R771" i="770"/>
  <c r="Q771" i="770"/>
  <c r="U770" i="770"/>
  <c r="V770" i="770" s="1"/>
  <c r="T770" i="770"/>
  <c r="Q770" i="770"/>
  <c r="R770" i="770" s="1"/>
  <c r="N770" i="770"/>
  <c r="X770" i="770" s="1"/>
  <c r="G770" i="770"/>
  <c r="U769" i="770"/>
  <c r="Q769" i="770"/>
  <c r="M769" i="770"/>
  <c r="N769" i="770" s="1"/>
  <c r="G769" i="770"/>
  <c r="T768" i="770"/>
  <c r="Q768" i="770"/>
  <c r="U768" i="770" s="1"/>
  <c r="V768" i="770" s="1"/>
  <c r="N768" i="770"/>
  <c r="M768" i="770"/>
  <c r="G768" i="770"/>
  <c r="X767" i="770"/>
  <c r="V767" i="770"/>
  <c r="U767" i="770"/>
  <c r="T767" i="770"/>
  <c r="Q767" i="770"/>
  <c r="R767" i="770" s="1"/>
  <c r="X766" i="770"/>
  <c r="U766" i="770"/>
  <c r="V766" i="770" s="1"/>
  <c r="T766" i="770"/>
  <c r="Q766" i="770"/>
  <c r="R766" i="770" s="1"/>
  <c r="U765" i="770"/>
  <c r="Q765" i="770"/>
  <c r="M765" i="770"/>
  <c r="N765" i="770" s="1"/>
  <c r="G765" i="770"/>
  <c r="T764" i="770"/>
  <c r="R764" i="770"/>
  <c r="Q764" i="770"/>
  <c r="U764" i="770" s="1"/>
  <c r="X763" i="770"/>
  <c r="T763" i="770"/>
  <c r="R763" i="770"/>
  <c r="Q763" i="770"/>
  <c r="U763" i="770" s="1"/>
  <c r="V763" i="770" s="1"/>
  <c r="T762" i="770"/>
  <c r="R762" i="770"/>
  <c r="Q762" i="770"/>
  <c r="U762" i="770" s="1"/>
  <c r="X761" i="770"/>
  <c r="T761" i="770"/>
  <c r="Q761" i="770"/>
  <c r="U761" i="770" s="1"/>
  <c r="V761" i="770" s="1"/>
  <c r="Q760" i="770"/>
  <c r="X759" i="770"/>
  <c r="U759" i="770"/>
  <c r="R759" i="770"/>
  <c r="Q759" i="770"/>
  <c r="U758" i="770"/>
  <c r="X758" i="770" s="1"/>
  <c r="T758" i="770"/>
  <c r="R758" i="770"/>
  <c r="Q758" i="770"/>
  <c r="U757" i="770"/>
  <c r="V757" i="770" s="1"/>
  <c r="T757" i="770"/>
  <c r="R757" i="770"/>
  <c r="Q757" i="770"/>
  <c r="N757" i="770"/>
  <c r="X757" i="770" s="1"/>
  <c r="U756" i="770"/>
  <c r="V756" i="770" s="1"/>
  <c r="Q756" i="770"/>
  <c r="N756" i="770"/>
  <c r="T756" i="770" s="1"/>
  <c r="Q755" i="770"/>
  <c r="M755" i="770"/>
  <c r="N755" i="770" s="1"/>
  <c r="G755" i="770"/>
  <c r="U754" i="770"/>
  <c r="V754" i="770" s="1"/>
  <c r="T754" i="770"/>
  <c r="Q754" i="770"/>
  <c r="R754" i="770" s="1"/>
  <c r="N754" i="770"/>
  <c r="U753" i="770"/>
  <c r="X753" i="770" s="1"/>
  <c r="T753" i="770"/>
  <c r="R753" i="770"/>
  <c r="Q753" i="770"/>
  <c r="U752" i="770"/>
  <c r="V752" i="770" s="1"/>
  <c r="T752" i="770"/>
  <c r="R752" i="770"/>
  <c r="Q752" i="770"/>
  <c r="N752" i="770"/>
  <c r="U751" i="770"/>
  <c r="Q751" i="770"/>
  <c r="M751" i="770"/>
  <c r="G751" i="770"/>
  <c r="N751" i="770" s="1"/>
  <c r="T750" i="770"/>
  <c r="Q750" i="770"/>
  <c r="U750" i="770" s="1"/>
  <c r="N750" i="770"/>
  <c r="X750" i="770" s="1"/>
  <c r="U749" i="770"/>
  <c r="Q749" i="770"/>
  <c r="M749" i="770"/>
  <c r="G749" i="770"/>
  <c r="N749" i="770" s="1"/>
  <c r="X749" i="770" s="1"/>
  <c r="U748" i="770"/>
  <c r="Q748" i="770"/>
  <c r="M748" i="770"/>
  <c r="G748" i="770"/>
  <c r="N748" i="770" s="1"/>
  <c r="U747" i="770"/>
  <c r="T747" i="770"/>
  <c r="Q747" i="770"/>
  <c r="R747" i="770" s="1"/>
  <c r="N747" i="770"/>
  <c r="U746" i="770"/>
  <c r="T746" i="770"/>
  <c r="Q746" i="770"/>
  <c r="M746" i="770"/>
  <c r="G746" i="770"/>
  <c r="N746" i="770" s="1"/>
  <c r="X746" i="770" s="1"/>
  <c r="Q745" i="770"/>
  <c r="U745" i="770" s="1"/>
  <c r="N745" i="770"/>
  <c r="T745" i="770" s="1"/>
  <c r="M745" i="770"/>
  <c r="G745" i="770"/>
  <c r="U744" i="770"/>
  <c r="Q744" i="770"/>
  <c r="M744" i="770"/>
  <c r="G744" i="770"/>
  <c r="T743" i="770"/>
  <c r="R743" i="770"/>
  <c r="Q743" i="770"/>
  <c r="U743" i="770" s="1"/>
  <c r="X743" i="770" s="1"/>
  <c r="Q742" i="770"/>
  <c r="U742" i="770" s="1"/>
  <c r="M742" i="770"/>
  <c r="N742" i="770" s="1"/>
  <c r="G742" i="770"/>
  <c r="U741" i="770"/>
  <c r="X741" i="770" s="1"/>
  <c r="T741" i="770"/>
  <c r="R741" i="770"/>
  <c r="Q741" i="770"/>
  <c r="U740" i="770"/>
  <c r="X740" i="770" s="1"/>
  <c r="Q740" i="770"/>
  <c r="R740" i="770" s="1"/>
  <c r="T739" i="770"/>
  <c r="R739" i="770"/>
  <c r="Q739" i="770"/>
  <c r="U739" i="770" s="1"/>
  <c r="V739" i="770" s="1"/>
  <c r="N739" i="770"/>
  <c r="M739" i="770"/>
  <c r="G739" i="770"/>
  <c r="U738" i="770"/>
  <c r="V738" i="770" s="1"/>
  <c r="Q738" i="770"/>
  <c r="M738" i="770"/>
  <c r="G738" i="770"/>
  <c r="N738" i="770" s="1"/>
  <c r="T737" i="770"/>
  <c r="Q737" i="770"/>
  <c r="U737" i="770" s="1"/>
  <c r="V737" i="770" s="1"/>
  <c r="X736" i="770"/>
  <c r="T736" i="770"/>
  <c r="R736" i="770"/>
  <c r="Q736" i="770"/>
  <c r="U736" i="770" s="1"/>
  <c r="N736" i="770"/>
  <c r="M736" i="770"/>
  <c r="G736" i="770"/>
  <c r="X735" i="770"/>
  <c r="V735" i="770"/>
  <c r="U735" i="770"/>
  <c r="T735" i="770"/>
  <c r="Q735" i="770"/>
  <c r="R735" i="770" s="1"/>
  <c r="U734" i="770"/>
  <c r="X734" i="770" s="1"/>
  <c r="T734" i="770"/>
  <c r="Q734" i="770"/>
  <c r="R734" i="770" s="1"/>
  <c r="U733" i="770"/>
  <c r="X733" i="770" s="1"/>
  <c r="T733" i="770"/>
  <c r="Q733" i="770"/>
  <c r="N733" i="770"/>
  <c r="Q732" i="770"/>
  <c r="M732" i="770"/>
  <c r="G732" i="770"/>
  <c r="N732" i="770" s="1"/>
  <c r="U731" i="770"/>
  <c r="T731" i="770"/>
  <c r="R731" i="770"/>
  <c r="Q731" i="770"/>
  <c r="T730" i="770"/>
  <c r="R730" i="770"/>
  <c r="Q730" i="770"/>
  <c r="U730" i="770" s="1"/>
  <c r="V730" i="770" s="1"/>
  <c r="M730" i="770"/>
  <c r="G730" i="770"/>
  <c r="N730" i="770" s="1"/>
  <c r="Q729" i="770"/>
  <c r="R729" i="770" s="1"/>
  <c r="N729" i="770"/>
  <c r="T729" i="770" s="1"/>
  <c r="M729" i="770"/>
  <c r="G729" i="770"/>
  <c r="T728" i="770"/>
  <c r="Q728" i="770"/>
  <c r="U728" i="770" s="1"/>
  <c r="V728" i="770" s="1"/>
  <c r="M728" i="770"/>
  <c r="G728" i="770"/>
  <c r="N728" i="770" s="1"/>
  <c r="Q727" i="770"/>
  <c r="M727" i="770"/>
  <c r="G727" i="770"/>
  <c r="N727" i="770" s="1"/>
  <c r="U726" i="770"/>
  <c r="V726" i="770" s="1"/>
  <c r="R726" i="770"/>
  <c r="Q726" i="770"/>
  <c r="M726" i="770"/>
  <c r="G726" i="770"/>
  <c r="N726" i="770" s="1"/>
  <c r="T726" i="770" s="1"/>
  <c r="U725" i="770"/>
  <c r="Q725" i="770"/>
  <c r="M725" i="770"/>
  <c r="G725" i="770"/>
  <c r="N725" i="770" s="1"/>
  <c r="U724" i="770"/>
  <c r="T724" i="770"/>
  <c r="Q724" i="770"/>
  <c r="R724" i="770" s="1"/>
  <c r="T723" i="770"/>
  <c r="Q723" i="770"/>
  <c r="U723" i="770" s="1"/>
  <c r="V723" i="770" s="1"/>
  <c r="M723" i="770"/>
  <c r="G723" i="770"/>
  <c r="N723" i="770" s="1"/>
  <c r="Q722" i="770"/>
  <c r="M722" i="770"/>
  <c r="G722" i="770"/>
  <c r="N722" i="770" s="1"/>
  <c r="U721" i="770"/>
  <c r="Q721" i="770"/>
  <c r="M721" i="770"/>
  <c r="G721" i="770"/>
  <c r="N721" i="770" s="1"/>
  <c r="X721" i="770" s="1"/>
  <c r="U720" i="770"/>
  <c r="X720" i="770" s="1"/>
  <c r="T720" i="770"/>
  <c r="Q720" i="770"/>
  <c r="R720" i="770" s="1"/>
  <c r="Q719" i="770"/>
  <c r="M719" i="770"/>
  <c r="G719" i="770"/>
  <c r="N719" i="770" s="1"/>
  <c r="V718" i="770"/>
  <c r="U718" i="770"/>
  <c r="X718" i="770" s="1"/>
  <c r="T718" i="770"/>
  <c r="Q718" i="770"/>
  <c r="R718" i="770" s="1"/>
  <c r="N718" i="770"/>
  <c r="U717" i="770"/>
  <c r="V717" i="770" s="1"/>
  <c r="Q717" i="770"/>
  <c r="N717" i="770"/>
  <c r="X717" i="770" s="1"/>
  <c r="M717" i="770"/>
  <c r="G717" i="770"/>
  <c r="Q716" i="770"/>
  <c r="U716" i="770" s="1"/>
  <c r="M716" i="770"/>
  <c r="N716" i="770" s="1"/>
  <c r="G716" i="770"/>
  <c r="R715" i="770"/>
  <c r="Q715" i="770"/>
  <c r="U715" i="770" s="1"/>
  <c r="X715" i="770" s="1"/>
  <c r="X714" i="770"/>
  <c r="T714" i="770"/>
  <c r="Q714" i="770"/>
  <c r="U714" i="770" s="1"/>
  <c r="V714" i="770" s="1"/>
  <c r="U713" i="770"/>
  <c r="V713" i="770" s="1"/>
  <c r="T713" i="770"/>
  <c r="R713" i="770"/>
  <c r="Q713" i="770"/>
  <c r="N713" i="770"/>
  <c r="M713" i="770"/>
  <c r="G713" i="770"/>
  <c r="Q712" i="770"/>
  <c r="U712" i="770" s="1"/>
  <c r="V712" i="770" s="1"/>
  <c r="M712" i="770"/>
  <c r="N712" i="770" s="1"/>
  <c r="K712" i="770"/>
  <c r="G712" i="770"/>
  <c r="T711" i="770"/>
  <c r="R711" i="770"/>
  <c r="Q711" i="770"/>
  <c r="U711" i="770" s="1"/>
  <c r="T710" i="770"/>
  <c r="Q710" i="770"/>
  <c r="R710" i="770" s="1"/>
  <c r="U709" i="770"/>
  <c r="V709" i="770" s="1"/>
  <c r="T709" i="770"/>
  <c r="Q709" i="770"/>
  <c r="R709" i="770" s="1"/>
  <c r="N709" i="770"/>
  <c r="X709" i="770" s="1"/>
  <c r="U708" i="770"/>
  <c r="X708" i="770" s="1"/>
  <c r="T708" i="770"/>
  <c r="R708" i="770"/>
  <c r="Q708" i="770"/>
  <c r="U707" i="770"/>
  <c r="X707" i="770" s="1"/>
  <c r="T707" i="770"/>
  <c r="R707" i="770"/>
  <c r="Q707" i="770"/>
  <c r="X706" i="770"/>
  <c r="V706" i="770"/>
  <c r="U706" i="770"/>
  <c r="T706" i="770"/>
  <c r="R706" i="770"/>
  <c r="Q706" i="770"/>
  <c r="U705" i="770"/>
  <c r="Q705" i="770"/>
  <c r="M705" i="770"/>
  <c r="G705" i="770"/>
  <c r="N705" i="770" s="1"/>
  <c r="V704" i="770"/>
  <c r="T704" i="770"/>
  <c r="Q704" i="770"/>
  <c r="U704" i="770" s="1"/>
  <c r="X704" i="770" s="1"/>
  <c r="Q703" i="770"/>
  <c r="U703" i="770" s="1"/>
  <c r="N703" i="770"/>
  <c r="X703" i="770" s="1"/>
  <c r="M703" i="770"/>
  <c r="G703" i="770"/>
  <c r="V702" i="770"/>
  <c r="U702" i="770"/>
  <c r="X702" i="770" s="1"/>
  <c r="T702" i="770"/>
  <c r="R702" i="770"/>
  <c r="Q702" i="770"/>
  <c r="U701" i="770"/>
  <c r="Q701" i="770"/>
  <c r="M701" i="770"/>
  <c r="G701" i="770"/>
  <c r="N701" i="770" s="1"/>
  <c r="X701" i="770" s="1"/>
  <c r="T700" i="770"/>
  <c r="Q700" i="770"/>
  <c r="U700" i="770" s="1"/>
  <c r="V700" i="770" s="1"/>
  <c r="X699" i="770"/>
  <c r="T699" i="770"/>
  <c r="R699" i="770"/>
  <c r="Q699" i="770"/>
  <c r="U699" i="770" s="1"/>
  <c r="V699" i="770" s="1"/>
  <c r="V698" i="770"/>
  <c r="T698" i="770"/>
  <c r="Q698" i="770"/>
  <c r="U698" i="770" s="1"/>
  <c r="X698" i="770" s="1"/>
  <c r="U697" i="770"/>
  <c r="X697" i="770" s="1"/>
  <c r="Q697" i="770"/>
  <c r="R697" i="770" s="1"/>
  <c r="U696" i="770"/>
  <c r="X696" i="770" s="1"/>
  <c r="T696" i="770"/>
  <c r="Q696" i="770"/>
  <c r="R696" i="770" s="1"/>
  <c r="X695" i="770"/>
  <c r="U695" i="770"/>
  <c r="V695" i="770" s="1"/>
  <c r="T695" i="770"/>
  <c r="Q695" i="770"/>
  <c r="R695" i="770" s="1"/>
  <c r="T694" i="770"/>
  <c r="Q694" i="770"/>
  <c r="R694" i="770" s="1"/>
  <c r="U693" i="770"/>
  <c r="V693" i="770" s="1"/>
  <c r="Q693" i="770"/>
  <c r="M693" i="770"/>
  <c r="G693" i="770"/>
  <c r="N693" i="770" s="1"/>
  <c r="T692" i="770"/>
  <c r="R692" i="770"/>
  <c r="Q692" i="770"/>
  <c r="U692" i="770" s="1"/>
  <c r="U691" i="770"/>
  <c r="V691" i="770" s="1"/>
  <c r="Q691" i="770"/>
  <c r="R691" i="770" s="1"/>
  <c r="N691" i="770"/>
  <c r="X691" i="770" s="1"/>
  <c r="T690" i="770"/>
  <c r="Q690" i="770"/>
  <c r="U690" i="770" s="1"/>
  <c r="V689" i="770"/>
  <c r="U689" i="770"/>
  <c r="T689" i="770"/>
  <c r="Q689" i="770"/>
  <c r="R689" i="770" s="1"/>
  <c r="N689" i="770"/>
  <c r="X689" i="770" s="1"/>
  <c r="U688" i="770"/>
  <c r="V688" i="770" s="1"/>
  <c r="Q688" i="770"/>
  <c r="N688" i="770"/>
  <c r="X688" i="770" s="1"/>
  <c r="T687" i="770"/>
  <c r="Q687" i="770"/>
  <c r="R687" i="770" s="1"/>
  <c r="U686" i="770"/>
  <c r="V686" i="770" s="1"/>
  <c r="Q686" i="770"/>
  <c r="N686" i="770"/>
  <c r="X686" i="770" s="1"/>
  <c r="U685" i="770"/>
  <c r="X685" i="770" s="1"/>
  <c r="T685" i="770"/>
  <c r="Q685" i="770"/>
  <c r="R685" i="770" s="1"/>
  <c r="T684" i="770"/>
  <c r="Q684" i="770"/>
  <c r="U684" i="770" s="1"/>
  <c r="U683" i="770"/>
  <c r="X683" i="770" s="1"/>
  <c r="Q683" i="770"/>
  <c r="R683" i="770" s="1"/>
  <c r="N683" i="770"/>
  <c r="T683" i="770" s="1"/>
  <c r="Q682" i="770"/>
  <c r="U682" i="770" s="1"/>
  <c r="N682" i="770"/>
  <c r="X682" i="770" s="1"/>
  <c r="X681" i="770"/>
  <c r="U681" i="770"/>
  <c r="V681" i="770" s="1"/>
  <c r="T681" i="770"/>
  <c r="Q681" i="770"/>
  <c r="R681" i="770" s="1"/>
  <c r="U680" i="770"/>
  <c r="V680" i="770" s="1"/>
  <c r="T680" i="770"/>
  <c r="R680" i="770"/>
  <c r="Q680" i="770"/>
  <c r="N680" i="770"/>
  <c r="V679" i="770"/>
  <c r="U679" i="770"/>
  <c r="T679" i="770"/>
  <c r="R679" i="770"/>
  <c r="Q679" i="770"/>
  <c r="N679" i="770"/>
  <c r="U678" i="770"/>
  <c r="V678" i="770" s="1"/>
  <c r="Q678" i="770"/>
  <c r="N678" i="770"/>
  <c r="X678" i="770" s="1"/>
  <c r="U677" i="770"/>
  <c r="X677" i="770" s="1"/>
  <c r="Q677" i="770"/>
  <c r="N677" i="770"/>
  <c r="T677" i="770" s="1"/>
  <c r="T676" i="770"/>
  <c r="Q676" i="770"/>
  <c r="U676" i="770" s="1"/>
  <c r="U675" i="770"/>
  <c r="X675" i="770" s="1"/>
  <c r="Q675" i="770"/>
  <c r="R675" i="770" s="1"/>
  <c r="N675" i="770"/>
  <c r="T675" i="770" s="1"/>
  <c r="X674" i="770"/>
  <c r="V674" i="770"/>
  <c r="T674" i="770"/>
  <c r="Q674" i="770"/>
  <c r="U674" i="770" s="1"/>
  <c r="X673" i="770"/>
  <c r="V673" i="770"/>
  <c r="T673" i="770"/>
  <c r="R673" i="770"/>
  <c r="Q673" i="770"/>
  <c r="U673" i="770" s="1"/>
  <c r="N673" i="770"/>
  <c r="U672" i="770"/>
  <c r="V672" i="770" s="1"/>
  <c r="T672" i="770"/>
  <c r="R672" i="770"/>
  <c r="Q672" i="770"/>
  <c r="U671" i="770"/>
  <c r="V671" i="770" s="1"/>
  <c r="T671" i="770"/>
  <c r="Q671" i="770"/>
  <c r="R671" i="770" s="1"/>
  <c r="N671" i="770"/>
  <c r="T670" i="770"/>
  <c r="Q670" i="770"/>
  <c r="U670" i="770" s="1"/>
  <c r="Q669" i="770"/>
  <c r="U669" i="770" s="1"/>
  <c r="M669" i="770"/>
  <c r="G669" i="770"/>
  <c r="Q668" i="770"/>
  <c r="U668" i="770" s="1"/>
  <c r="N668" i="770"/>
  <c r="T668" i="770" s="1"/>
  <c r="V667" i="770"/>
  <c r="T667" i="770"/>
  <c r="Q667" i="770"/>
  <c r="U667" i="770" s="1"/>
  <c r="X667" i="770" s="1"/>
  <c r="Q666" i="770"/>
  <c r="R666" i="770" s="1"/>
  <c r="U665" i="770"/>
  <c r="X665" i="770" s="1"/>
  <c r="T665" i="770"/>
  <c r="Q665" i="770"/>
  <c r="R665" i="770" s="1"/>
  <c r="U664" i="770"/>
  <c r="Q664" i="770"/>
  <c r="M664" i="770"/>
  <c r="G664" i="770"/>
  <c r="N664" i="770" s="1"/>
  <c r="T663" i="770"/>
  <c r="Q663" i="770"/>
  <c r="U663" i="770" s="1"/>
  <c r="X662" i="770"/>
  <c r="U662" i="770"/>
  <c r="T662" i="770"/>
  <c r="Q662" i="770"/>
  <c r="R662" i="770" s="1"/>
  <c r="N662" i="770"/>
  <c r="U661" i="770"/>
  <c r="Q661" i="770"/>
  <c r="M661" i="770"/>
  <c r="G661" i="770"/>
  <c r="Q660" i="770"/>
  <c r="R660" i="770" s="1"/>
  <c r="M660" i="770"/>
  <c r="G660" i="770"/>
  <c r="N660" i="770" s="1"/>
  <c r="Q659" i="770"/>
  <c r="U659" i="770" s="1"/>
  <c r="M659" i="770"/>
  <c r="G659" i="770"/>
  <c r="Q658" i="770"/>
  <c r="U658" i="770" s="1"/>
  <c r="V658" i="770" s="1"/>
  <c r="M658" i="770"/>
  <c r="G658" i="770"/>
  <c r="N658" i="770" s="1"/>
  <c r="V657" i="770"/>
  <c r="U657" i="770"/>
  <c r="X657" i="770" s="1"/>
  <c r="T657" i="770"/>
  <c r="Q657" i="770"/>
  <c r="R657" i="770" s="1"/>
  <c r="U656" i="770"/>
  <c r="X656" i="770" s="1"/>
  <c r="T656" i="770"/>
  <c r="R656" i="770"/>
  <c r="Q656" i="770"/>
  <c r="U655" i="770"/>
  <c r="V655" i="770" s="1"/>
  <c r="T655" i="770"/>
  <c r="Q655" i="770"/>
  <c r="R655" i="770" s="1"/>
  <c r="M655" i="770"/>
  <c r="G655" i="770"/>
  <c r="N655" i="770" s="1"/>
  <c r="U654" i="770"/>
  <c r="Q654" i="770"/>
  <c r="M654" i="770"/>
  <c r="G654" i="770"/>
  <c r="N654" i="770" s="1"/>
  <c r="U653" i="770"/>
  <c r="V653" i="770" s="1"/>
  <c r="T653" i="770"/>
  <c r="Q653" i="770"/>
  <c r="R653" i="770" s="1"/>
  <c r="N653" i="770"/>
  <c r="U652" i="770"/>
  <c r="Q652" i="770"/>
  <c r="M652" i="770"/>
  <c r="N652" i="770" s="1"/>
  <c r="G652" i="770"/>
  <c r="Q651" i="770"/>
  <c r="U651" i="770" s="1"/>
  <c r="M651" i="770"/>
  <c r="N651" i="770" s="1"/>
  <c r="G651" i="770"/>
  <c r="U650" i="770"/>
  <c r="V650" i="770" s="1"/>
  <c r="Q650" i="770"/>
  <c r="M650" i="770"/>
  <c r="G650" i="770"/>
  <c r="N650" i="770" s="1"/>
  <c r="T649" i="770"/>
  <c r="Q649" i="770"/>
  <c r="U649" i="770" s="1"/>
  <c r="V649" i="770" s="1"/>
  <c r="N649" i="770"/>
  <c r="X649" i="770" s="1"/>
  <c r="M649" i="770"/>
  <c r="G649" i="770"/>
  <c r="U648" i="770"/>
  <c r="V648" i="770" s="1"/>
  <c r="Q648" i="770"/>
  <c r="N648" i="770"/>
  <c r="X648" i="770" s="1"/>
  <c r="M648" i="770"/>
  <c r="G648" i="770"/>
  <c r="Q647" i="770"/>
  <c r="U647" i="770" s="1"/>
  <c r="M647" i="770"/>
  <c r="N647" i="770" s="1"/>
  <c r="G647" i="770"/>
  <c r="U646" i="770"/>
  <c r="Q646" i="770"/>
  <c r="M646" i="770"/>
  <c r="G646" i="770"/>
  <c r="N646" i="770" s="1"/>
  <c r="Q645" i="770"/>
  <c r="U645" i="770" s="1"/>
  <c r="X645" i="770" s="1"/>
  <c r="N645" i="770"/>
  <c r="T645" i="770" s="1"/>
  <c r="M645" i="770"/>
  <c r="G645" i="770"/>
  <c r="U644" i="770"/>
  <c r="Q644" i="770"/>
  <c r="M644" i="770"/>
  <c r="N644" i="770" s="1"/>
  <c r="U643" i="770"/>
  <c r="Q643" i="770"/>
  <c r="M643" i="770"/>
  <c r="G643" i="770"/>
  <c r="N643" i="770" s="1"/>
  <c r="Q642" i="770"/>
  <c r="U642" i="770" s="1"/>
  <c r="M642" i="770"/>
  <c r="G642" i="770"/>
  <c r="Q641" i="770"/>
  <c r="U641" i="770" s="1"/>
  <c r="M641" i="770"/>
  <c r="N641" i="770" s="1"/>
  <c r="G641" i="770"/>
  <c r="U640" i="770"/>
  <c r="V640" i="770" s="1"/>
  <c r="T640" i="770"/>
  <c r="Q640" i="770"/>
  <c r="R640" i="770" s="1"/>
  <c r="N640" i="770"/>
  <c r="U639" i="770"/>
  <c r="V639" i="770" s="1"/>
  <c r="Q639" i="770"/>
  <c r="M639" i="770"/>
  <c r="K639" i="770"/>
  <c r="G639" i="770"/>
  <c r="N639" i="770" s="1"/>
  <c r="X638" i="770"/>
  <c r="Q638" i="770"/>
  <c r="U638" i="770" s="1"/>
  <c r="U637" i="770"/>
  <c r="Q637" i="770"/>
  <c r="M637" i="770"/>
  <c r="G637" i="770"/>
  <c r="N637" i="770" s="1"/>
  <c r="U636" i="770"/>
  <c r="V636" i="770" s="1"/>
  <c r="Q636" i="770"/>
  <c r="R636" i="770" s="1"/>
  <c r="M636" i="770"/>
  <c r="G636" i="770"/>
  <c r="N636" i="770" s="1"/>
  <c r="T636" i="770" s="1"/>
  <c r="Q635" i="770"/>
  <c r="U635" i="770" s="1"/>
  <c r="M635" i="770"/>
  <c r="N635" i="770" s="1"/>
  <c r="G635" i="770"/>
  <c r="T634" i="770"/>
  <c r="Q634" i="770"/>
  <c r="U634" i="770" s="1"/>
  <c r="V634" i="770" s="1"/>
  <c r="M634" i="770"/>
  <c r="G634" i="770"/>
  <c r="N634" i="770" s="1"/>
  <c r="X633" i="770"/>
  <c r="V633" i="770"/>
  <c r="U633" i="770"/>
  <c r="T633" i="770"/>
  <c r="Q633" i="770"/>
  <c r="R633" i="770" s="1"/>
  <c r="U632" i="770"/>
  <c r="Q632" i="770"/>
  <c r="M632" i="770"/>
  <c r="G632" i="770"/>
  <c r="N632" i="770" s="1"/>
  <c r="U631" i="770"/>
  <c r="X631" i="770" s="1"/>
  <c r="T631" i="770"/>
  <c r="Q631" i="770"/>
  <c r="R631" i="770" s="1"/>
  <c r="R630" i="770"/>
  <c r="Q630" i="770"/>
  <c r="U630" i="770" s="1"/>
  <c r="X630" i="770" s="1"/>
  <c r="Q629" i="770"/>
  <c r="R629" i="770" s="1"/>
  <c r="X628" i="770"/>
  <c r="U628" i="770"/>
  <c r="R628" i="770"/>
  <c r="Q628" i="770"/>
  <c r="Q627" i="770"/>
  <c r="U627" i="770" s="1"/>
  <c r="X627" i="770" s="1"/>
  <c r="X626" i="770"/>
  <c r="U626" i="770"/>
  <c r="Q626" i="770"/>
  <c r="R626" i="770" s="1"/>
  <c r="T625" i="770"/>
  <c r="Q625" i="770"/>
  <c r="R625" i="770" s="1"/>
  <c r="N625" i="770"/>
  <c r="G625" i="770"/>
  <c r="Q624" i="770"/>
  <c r="U624" i="770" s="1"/>
  <c r="M624" i="770"/>
  <c r="N624" i="770" s="1"/>
  <c r="G624" i="770"/>
  <c r="V623" i="770"/>
  <c r="U623" i="770"/>
  <c r="Q623" i="770"/>
  <c r="N623" i="770"/>
  <c r="T623" i="770" s="1"/>
  <c r="K623" i="770"/>
  <c r="U622" i="770"/>
  <c r="V622" i="770" s="1"/>
  <c r="Q622" i="770"/>
  <c r="N622" i="770"/>
  <c r="T622" i="770" s="1"/>
  <c r="M622" i="770"/>
  <c r="G622" i="770"/>
  <c r="U621" i="770"/>
  <c r="V621" i="770" s="1"/>
  <c r="Q621" i="770"/>
  <c r="K621" i="770"/>
  <c r="G621" i="770"/>
  <c r="N621" i="770" s="1"/>
  <c r="X621" i="770" s="1"/>
  <c r="U620" i="770"/>
  <c r="V620" i="770" s="1"/>
  <c r="Q620" i="770"/>
  <c r="M620" i="770"/>
  <c r="G620" i="770"/>
  <c r="N620" i="770" s="1"/>
  <c r="R619" i="770"/>
  <c r="Q619" i="770"/>
  <c r="U619" i="770" s="1"/>
  <c r="V619" i="770" s="1"/>
  <c r="M619" i="770"/>
  <c r="G619" i="770"/>
  <c r="N619" i="770" s="1"/>
  <c r="U618" i="770"/>
  <c r="X618" i="770" s="1"/>
  <c r="R618" i="770"/>
  <c r="Q618" i="770"/>
  <c r="U617" i="770"/>
  <c r="Q617" i="770"/>
  <c r="M617" i="770"/>
  <c r="N617" i="770" s="1"/>
  <c r="G617" i="770"/>
  <c r="Q616" i="770"/>
  <c r="U616" i="770" s="1"/>
  <c r="M616" i="770"/>
  <c r="N616" i="770" s="1"/>
  <c r="G616" i="770"/>
  <c r="U615" i="770"/>
  <c r="V615" i="770" s="1"/>
  <c r="Q615" i="770"/>
  <c r="M615" i="770"/>
  <c r="G615" i="770"/>
  <c r="N615" i="770" s="1"/>
  <c r="T614" i="770"/>
  <c r="Q614" i="770"/>
  <c r="U614" i="770" s="1"/>
  <c r="V614" i="770" s="1"/>
  <c r="N614" i="770"/>
  <c r="X614" i="770" s="1"/>
  <c r="M614" i="770"/>
  <c r="G614" i="770"/>
  <c r="U613" i="770"/>
  <c r="X613" i="770" s="1"/>
  <c r="T613" i="770"/>
  <c r="R613" i="770"/>
  <c r="Q613" i="770"/>
  <c r="U612" i="770"/>
  <c r="Q612" i="770"/>
  <c r="G612" i="770"/>
  <c r="N612" i="770" s="1"/>
  <c r="Q611" i="770"/>
  <c r="U611" i="770" s="1"/>
  <c r="M611" i="770"/>
  <c r="G611" i="770"/>
  <c r="N611" i="770" s="1"/>
  <c r="T610" i="770"/>
  <c r="Q610" i="770"/>
  <c r="U610" i="770" s="1"/>
  <c r="R609" i="770"/>
  <c r="Q609" i="770"/>
  <c r="U609" i="770" s="1"/>
  <c r="V609" i="770" s="1"/>
  <c r="M609" i="770"/>
  <c r="G609" i="770"/>
  <c r="N609" i="770" s="1"/>
  <c r="Q608" i="770"/>
  <c r="U608" i="770" s="1"/>
  <c r="G608" i="770"/>
  <c r="N608" i="770" s="1"/>
  <c r="X607" i="770"/>
  <c r="U607" i="770"/>
  <c r="V607" i="770" s="1"/>
  <c r="T607" i="770"/>
  <c r="R607" i="770"/>
  <c r="Q607" i="770"/>
  <c r="U606" i="770"/>
  <c r="Q606" i="770"/>
  <c r="M606" i="770"/>
  <c r="G606" i="770"/>
  <c r="N606" i="770" s="1"/>
  <c r="T605" i="770"/>
  <c r="Q605" i="770"/>
  <c r="R605" i="770" s="1"/>
  <c r="Q604" i="770"/>
  <c r="U604" i="770" s="1"/>
  <c r="M604" i="770"/>
  <c r="N604" i="770" s="1"/>
  <c r="G604" i="770"/>
  <c r="U603" i="770"/>
  <c r="V603" i="770" s="1"/>
  <c r="Q603" i="770"/>
  <c r="G603" i="770"/>
  <c r="N603" i="770" s="1"/>
  <c r="U602" i="770"/>
  <c r="Q602" i="770"/>
  <c r="M602" i="770"/>
  <c r="G602" i="770"/>
  <c r="N602" i="770" s="1"/>
  <c r="U601" i="770"/>
  <c r="V601" i="770" s="1"/>
  <c r="Q601" i="770"/>
  <c r="M601" i="770"/>
  <c r="G601" i="770"/>
  <c r="N601" i="770" s="1"/>
  <c r="Q600" i="770"/>
  <c r="U600" i="770" s="1"/>
  <c r="M600" i="770"/>
  <c r="G600" i="770"/>
  <c r="N600" i="770" s="1"/>
  <c r="Q599" i="770"/>
  <c r="U599" i="770" s="1"/>
  <c r="M599" i="770"/>
  <c r="G599" i="770"/>
  <c r="N599" i="770" s="1"/>
  <c r="U598" i="770"/>
  <c r="V598" i="770" s="1"/>
  <c r="Q598" i="770"/>
  <c r="R598" i="770" s="1"/>
  <c r="M598" i="770"/>
  <c r="G598" i="770"/>
  <c r="N598" i="770" s="1"/>
  <c r="U597" i="770"/>
  <c r="Q597" i="770"/>
  <c r="M597" i="770"/>
  <c r="G597" i="770"/>
  <c r="N597" i="770" s="1"/>
  <c r="T596" i="770"/>
  <c r="Q596" i="770"/>
  <c r="U596" i="770" s="1"/>
  <c r="U595" i="770"/>
  <c r="X595" i="770" s="1"/>
  <c r="Q595" i="770"/>
  <c r="R595" i="770" s="1"/>
  <c r="N595" i="770"/>
  <c r="T595" i="770" s="1"/>
  <c r="R594" i="770"/>
  <c r="Q594" i="770"/>
  <c r="U594" i="770" s="1"/>
  <c r="N594" i="770"/>
  <c r="T594" i="770" s="1"/>
  <c r="T593" i="770"/>
  <c r="Q593" i="770"/>
  <c r="U593" i="770" s="1"/>
  <c r="Q592" i="770"/>
  <c r="U592" i="770" s="1"/>
  <c r="X592" i="770" s="1"/>
  <c r="U591" i="770"/>
  <c r="V591" i="770" s="1"/>
  <c r="Q591" i="770"/>
  <c r="R591" i="770" s="1"/>
  <c r="M591" i="770"/>
  <c r="G591" i="770"/>
  <c r="N591" i="770" s="1"/>
  <c r="U590" i="770"/>
  <c r="X590" i="770" s="1"/>
  <c r="T590" i="770"/>
  <c r="Q590" i="770"/>
  <c r="R590" i="770" s="1"/>
  <c r="N590" i="770"/>
  <c r="U589" i="770"/>
  <c r="Q589" i="770"/>
  <c r="G589" i="770"/>
  <c r="N589" i="770" s="1"/>
  <c r="U588" i="770"/>
  <c r="X588" i="770" s="1"/>
  <c r="Q588" i="770"/>
  <c r="R588" i="770" s="1"/>
  <c r="N588" i="770"/>
  <c r="T588" i="770" s="1"/>
  <c r="Q587" i="770"/>
  <c r="U587" i="770" s="1"/>
  <c r="M587" i="770"/>
  <c r="N587" i="770" s="1"/>
  <c r="G587" i="770"/>
  <c r="U586" i="770"/>
  <c r="X586" i="770" s="1"/>
  <c r="T586" i="770"/>
  <c r="R586" i="770"/>
  <c r="Q586" i="770"/>
  <c r="U585" i="770"/>
  <c r="Q585" i="770"/>
  <c r="M585" i="770"/>
  <c r="N585" i="770" s="1"/>
  <c r="G585" i="770"/>
  <c r="R584" i="770"/>
  <c r="Q584" i="770"/>
  <c r="U584" i="770" s="1"/>
  <c r="N584" i="770"/>
  <c r="T584" i="770" s="1"/>
  <c r="Q583" i="770"/>
  <c r="U583" i="770" s="1"/>
  <c r="N583" i="770"/>
  <c r="T583" i="770" s="1"/>
  <c r="U582" i="770"/>
  <c r="X582" i="770" s="1"/>
  <c r="T582" i="770"/>
  <c r="Q582" i="770"/>
  <c r="R582" i="770" s="1"/>
  <c r="T581" i="770"/>
  <c r="R581" i="770"/>
  <c r="Q581" i="770"/>
  <c r="U581" i="770" s="1"/>
  <c r="U580" i="770"/>
  <c r="V580" i="770" s="1"/>
  <c r="Q580" i="770"/>
  <c r="R580" i="770" s="1"/>
  <c r="G580" i="770"/>
  <c r="N580" i="770" s="1"/>
  <c r="U579" i="770"/>
  <c r="V579" i="770" s="1"/>
  <c r="Q579" i="770"/>
  <c r="R579" i="770" s="1"/>
  <c r="N579" i="770"/>
  <c r="X579" i="770" s="1"/>
  <c r="U578" i="770"/>
  <c r="V578" i="770" s="1"/>
  <c r="Q578" i="770"/>
  <c r="R578" i="770" s="1"/>
  <c r="M578" i="770"/>
  <c r="G578" i="770"/>
  <c r="N578" i="770" s="1"/>
  <c r="U577" i="770"/>
  <c r="Q577" i="770"/>
  <c r="M577" i="770"/>
  <c r="G577" i="770"/>
  <c r="N577" i="770" s="1"/>
  <c r="Q576" i="770"/>
  <c r="U576" i="770" s="1"/>
  <c r="V576" i="770" s="1"/>
  <c r="N576" i="770"/>
  <c r="X576" i="770" s="1"/>
  <c r="Q575" i="770"/>
  <c r="R575" i="770" s="1"/>
  <c r="N575" i="770"/>
  <c r="T575" i="770" s="1"/>
  <c r="T574" i="770"/>
  <c r="Q574" i="770"/>
  <c r="U574" i="770" s="1"/>
  <c r="V574" i="770" s="1"/>
  <c r="N574" i="770"/>
  <c r="M574" i="770"/>
  <c r="G574" i="770"/>
  <c r="U573" i="770"/>
  <c r="V573" i="770" s="1"/>
  <c r="Q573" i="770"/>
  <c r="R573" i="770" s="1"/>
  <c r="N573" i="770"/>
  <c r="X573" i="770" s="1"/>
  <c r="U572" i="770"/>
  <c r="X572" i="770" s="1"/>
  <c r="Q572" i="770"/>
  <c r="R572" i="770" s="1"/>
  <c r="N572" i="770"/>
  <c r="T572" i="770" s="1"/>
  <c r="Q571" i="770"/>
  <c r="U571" i="770" s="1"/>
  <c r="V571" i="770" s="1"/>
  <c r="G571" i="770"/>
  <c r="N571" i="770" s="1"/>
  <c r="Q570" i="770"/>
  <c r="U570" i="770" s="1"/>
  <c r="V570" i="770" s="1"/>
  <c r="M570" i="770"/>
  <c r="G570" i="770"/>
  <c r="N570" i="770" s="1"/>
  <c r="U569" i="770"/>
  <c r="Q569" i="770"/>
  <c r="M569" i="770"/>
  <c r="G569" i="770"/>
  <c r="N569" i="770" s="1"/>
  <c r="U568" i="770"/>
  <c r="Q568" i="770"/>
  <c r="M568" i="770"/>
  <c r="N568" i="770" s="1"/>
  <c r="G568" i="770"/>
  <c r="Q567" i="770"/>
  <c r="N567" i="770"/>
  <c r="G567" i="770"/>
  <c r="Q566" i="770"/>
  <c r="U566" i="770" s="1"/>
  <c r="N566" i="770"/>
  <c r="T566" i="770" s="1"/>
  <c r="M566" i="770"/>
  <c r="G566" i="770"/>
  <c r="X565" i="770"/>
  <c r="V565" i="770"/>
  <c r="U565" i="770"/>
  <c r="T565" i="770"/>
  <c r="Q565" i="770"/>
  <c r="R565" i="770" s="1"/>
  <c r="N565" i="770"/>
  <c r="Q564" i="770"/>
  <c r="M564" i="770"/>
  <c r="G564" i="770"/>
  <c r="N564" i="770" s="1"/>
  <c r="T563" i="770"/>
  <c r="R563" i="770"/>
  <c r="Q563" i="770"/>
  <c r="U563" i="770" s="1"/>
  <c r="U562" i="770"/>
  <c r="V562" i="770" s="1"/>
  <c r="Q562" i="770"/>
  <c r="M562" i="770"/>
  <c r="G562" i="770"/>
  <c r="N562" i="770" s="1"/>
  <c r="Q561" i="770"/>
  <c r="N561" i="770"/>
  <c r="M561" i="770"/>
  <c r="G561" i="770"/>
  <c r="Q560" i="770"/>
  <c r="U560" i="770" s="1"/>
  <c r="M560" i="770"/>
  <c r="G560" i="770"/>
  <c r="N560" i="770" s="1"/>
  <c r="U559" i="770"/>
  <c r="Q559" i="770"/>
  <c r="R559" i="770" s="1"/>
  <c r="N559" i="770"/>
  <c r="T559" i="770" s="1"/>
  <c r="X558" i="770"/>
  <c r="U558" i="770"/>
  <c r="Q558" i="770"/>
  <c r="R558" i="770" s="1"/>
  <c r="X557" i="770"/>
  <c r="U557" i="770"/>
  <c r="Q557" i="770"/>
  <c r="G557" i="770"/>
  <c r="N557" i="770" s="1"/>
  <c r="V557" i="770" s="1"/>
  <c r="X556" i="770"/>
  <c r="T556" i="770"/>
  <c r="R556" i="770"/>
  <c r="Q556" i="770"/>
  <c r="U556" i="770" s="1"/>
  <c r="V556" i="770" s="1"/>
  <c r="Q555" i="770"/>
  <c r="N555" i="770"/>
  <c r="M555" i="770"/>
  <c r="G555" i="770"/>
  <c r="V554" i="770"/>
  <c r="U554" i="770"/>
  <c r="X554" i="770" s="1"/>
  <c r="T554" i="770"/>
  <c r="R554" i="770"/>
  <c r="Q554" i="770"/>
  <c r="U553" i="770"/>
  <c r="Q553" i="770"/>
  <c r="M553" i="770"/>
  <c r="G553" i="770"/>
  <c r="N553" i="770" s="1"/>
  <c r="Q552" i="770"/>
  <c r="R552" i="770" s="1"/>
  <c r="N552" i="770"/>
  <c r="M552" i="770"/>
  <c r="G552" i="770"/>
  <c r="V551" i="770"/>
  <c r="U551" i="770"/>
  <c r="X551" i="770" s="1"/>
  <c r="T551" i="770"/>
  <c r="R551" i="770"/>
  <c r="Q551" i="770"/>
  <c r="U550" i="770"/>
  <c r="V550" i="770" s="1"/>
  <c r="T550" i="770"/>
  <c r="R550" i="770"/>
  <c r="Q550" i="770"/>
  <c r="N550" i="770"/>
  <c r="X550" i="770" s="1"/>
  <c r="X549" i="770"/>
  <c r="U549" i="770"/>
  <c r="T549" i="770"/>
  <c r="Q549" i="770"/>
  <c r="R549" i="770" s="1"/>
  <c r="M549" i="770"/>
  <c r="G549" i="770"/>
  <c r="N549" i="770" s="1"/>
  <c r="V549" i="770" s="1"/>
  <c r="Q548" i="770"/>
  <c r="U548" i="770" s="1"/>
  <c r="N548" i="770"/>
  <c r="M548" i="770"/>
  <c r="G548" i="770"/>
  <c r="U547" i="770"/>
  <c r="T547" i="770"/>
  <c r="Q547" i="770"/>
  <c r="R547" i="770" s="1"/>
  <c r="X546" i="770"/>
  <c r="V546" i="770"/>
  <c r="U546" i="770"/>
  <c r="T546" i="770"/>
  <c r="Q546" i="770"/>
  <c r="R546" i="770" s="1"/>
  <c r="U545" i="770"/>
  <c r="Q545" i="770"/>
  <c r="R545" i="770" s="1"/>
  <c r="N545" i="770"/>
  <c r="M545" i="770"/>
  <c r="G545" i="770"/>
  <c r="T544" i="770"/>
  <c r="Q544" i="770"/>
  <c r="X543" i="770"/>
  <c r="T543" i="770"/>
  <c r="R543" i="770"/>
  <c r="Q543" i="770"/>
  <c r="U543" i="770" s="1"/>
  <c r="V543" i="770" s="1"/>
  <c r="Q542" i="770"/>
  <c r="N542" i="770"/>
  <c r="T542" i="770" s="1"/>
  <c r="M542" i="770"/>
  <c r="G542" i="770"/>
  <c r="X541" i="770"/>
  <c r="V541" i="770"/>
  <c r="U541" i="770"/>
  <c r="T541" i="770"/>
  <c r="Q541" i="770"/>
  <c r="R541" i="770" s="1"/>
  <c r="N541" i="770"/>
  <c r="Q540" i="770"/>
  <c r="M540" i="770"/>
  <c r="G540" i="770"/>
  <c r="N540" i="770" s="1"/>
  <c r="Q539" i="770"/>
  <c r="U539" i="770" s="1"/>
  <c r="G539" i="770"/>
  <c r="N539" i="770" s="1"/>
  <c r="X538" i="770"/>
  <c r="U538" i="770"/>
  <c r="T538" i="770"/>
  <c r="Q538" i="770"/>
  <c r="M538" i="770"/>
  <c r="G538" i="770"/>
  <c r="N538" i="770" s="1"/>
  <c r="V538" i="770" s="1"/>
  <c r="X537" i="770"/>
  <c r="T537" i="770"/>
  <c r="R537" i="770"/>
  <c r="Q537" i="770"/>
  <c r="U537" i="770" s="1"/>
  <c r="V537" i="770" s="1"/>
  <c r="T536" i="770"/>
  <c r="Q536" i="770"/>
  <c r="X535" i="770"/>
  <c r="T535" i="770"/>
  <c r="Q535" i="770"/>
  <c r="U535" i="770" s="1"/>
  <c r="N535" i="770"/>
  <c r="R535" i="770" s="1"/>
  <c r="G535" i="770"/>
  <c r="U534" i="770"/>
  <c r="V534" i="770" s="1"/>
  <c r="T534" i="770"/>
  <c r="R534" i="770"/>
  <c r="Q534" i="770"/>
  <c r="M534" i="770"/>
  <c r="G534" i="770"/>
  <c r="N534" i="770" s="1"/>
  <c r="X534" i="770" s="1"/>
  <c r="Q533" i="770"/>
  <c r="R533" i="770" s="1"/>
  <c r="N533" i="770"/>
  <c r="M533" i="770"/>
  <c r="G533" i="770"/>
  <c r="V532" i="770"/>
  <c r="U532" i="770"/>
  <c r="R532" i="770"/>
  <c r="Q532" i="770"/>
  <c r="M532" i="770"/>
  <c r="G532" i="770"/>
  <c r="N532" i="770" s="1"/>
  <c r="R531" i="770"/>
  <c r="Q531" i="770"/>
  <c r="U531" i="770" s="1"/>
  <c r="X531" i="770" s="1"/>
  <c r="M531" i="770"/>
  <c r="N531" i="770" s="1"/>
  <c r="T531" i="770" s="1"/>
  <c r="G531" i="770"/>
  <c r="U530" i="770"/>
  <c r="V530" i="770" s="1"/>
  <c r="T530" i="770"/>
  <c r="R530" i="770"/>
  <c r="Q530" i="770"/>
  <c r="N530" i="770"/>
  <c r="X530" i="770" s="1"/>
  <c r="X529" i="770"/>
  <c r="V529" i="770"/>
  <c r="U529" i="770"/>
  <c r="T529" i="770"/>
  <c r="Q529" i="770"/>
  <c r="R529" i="770" s="1"/>
  <c r="N529" i="770"/>
  <c r="Q528" i="770"/>
  <c r="N528" i="770"/>
  <c r="M528" i="770"/>
  <c r="G528" i="770"/>
  <c r="Q527" i="770"/>
  <c r="U527" i="770" s="1"/>
  <c r="M527" i="770"/>
  <c r="G527" i="770"/>
  <c r="N527" i="770" s="1"/>
  <c r="U526" i="770"/>
  <c r="Q526" i="770"/>
  <c r="M526" i="770"/>
  <c r="G526" i="770"/>
  <c r="N526" i="770" s="1"/>
  <c r="U525" i="770"/>
  <c r="V525" i="770" s="1"/>
  <c r="T525" i="770"/>
  <c r="Q525" i="770"/>
  <c r="R525" i="770" s="1"/>
  <c r="N525" i="770"/>
  <c r="U524" i="770"/>
  <c r="V524" i="770" s="1"/>
  <c r="T524" i="770"/>
  <c r="R524" i="770"/>
  <c r="Q524" i="770"/>
  <c r="M524" i="770"/>
  <c r="G524" i="770"/>
  <c r="N524" i="770" s="1"/>
  <c r="X524" i="770" s="1"/>
  <c r="Q523" i="770"/>
  <c r="M523" i="770"/>
  <c r="N523" i="770" s="1"/>
  <c r="G523" i="770"/>
  <c r="U522" i="770"/>
  <c r="X522" i="770" s="1"/>
  <c r="R522" i="770"/>
  <c r="Q522" i="770"/>
  <c r="Q521" i="770"/>
  <c r="N521" i="770"/>
  <c r="T521" i="770" s="1"/>
  <c r="T520" i="770"/>
  <c r="Q520" i="770"/>
  <c r="T519" i="770"/>
  <c r="R519" i="770"/>
  <c r="Q519" i="770"/>
  <c r="U519" i="770" s="1"/>
  <c r="Q518" i="770"/>
  <c r="M518" i="770"/>
  <c r="G518" i="770"/>
  <c r="N518" i="770" s="1"/>
  <c r="Q517" i="770"/>
  <c r="N517" i="770"/>
  <c r="M517" i="770"/>
  <c r="G517" i="770"/>
  <c r="Q516" i="770"/>
  <c r="U516" i="770" s="1"/>
  <c r="M516" i="770"/>
  <c r="G516" i="770"/>
  <c r="N516" i="770" s="1"/>
  <c r="X515" i="770"/>
  <c r="U515" i="770"/>
  <c r="V515" i="770" s="1"/>
  <c r="T515" i="770"/>
  <c r="Q515" i="770"/>
  <c r="R515" i="770" s="1"/>
  <c r="U514" i="770"/>
  <c r="V514" i="770" s="1"/>
  <c r="Q514" i="770"/>
  <c r="N514" i="770"/>
  <c r="M514" i="770"/>
  <c r="G514" i="770"/>
  <c r="Q513" i="770"/>
  <c r="U513" i="770" s="1"/>
  <c r="K513" i="770"/>
  <c r="N513" i="770" s="1"/>
  <c r="X512" i="770"/>
  <c r="V512" i="770"/>
  <c r="U512" i="770"/>
  <c r="T512" i="770"/>
  <c r="Q512" i="770"/>
  <c r="R512" i="770" s="1"/>
  <c r="U511" i="770"/>
  <c r="V511" i="770" s="1"/>
  <c r="Q511" i="770"/>
  <c r="N511" i="770"/>
  <c r="T511" i="770" s="1"/>
  <c r="U510" i="770"/>
  <c r="V510" i="770" s="1"/>
  <c r="Q510" i="770"/>
  <c r="M510" i="770"/>
  <c r="G510" i="770"/>
  <c r="N510" i="770" s="1"/>
  <c r="U509" i="770"/>
  <c r="V509" i="770" s="1"/>
  <c r="T509" i="770"/>
  <c r="Q509" i="770"/>
  <c r="R509" i="770" s="1"/>
  <c r="M509" i="770"/>
  <c r="G509" i="770"/>
  <c r="N509" i="770" s="1"/>
  <c r="U508" i="770"/>
  <c r="Q508" i="770"/>
  <c r="M508" i="770"/>
  <c r="G508" i="770"/>
  <c r="N508" i="770" s="1"/>
  <c r="T507" i="770"/>
  <c r="Q507" i="770"/>
  <c r="U507" i="770" s="1"/>
  <c r="V507" i="770" s="1"/>
  <c r="G507" i="770"/>
  <c r="N507" i="770" s="1"/>
  <c r="U506" i="770"/>
  <c r="Q506" i="770"/>
  <c r="M506" i="770"/>
  <c r="G506" i="770"/>
  <c r="N506" i="770" s="1"/>
  <c r="X505" i="770"/>
  <c r="T505" i="770"/>
  <c r="R505" i="770"/>
  <c r="Q505" i="770"/>
  <c r="U505" i="770" s="1"/>
  <c r="N505" i="770"/>
  <c r="M505" i="770"/>
  <c r="G505" i="770"/>
  <c r="X504" i="770"/>
  <c r="U504" i="770"/>
  <c r="Q504" i="770"/>
  <c r="N504" i="770"/>
  <c r="G504" i="770"/>
  <c r="V503" i="770"/>
  <c r="T503" i="770"/>
  <c r="Q503" i="770"/>
  <c r="U503" i="770" s="1"/>
  <c r="X503" i="770" s="1"/>
  <c r="X502" i="770"/>
  <c r="V502" i="770"/>
  <c r="T502" i="770"/>
  <c r="Q502" i="770"/>
  <c r="U502" i="770" s="1"/>
  <c r="R501" i="770"/>
  <c r="Q501" i="770"/>
  <c r="U501" i="770" s="1"/>
  <c r="V501" i="770" s="1"/>
  <c r="N501" i="770"/>
  <c r="M501" i="770"/>
  <c r="G501" i="770"/>
  <c r="U500" i="770"/>
  <c r="V500" i="770" s="1"/>
  <c r="T500" i="770"/>
  <c r="R500" i="770"/>
  <c r="Q500" i="770"/>
  <c r="M500" i="770"/>
  <c r="N500" i="770" s="1"/>
  <c r="G500" i="770"/>
  <c r="Q499" i="770"/>
  <c r="U499" i="770" s="1"/>
  <c r="M499" i="770"/>
  <c r="N499" i="770" s="1"/>
  <c r="X499" i="770" s="1"/>
  <c r="G499" i="770"/>
  <c r="U498" i="770"/>
  <c r="Q498" i="770"/>
  <c r="M498" i="770"/>
  <c r="G498" i="770"/>
  <c r="Q497" i="770"/>
  <c r="U497" i="770" s="1"/>
  <c r="M497" i="770"/>
  <c r="N497" i="770" s="1"/>
  <c r="G497" i="770"/>
  <c r="U496" i="770"/>
  <c r="Q496" i="770"/>
  <c r="M496" i="770"/>
  <c r="G496" i="770"/>
  <c r="Q495" i="770"/>
  <c r="N495" i="770"/>
  <c r="T495" i="770" s="1"/>
  <c r="M495" i="770"/>
  <c r="G495" i="770"/>
  <c r="U494" i="770"/>
  <c r="V494" i="770" s="1"/>
  <c r="T494" i="770"/>
  <c r="R494" i="770"/>
  <c r="Q494" i="770"/>
  <c r="M494" i="770"/>
  <c r="G494" i="770"/>
  <c r="N494" i="770" s="1"/>
  <c r="Q493" i="770"/>
  <c r="U493" i="770" s="1"/>
  <c r="M493" i="770"/>
  <c r="N493" i="770" s="1"/>
  <c r="G493" i="770"/>
  <c r="U492" i="770"/>
  <c r="X492" i="770" s="1"/>
  <c r="T492" i="770"/>
  <c r="R492" i="770"/>
  <c r="Q492" i="770"/>
  <c r="U491" i="770"/>
  <c r="V491" i="770" s="1"/>
  <c r="Q491" i="770"/>
  <c r="M491" i="770"/>
  <c r="G491" i="770"/>
  <c r="N491" i="770" s="1"/>
  <c r="Q490" i="770"/>
  <c r="U490" i="770" s="1"/>
  <c r="M490" i="770"/>
  <c r="N490" i="770" s="1"/>
  <c r="G490" i="770"/>
  <c r="V489" i="770"/>
  <c r="U489" i="770"/>
  <c r="X489" i="770" s="1"/>
  <c r="T489" i="770"/>
  <c r="R489" i="770"/>
  <c r="Q489" i="770"/>
  <c r="U488" i="770"/>
  <c r="V488" i="770" s="1"/>
  <c r="Q488" i="770"/>
  <c r="M488" i="770"/>
  <c r="G488" i="770"/>
  <c r="N488" i="770" s="1"/>
  <c r="Q487" i="770"/>
  <c r="U487" i="770" s="1"/>
  <c r="N487" i="770"/>
  <c r="M487" i="770"/>
  <c r="G487" i="770"/>
  <c r="U486" i="770"/>
  <c r="Q486" i="770"/>
  <c r="M486" i="770"/>
  <c r="G486" i="770"/>
  <c r="R485" i="770"/>
  <c r="Q485" i="770"/>
  <c r="U485" i="770" s="1"/>
  <c r="V485" i="770" s="1"/>
  <c r="N485" i="770"/>
  <c r="T485" i="770" s="1"/>
  <c r="M485" i="770"/>
  <c r="G485" i="770"/>
  <c r="Q484" i="770"/>
  <c r="Q483" i="770"/>
  <c r="U482" i="770"/>
  <c r="V482" i="770" s="1"/>
  <c r="Q482" i="770"/>
  <c r="N482" i="770"/>
  <c r="T482" i="770" s="1"/>
  <c r="M482" i="770"/>
  <c r="G482" i="770"/>
  <c r="T481" i="770"/>
  <c r="R481" i="770"/>
  <c r="Q481" i="770"/>
  <c r="U481" i="770" s="1"/>
  <c r="Q480" i="770"/>
  <c r="M480" i="770"/>
  <c r="G480" i="770"/>
  <c r="N480" i="770" s="1"/>
  <c r="T479" i="770"/>
  <c r="Q479" i="770"/>
  <c r="T478" i="770"/>
  <c r="Q478" i="770"/>
  <c r="T477" i="770"/>
  <c r="Q477" i="770"/>
  <c r="R477" i="770" s="1"/>
  <c r="U476" i="770"/>
  <c r="Q476" i="770"/>
  <c r="M476" i="770"/>
  <c r="G476" i="770"/>
  <c r="N476" i="770" s="1"/>
  <c r="V476" i="770" s="1"/>
  <c r="U475" i="770"/>
  <c r="V475" i="770" s="1"/>
  <c r="T475" i="770"/>
  <c r="Q475" i="770"/>
  <c r="R475" i="770" s="1"/>
  <c r="M475" i="770"/>
  <c r="G475" i="770"/>
  <c r="N475" i="770" s="1"/>
  <c r="T474" i="770"/>
  <c r="Q474" i="770"/>
  <c r="R474" i="770" s="1"/>
  <c r="U473" i="770"/>
  <c r="V473" i="770" s="1"/>
  <c r="Q473" i="770"/>
  <c r="M473" i="770"/>
  <c r="G473" i="770"/>
  <c r="N473" i="770" s="1"/>
  <c r="T473" i="770" s="1"/>
  <c r="U472" i="770"/>
  <c r="T472" i="770"/>
  <c r="Q472" i="770"/>
  <c r="R472" i="770" s="1"/>
  <c r="T471" i="770"/>
  <c r="Q471" i="770"/>
  <c r="U471" i="770" s="1"/>
  <c r="Q470" i="770"/>
  <c r="U470" i="770" s="1"/>
  <c r="X470" i="770" s="1"/>
  <c r="R469" i="770"/>
  <c r="Q469" i="770"/>
  <c r="U469" i="770" s="1"/>
  <c r="N469" i="770"/>
  <c r="T469" i="770" s="1"/>
  <c r="R468" i="770"/>
  <c r="Q468" i="770"/>
  <c r="U468" i="770" s="1"/>
  <c r="N468" i="770"/>
  <c r="X468" i="770" s="1"/>
  <c r="M468" i="770"/>
  <c r="G468" i="770"/>
  <c r="U467" i="770"/>
  <c r="V467" i="770" s="1"/>
  <c r="Q467" i="770"/>
  <c r="M467" i="770"/>
  <c r="G467" i="770"/>
  <c r="N467" i="770" s="1"/>
  <c r="X466" i="770"/>
  <c r="T466" i="770"/>
  <c r="Q466" i="770"/>
  <c r="U466" i="770" s="1"/>
  <c r="N466" i="770"/>
  <c r="K466" i="770"/>
  <c r="G466" i="770"/>
  <c r="X465" i="770"/>
  <c r="U465" i="770"/>
  <c r="V465" i="770" s="1"/>
  <c r="Q465" i="770"/>
  <c r="R465" i="770" s="1"/>
  <c r="N465" i="770"/>
  <c r="T465" i="770" s="1"/>
  <c r="T464" i="770"/>
  <c r="Q464" i="770"/>
  <c r="R464" i="770" s="1"/>
  <c r="Q463" i="770"/>
  <c r="N463" i="770"/>
  <c r="T463" i="770" s="1"/>
  <c r="X462" i="770"/>
  <c r="V462" i="770"/>
  <c r="R462" i="770"/>
  <c r="Q462" i="770"/>
  <c r="U462" i="770" s="1"/>
  <c r="N462" i="770"/>
  <c r="T462" i="770" s="1"/>
  <c r="T461" i="770"/>
  <c r="R461" i="770"/>
  <c r="Q461" i="770"/>
  <c r="U461" i="770" s="1"/>
  <c r="Q460" i="770"/>
  <c r="N460" i="770"/>
  <c r="U459" i="770"/>
  <c r="T459" i="770"/>
  <c r="Q459" i="770"/>
  <c r="R459" i="770" s="1"/>
  <c r="U458" i="770"/>
  <c r="V458" i="770" s="1"/>
  <c r="T458" i="770"/>
  <c r="R458" i="770"/>
  <c r="Q458" i="770"/>
  <c r="N458" i="770"/>
  <c r="U457" i="770"/>
  <c r="T457" i="770"/>
  <c r="R457" i="770"/>
  <c r="Q457" i="770"/>
  <c r="N457" i="770"/>
  <c r="U456" i="770"/>
  <c r="T456" i="770"/>
  <c r="Q456" i="770"/>
  <c r="R456" i="770" s="1"/>
  <c r="U455" i="770"/>
  <c r="T455" i="770"/>
  <c r="Q455" i="770"/>
  <c r="R455" i="770" s="1"/>
  <c r="U454" i="770"/>
  <c r="V454" i="770" s="1"/>
  <c r="T454" i="770"/>
  <c r="Q454" i="770"/>
  <c r="R454" i="770" s="1"/>
  <c r="X453" i="770"/>
  <c r="U453" i="770"/>
  <c r="V453" i="770" s="1"/>
  <c r="Q453" i="770"/>
  <c r="R453" i="770" s="1"/>
  <c r="N453" i="770"/>
  <c r="T453" i="770" s="1"/>
  <c r="T452" i="770"/>
  <c r="Q452" i="770"/>
  <c r="R452" i="770" s="1"/>
  <c r="T451" i="770"/>
  <c r="Q451" i="770"/>
  <c r="R451" i="770" s="1"/>
  <c r="X450" i="770"/>
  <c r="U450" i="770"/>
  <c r="V450" i="770" s="1"/>
  <c r="T450" i="770"/>
  <c r="Q450" i="770"/>
  <c r="R450" i="770" s="1"/>
  <c r="U449" i="770"/>
  <c r="T449" i="770"/>
  <c r="Q449" i="770"/>
  <c r="R449" i="770" s="1"/>
  <c r="U448" i="770"/>
  <c r="X448" i="770" s="1"/>
  <c r="R448" i="770"/>
  <c r="Q448" i="770"/>
  <c r="V447" i="770"/>
  <c r="U447" i="770"/>
  <c r="X447" i="770" s="1"/>
  <c r="T447" i="770"/>
  <c r="R447" i="770"/>
  <c r="Q447" i="770"/>
  <c r="N447" i="770"/>
  <c r="T446" i="770"/>
  <c r="Q446" i="770"/>
  <c r="Q445" i="770"/>
  <c r="U445" i="770" s="1"/>
  <c r="V445" i="770" s="1"/>
  <c r="K445" i="770"/>
  <c r="N445" i="770" s="1"/>
  <c r="T444" i="770"/>
  <c r="Q444" i="770"/>
  <c r="X443" i="770"/>
  <c r="V443" i="770"/>
  <c r="T443" i="770"/>
  <c r="Q443" i="770"/>
  <c r="U443" i="770" s="1"/>
  <c r="Q442" i="770"/>
  <c r="R442" i="770" s="1"/>
  <c r="T441" i="770"/>
  <c r="Q441" i="770"/>
  <c r="N441" i="770"/>
  <c r="K441" i="770"/>
  <c r="T440" i="770"/>
  <c r="Q440" i="770"/>
  <c r="U440" i="770" s="1"/>
  <c r="N440" i="770"/>
  <c r="T439" i="770"/>
  <c r="Q439" i="770"/>
  <c r="U439" i="770" s="1"/>
  <c r="N439" i="770"/>
  <c r="K439" i="770"/>
  <c r="U438" i="770"/>
  <c r="T438" i="770"/>
  <c r="R438" i="770"/>
  <c r="Q438" i="770"/>
  <c r="V437" i="770"/>
  <c r="U437" i="770"/>
  <c r="X437" i="770" s="1"/>
  <c r="T437" i="770"/>
  <c r="Q437" i="770"/>
  <c r="N437" i="770"/>
  <c r="R437" i="770" s="1"/>
  <c r="V436" i="770"/>
  <c r="U436" i="770"/>
  <c r="X436" i="770" s="1"/>
  <c r="T436" i="770"/>
  <c r="Q436" i="770"/>
  <c r="R436" i="770" s="1"/>
  <c r="V435" i="770"/>
  <c r="U435" i="770"/>
  <c r="Q435" i="770"/>
  <c r="G435" i="770"/>
  <c r="N435" i="770" s="1"/>
  <c r="X434" i="770"/>
  <c r="V434" i="770"/>
  <c r="T434" i="770"/>
  <c r="Q434" i="770"/>
  <c r="U434" i="770" s="1"/>
  <c r="N434" i="770"/>
  <c r="X433" i="770"/>
  <c r="U433" i="770"/>
  <c r="V433" i="770" s="1"/>
  <c r="T433" i="770"/>
  <c r="Q433" i="770"/>
  <c r="R433" i="770" s="1"/>
  <c r="N433" i="770"/>
  <c r="U432" i="770"/>
  <c r="V432" i="770" s="1"/>
  <c r="T432" i="770"/>
  <c r="Q432" i="770"/>
  <c r="R432" i="770" s="1"/>
  <c r="N432" i="770"/>
  <c r="X431" i="770"/>
  <c r="U431" i="770"/>
  <c r="V431" i="770" s="1"/>
  <c r="T431" i="770"/>
  <c r="R431" i="770"/>
  <c r="Q431" i="770"/>
  <c r="V430" i="770"/>
  <c r="U430" i="770"/>
  <c r="Q430" i="770"/>
  <c r="N430" i="770"/>
  <c r="Q429" i="770"/>
  <c r="U429" i="770" s="1"/>
  <c r="V429" i="770" s="1"/>
  <c r="N429" i="770"/>
  <c r="T429" i="770" s="1"/>
  <c r="T428" i="770"/>
  <c r="Q428" i="770"/>
  <c r="T427" i="770"/>
  <c r="Q427" i="770"/>
  <c r="R427" i="770" s="1"/>
  <c r="T426" i="770"/>
  <c r="Q426" i="770"/>
  <c r="T425" i="770"/>
  <c r="Q425" i="770"/>
  <c r="R425" i="770" s="1"/>
  <c r="Q424" i="770"/>
  <c r="U424" i="770" s="1"/>
  <c r="N424" i="770"/>
  <c r="T424" i="770" s="1"/>
  <c r="Q423" i="770"/>
  <c r="U423" i="770" s="1"/>
  <c r="N423" i="770"/>
  <c r="X423" i="770" s="1"/>
  <c r="X422" i="770"/>
  <c r="U422" i="770"/>
  <c r="V422" i="770" s="1"/>
  <c r="T422" i="770"/>
  <c r="Q422" i="770"/>
  <c r="R422" i="770" s="1"/>
  <c r="X421" i="770"/>
  <c r="U421" i="770"/>
  <c r="V421" i="770" s="1"/>
  <c r="T421" i="770"/>
  <c r="Q421" i="770"/>
  <c r="R421" i="770" s="1"/>
  <c r="N421" i="770"/>
  <c r="U420" i="770"/>
  <c r="V420" i="770" s="1"/>
  <c r="T420" i="770"/>
  <c r="Q420" i="770"/>
  <c r="R420" i="770" s="1"/>
  <c r="N420" i="770"/>
  <c r="X419" i="770"/>
  <c r="U419" i="770"/>
  <c r="V419" i="770" s="1"/>
  <c r="Q419" i="770"/>
  <c r="N419" i="770"/>
  <c r="R419" i="770" s="1"/>
  <c r="Q418" i="770"/>
  <c r="N418" i="770"/>
  <c r="T418" i="770" s="1"/>
  <c r="Q417" i="770"/>
  <c r="R417" i="770" s="1"/>
  <c r="N417" i="770"/>
  <c r="T417" i="770" s="1"/>
  <c r="X416" i="770"/>
  <c r="V416" i="770"/>
  <c r="Q416" i="770"/>
  <c r="U416" i="770" s="1"/>
  <c r="N416" i="770"/>
  <c r="T416" i="770" s="1"/>
  <c r="U415" i="770"/>
  <c r="Q415" i="770"/>
  <c r="R415" i="770" s="1"/>
  <c r="N415" i="770"/>
  <c r="X415" i="770" s="1"/>
  <c r="V414" i="770"/>
  <c r="U414" i="770"/>
  <c r="T414" i="770"/>
  <c r="Q414" i="770"/>
  <c r="R414" i="770" s="1"/>
  <c r="N414" i="770"/>
  <c r="X413" i="770"/>
  <c r="V413" i="770"/>
  <c r="U413" i="770"/>
  <c r="T413" i="770"/>
  <c r="R413" i="770"/>
  <c r="Q413" i="770"/>
  <c r="X412" i="770"/>
  <c r="V412" i="770"/>
  <c r="U412" i="770"/>
  <c r="Q412" i="770"/>
  <c r="N412" i="770"/>
  <c r="T412" i="770" s="1"/>
  <c r="Q411" i="770"/>
  <c r="N411" i="770"/>
  <c r="X410" i="770"/>
  <c r="T410" i="770"/>
  <c r="R410" i="770"/>
  <c r="Q410" i="770"/>
  <c r="U410" i="770" s="1"/>
  <c r="V410" i="770" s="1"/>
  <c r="Q409" i="770"/>
  <c r="U409" i="770" s="1"/>
  <c r="N409" i="770"/>
  <c r="Q408" i="770"/>
  <c r="N408" i="770"/>
  <c r="T408" i="770" s="1"/>
  <c r="Q407" i="770"/>
  <c r="R407" i="770" s="1"/>
  <c r="N407" i="770"/>
  <c r="T406" i="770"/>
  <c r="Q406" i="770"/>
  <c r="N406" i="770"/>
  <c r="U405" i="770"/>
  <c r="V405" i="770" s="1"/>
  <c r="Q405" i="770"/>
  <c r="N405" i="770"/>
  <c r="T404" i="770"/>
  <c r="Q404" i="770"/>
  <c r="R404" i="770" s="1"/>
  <c r="Q403" i="770"/>
  <c r="N403" i="770"/>
  <c r="X402" i="770"/>
  <c r="U402" i="770"/>
  <c r="R402" i="770"/>
  <c r="Q402" i="770"/>
  <c r="X401" i="770"/>
  <c r="U401" i="770"/>
  <c r="V401" i="770" s="1"/>
  <c r="T401" i="770"/>
  <c r="R401" i="770"/>
  <c r="Q401" i="770"/>
  <c r="V400" i="770"/>
  <c r="U400" i="770"/>
  <c r="Q400" i="770"/>
  <c r="N400" i="770"/>
  <c r="Q399" i="770"/>
  <c r="U399" i="770" s="1"/>
  <c r="V399" i="770" s="1"/>
  <c r="N399" i="770"/>
  <c r="T399" i="770" s="1"/>
  <c r="T398" i="770"/>
  <c r="Q398" i="770"/>
  <c r="Q397" i="770"/>
  <c r="R397" i="770" s="1"/>
  <c r="N397" i="770"/>
  <c r="T397" i="770" s="1"/>
  <c r="X396" i="770"/>
  <c r="Q396" i="770"/>
  <c r="U396" i="770" s="1"/>
  <c r="N396" i="770"/>
  <c r="T396" i="770" s="1"/>
  <c r="U395" i="770"/>
  <c r="Q395" i="770"/>
  <c r="R395" i="770" s="1"/>
  <c r="N395" i="770"/>
  <c r="X395" i="770" s="1"/>
  <c r="U394" i="770"/>
  <c r="V394" i="770" s="1"/>
  <c r="T394" i="770"/>
  <c r="Q394" i="770"/>
  <c r="R394" i="770" s="1"/>
  <c r="N394" i="770"/>
  <c r="X394" i="770" s="1"/>
  <c r="X393" i="770"/>
  <c r="V393" i="770"/>
  <c r="U393" i="770"/>
  <c r="T393" i="770"/>
  <c r="R393" i="770"/>
  <c r="Q393" i="770"/>
  <c r="X392" i="770"/>
  <c r="V392" i="770"/>
  <c r="U392" i="770"/>
  <c r="Q392" i="770"/>
  <c r="N392" i="770"/>
  <c r="T392" i="770" s="1"/>
  <c r="Q391" i="770"/>
  <c r="N391" i="770"/>
  <c r="Q390" i="770"/>
  <c r="N390" i="770"/>
  <c r="T390" i="770" s="1"/>
  <c r="Q389" i="770"/>
  <c r="U389" i="770" s="1"/>
  <c r="N389" i="770"/>
  <c r="Q388" i="770"/>
  <c r="N388" i="770"/>
  <c r="T388" i="770" s="1"/>
  <c r="T387" i="770"/>
  <c r="Q387" i="770"/>
  <c r="R387" i="770" s="1"/>
  <c r="N387" i="770"/>
  <c r="X386" i="770"/>
  <c r="U386" i="770"/>
  <c r="V386" i="770" s="1"/>
  <c r="R386" i="770"/>
  <c r="Q386" i="770"/>
  <c r="N386" i="770"/>
  <c r="T386" i="770" s="1"/>
  <c r="Q385" i="770"/>
  <c r="N385" i="770"/>
  <c r="R384" i="770"/>
  <c r="Q384" i="770"/>
  <c r="U384" i="770" s="1"/>
  <c r="V384" i="770" s="1"/>
  <c r="N384" i="770"/>
  <c r="T384" i="770" s="1"/>
  <c r="G384" i="770"/>
  <c r="T383" i="770"/>
  <c r="R383" i="770"/>
  <c r="Q383" i="770"/>
  <c r="U383" i="770" s="1"/>
  <c r="N383" i="770"/>
  <c r="Q382" i="770"/>
  <c r="Q381" i="770"/>
  <c r="U381" i="770" s="1"/>
  <c r="N381" i="770"/>
  <c r="X381" i="770" s="1"/>
  <c r="X380" i="770"/>
  <c r="U380" i="770"/>
  <c r="Q380" i="770"/>
  <c r="R380" i="770" s="1"/>
  <c r="N380" i="770"/>
  <c r="T380" i="770" s="1"/>
  <c r="U379" i="770"/>
  <c r="V379" i="770" s="1"/>
  <c r="T379" i="770"/>
  <c r="Q379" i="770"/>
  <c r="R379" i="770" s="1"/>
  <c r="N379" i="770"/>
  <c r="X379" i="770" s="1"/>
  <c r="X378" i="770"/>
  <c r="V378" i="770"/>
  <c r="U378" i="770"/>
  <c r="Q378" i="770"/>
  <c r="N378" i="770"/>
  <c r="T378" i="770" s="1"/>
  <c r="T377" i="770"/>
  <c r="Q377" i="770"/>
  <c r="R377" i="770" s="1"/>
  <c r="Q376" i="770"/>
  <c r="N376" i="770"/>
  <c r="T376" i="770" s="1"/>
  <c r="T375" i="770"/>
  <c r="Q375" i="770"/>
  <c r="R375" i="770" s="1"/>
  <c r="T374" i="770"/>
  <c r="Q374" i="770"/>
  <c r="T373" i="770"/>
  <c r="Q373" i="770"/>
  <c r="R373" i="770" s="1"/>
  <c r="T372" i="770"/>
  <c r="Q372" i="770"/>
  <c r="Q371" i="770"/>
  <c r="R371" i="770" s="1"/>
  <c r="N371" i="770"/>
  <c r="T371" i="770" s="1"/>
  <c r="G371" i="770"/>
  <c r="T370" i="770"/>
  <c r="Q370" i="770"/>
  <c r="G370" i="770"/>
  <c r="Q369" i="770"/>
  <c r="R369" i="770" s="1"/>
  <c r="K369" i="770"/>
  <c r="N369" i="770" s="1"/>
  <c r="X368" i="770"/>
  <c r="R368" i="770"/>
  <c r="Q368" i="770"/>
  <c r="U368" i="770" s="1"/>
  <c r="V368" i="770" s="1"/>
  <c r="N368" i="770"/>
  <c r="T368" i="770" s="1"/>
  <c r="T367" i="770"/>
  <c r="Q367" i="770"/>
  <c r="U367" i="770" s="1"/>
  <c r="V367" i="770" s="1"/>
  <c r="N367" i="770"/>
  <c r="X367" i="770" s="1"/>
  <c r="U366" i="770"/>
  <c r="T366" i="770"/>
  <c r="R366" i="770"/>
  <c r="Q366" i="770"/>
  <c r="N366" i="770"/>
  <c r="U365" i="770"/>
  <c r="T365" i="770"/>
  <c r="Q365" i="770"/>
  <c r="R365" i="770" s="1"/>
  <c r="V364" i="770"/>
  <c r="U364" i="770"/>
  <c r="T364" i="770"/>
  <c r="Q364" i="770"/>
  <c r="R364" i="770" s="1"/>
  <c r="N364" i="770"/>
  <c r="X364" i="770" s="1"/>
  <c r="U363" i="770"/>
  <c r="V363" i="770" s="1"/>
  <c r="Q363" i="770"/>
  <c r="N363" i="770"/>
  <c r="G363" i="770"/>
  <c r="Q362" i="770"/>
  <c r="N362" i="770"/>
  <c r="K362" i="770"/>
  <c r="R361" i="770"/>
  <c r="Q361" i="770"/>
  <c r="U361" i="770" s="1"/>
  <c r="X361" i="770" s="1"/>
  <c r="Q360" i="770"/>
  <c r="R360" i="770" s="1"/>
  <c r="V359" i="770"/>
  <c r="U359" i="770"/>
  <c r="Q359" i="770"/>
  <c r="R359" i="770" s="1"/>
  <c r="N359" i="770"/>
  <c r="T358" i="770"/>
  <c r="Q358" i="770"/>
  <c r="R358" i="770" s="1"/>
  <c r="T357" i="770"/>
  <c r="Q357" i="770"/>
  <c r="Q356" i="770"/>
  <c r="N356" i="770"/>
  <c r="X355" i="770"/>
  <c r="T355" i="770"/>
  <c r="R355" i="770"/>
  <c r="Q355" i="770"/>
  <c r="U355" i="770" s="1"/>
  <c r="V355" i="770" s="1"/>
  <c r="Q354" i="770"/>
  <c r="N354" i="770"/>
  <c r="T353" i="770"/>
  <c r="Q353" i="770"/>
  <c r="U353" i="770" s="1"/>
  <c r="T352" i="770"/>
  <c r="Q352" i="770"/>
  <c r="U352" i="770" s="1"/>
  <c r="V352" i="770" s="1"/>
  <c r="N352" i="770"/>
  <c r="X352" i="770" s="1"/>
  <c r="R351" i="770"/>
  <c r="Q351" i="770"/>
  <c r="U351" i="770" s="1"/>
  <c r="N351" i="770"/>
  <c r="X351" i="770" s="1"/>
  <c r="T350" i="770"/>
  <c r="Q350" i="770"/>
  <c r="U350" i="770" s="1"/>
  <c r="T349" i="770"/>
  <c r="Q349" i="770"/>
  <c r="U349" i="770" s="1"/>
  <c r="T348" i="770"/>
  <c r="Q348" i="770"/>
  <c r="U348" i="770" s="1"/>
  <c r="T347" i="770"/>
  <c r="Q347" i="770"/>
  <c r="U347" i="770" s="1"/>
  <c r="T346" i="770"/>
  <c r="R346" i="770"/>
  <c r="Q346" i="770"/>
  <c r="U346" i="770" s="1"/>
  <c r="V346" i="770" s="1"/>
  <c r="N346" i="770"/>
  <c r="X346" i="770" s="1"/>
  <c r="U345" i="770"/>
  <c r="T345" i="770"/>
  <c r="R345" i="770"/>
  <c r="Q345" i="770"/>
  <c r="U344" i="770"/>
  <c r="X344" i="770" s="1"/>
  <c r="T344" i="770"/>
  <c r="R344" i="770"/>
  <c r="Q344" i="770"/>
  <c r="U343" i="770"/>
  <c r="T343" i="770"/>
  <c r="R343" i="770"/>
  <c r="Q343" i="770"/>
  <c r="N343" i="770"/>
  <c r="V342" i="770"/>
  <c r="U342" i="770"/>
  <c r="X342" i="770" s="1"/>
  <c r="T342" i="770"/>
  <c r="Q342" i="770"/>
  <c r="R342" i="770" s="1"/>
  <c r="V341" i="770"/>
  <c r="U341" i="770"/>
  <c r="X341" i="770" s="1"/>
  <c r="T341" i="770"/>
  <c r="Q341" i="770"/>
  <c r="R341" i="770" s="1"/>
  <c r="N341" i="770"/>
  <c r="U340" i="770"/>
  <c r="X340" i="770" s="1"/>
  <c r="T340" i="770"/>
  <c r="Q340" i="770"/>
  <c r="R340" i="770" s="1"/>
  <c r="X339" i="770"/>
  <c r="U339" i="770"/>
  <c r="R339" i="770"/>
  <c r="Q339" i="770"/>
  <c r="U338" i="770"/>
  <c r="T338" i="770"/>
  <c r="R338" i="770"/>
  <c r="Q338" i="770"/>
  <c r="U337" i="770"/>
  <c r="T337" i="770"/>
  <c r="R337" i="770"/>
  <c r="Q337" i="770"/>
  <c r="U336" i="770"/>
  <c r="T336" i="770"/>
  <c r="R336" i="770"/>
  <c r="Q336" i="770"/>
  <c r="U335" i="770"/>
  <c r="T335" i="770"/>
  <c r="R335" i="770"/>
  <c r="Q335" i="770"/>
  <c r="N335" i="770"/>
  <c r="V334" i="770"/>
  <c r="U334" i="770"/>
  <c r="T334" i="770"/>
  <c r="Q334" i="770"/>
  <c r="R334" i="770" s="1"/>
  <c r="N334" i="770"/>
  <c r="U333" i="770"/>
  <c r="V333" i="770" s="1"/>
  <c r="T333" i="770"/>
  <c r="Q333" i="770"/>
  <c r="R333" i="770" s="1"/>
  <c r="X332" i="770"/>
  <c r="U332" i="770"/>
  <c r="V332" i="770" s="1"/>
  <c r="T332" i="770"/>
  <c r="Q332" i="770"/>
  <c r="R332" i="770" s="1"/>
  <c r="U331" i="770"/>
  <c r="V331" i="770" s="1"/>
  <c r="T331" i="770"/>
  <c r="Q331" i="770"/>
  <c r="R331" i="770" s="1"/>
  <c r="X330" i="770"/>
  <c r="V330" i="770"/>
  <c r="U330" i="770"/>
  <c r="T330" i="770"/>
  <c r="Q330" i="770"/>
  <c r="R330" i="770" s="1"/>
  <c r="U329" i="770"/>
  <c r="V329" i="770" s="1"/>
  <c r="Q329" i="770"/>
  <c r="R329" i="770" s="1"/>
  <c r="N329" i="770"/>
  <c r="T329" i="770" s="1"/>
  <c r="Q328" i="770"/>
  <c r="N328" i="770"/>
  <c r="T328" i="770" s="1"/>
  <c r="X327" i="770"/>
  <c r="T327" i="770"/>
  <c r="R327" i="770"/>
  <c r="Q327" i="770"/>
  <c r="U327" i="770" s="1"/>
  <c r="V327" i="770" s="1"/>
  <c r="X326" i="770"/>
  <c r="T326" i="770"/>
  <c r="R326" i="770"/>
  <c r="Q326" i="770"/>
  <c r="U326" i="770" s="1"/>
  <c r="V326" i="770" s="1"/>
  <c r="X325" i="770"/>
  <c r="Q325" i="770"/>
  <c r="U325" i="770" s="1"/>
  <c r="N325" i="770"/>
  <c r="T325" i="770" s="1"/>
  <c r="T324" i="770"/>
  <c r="Q324" i="770"/>
  <c r="N324" i="770"/>
  <c r="U323" i="770"/>
  <c r="V323" i="770" s="1"/>
  <c r="T323" i="770"/>
  <c r="R323" i="770"/>
  <c r="Q323" i="770"/>
  <c r="N323" i="770"/>
  <c r="V322" i="770"/>
  <c r="U322" i="770"/>
  <c r="X322" i="770" s="1"/>
  <c r="T322" i="770"/>
  <c r="Q322" i="770"/>
  <c r="R322" i="770" s="1"/>
  <c r="V321" i="770"/>
  <c r="U321" i="770"/>
  <c r="T321" i="770"/>
  <c r="Q321" i="770"/>
  <c r="R321" i="770" s="1"/>
  <c r="N321" i="770"/>
  <c r="X321" i="770" s="1"/>
  <c r="U320" i="770"/>
  <c r="Q320" i="770"/>
  <c r="N320" i="770"/>
  <c r="T320" i="770" s="1"/>
  <c r="Q319" i="770"/>
  <c r="K319" i="770"/>
  <c r="N319" i="770" s="1"/>
  <c r="T319" i="770" s="1"/>
  <c r="R318" i="770"/>
  <c r="Q318" i="770"/>
  <c r="U318" i="770" s="1"/>
  <c r="K318" i="770"/>
  <c r="N318" i="770" s="1"/>
  <c r="X318" i="770" s="1"/>
  <c r="V317" i="770"/>
  <c r="U317" i="770"/>
  <c r="X317" i="770" s="1"/>
  <c r="T317" i="770"/>
  <c r="Q317" i="770"/>
  <c r="R317" i="770" s="1"/>
  <c r="N317" i="770"/>
  <c r="V316" i="770"/>
  <c r="U316" i="770"/>
  <c r="X316" i="770" s="1"/>
  <c r="T316" i="770"/>
  <c r="Q316" i="770"/>
  <c r="R316" i="770" s="1"/>
  <c r="U315" i="770"/>
  <c r="V315" i="770" s="1"/>
  <c r="Q315" i="770"/>
  <c r="R315" i="770" s="1"/>
  <c r="N315" i="770"/>
  <c r="T315" i="770" s="1"/>
  <c r="K315" i="770"/>
  <c r="X314" i="770"/>
  <c r="Q314" i="770"/>
  <c r="U314" i="770" s="1"/>
  <c r="N314" i="770"/>
  <c r="T314" i="770" s="1"/>
  <c r="T313" i="770"/>
  <c r="Q313" i="770"/>
  <c r="U313" i="770" s="1"/>
  <c r="Q312" i="770"/>
  <c r="T311" i="770"/>
  <c r="Q311" i="770"/>
  <c r="G311" i="770"/>
  <c r="X310" i="770"/>
  <c r="Q310" i="770"/>
  <c r="U310" i="770" s="1"/>
  <c r="U309" i="770"/>
  <c r="Q309" i="770"/>
  <c r="K309" i="770"/>
  <c r="N309" i="770" s="1"/>
  <c r="R308" i="770"/>
  <c r="Q308" i="770"/>
  <c r="U308" i="770" s="1"/>
  <c r="V308" i="770" s="1"/>
  <c r="N308" i="770"/>
  <c r="T308" i="770" s="1"/>
  <c r="K308" i="770"/>
  <c r="U307" i="770"/>
  <c r="V307" i="770" s="1"/>
  <c r="Q307" i="770"/>
  <c r="K307" i="770"/>
  <c r="N307" i="770" s="1"/>
  <c r="U306" i="770"/>
  <c r="V306" i="770" s="1"/>
  <c r="Q306" i="770"/>
  <c r="N306" i="770"/>
  <c r="T306" i="770" s="1"/>
  <c r="Q305" i="770"/>
  <c r="K305" i="770"/>
  <c r="N305" i="770" s="1"/>
  <c r="T305" i="770" s="1"/>
  <c r="T304" i="770"/>
  <c r="Q304" i="770"/>
  <c r="U304" i="770" s="1"/>
  <c r="V304" i="770" s="1"/>
  <c r="N304" i="770"/>
  <c r="U303" i="770"/>
  <c r="T303" i="770"/>
  <c r="R303" i="770"/>
  <c r="Q303" i="770"/>
  <c r="N303" i="770"/>
  <c r="U302" i="770"/>
  <c r="T302" i="770"/>
  <c r="Q302" i="770"/>
  <c r="K302" i="770"/>
  <c r="N302" i="770" s="1"/>
  <c r="X302" i="770" s="1"/>
  <c r="Q301" i="770"/>
  <c r="K301" i="770"/>
  <c r="N301" i="770" s="1"/>
  <c r="T300" i="770"/>
  <c r="Q300" i="770"/>
  <c r="U300" i="770" s="1"/>
  <c r="N300" i="770"/>
  <c r="U299" i="770"/>
  <c r="T299" i="770"/>
  <c r="Q299" i="770"/>
  <c r="K299" i="770"/>
  <c r="N299" i="770" s="1"/>
  <c r="X299" i="770" s="1"/>
  <c r="U298" i="770"/>
  <c r="Q298" i="770"/>
  <c r="K298" i="770"/>
  <c r="N298" i="770" s="1"/>
  <c r="Q297" i="770"/>
  <c r="U297" i="770" s="1"/>
  <c r="V297" i="770" s="1"/>
  <c r="N297" i="770"/>
  <c r="T297" i="770" s="1"/>
  <c r="K297" i="770"/>
  <c r="U296" i="770"/>
  <c r="V296" i="770" s="1"/>
  <c r="T296" i="770"/>
  <c r="Q296" i="770"/>
  <c r="K296" i="770"/>
  <c r="N296" i="770" s="1"/>
  <c r="U295" i="770"/>
  <c r="Q295" i="770"/>
  <c r="N295" i="770"/>
  <c r="T295" i="770" s="1"/>
  <c r="Q294" i="770"/>
  <c r="N294" i="770"/>
  <c r="T294" i="770" s="1"/>
  <c r="M294" i="770"/>
  <c r="K294" i="770"/>
  <c r="G294" i="770"/>
  <c r="U293" i="770"/>
  <c r="V293" i="770" s="1"/>
  <c r="Q293" i="770"/>
  <c r="K293" i="770"/>
  <c r="N293" i="770" s="1"/>
  <c r="X293" i="770" s="1"/>
  <c r="T292" i="770"/>
  <c r="Q292" i="770"/>
  <c r="Q291" i="770"/>
  <c r="K291" i="770"/>
  <c r="N291" i="770" s="1"/>
  <c r="T290" i="770"/>
  <c r="Q290" i="770"/>
  <c r="U290" i="770" s="1"/>
  <c r="V290" i="770" s="1"/>
  <c r="K290" i="770"/>
  <c r="N290" i="770" s="1"/>
  <c r="V289" i="770"/>
  <c r="U289" i="770"/>
  <c r="X289" i="770" s="1"/>
  <c r="T289" i="770"/>
  <c r="Q289" i="770"/>
  <c r="R289" i="770" s="1"/>
  <c r="N289" i="770"/>
  <c r="U288" i="770"/>
  <c r="Q288" i="770"/>
  <c r="N288" i="770"/>
  <c r="T288" i="770" s="1"/>
  <c r="K288" i="770"/>
  <c r="X287" i="770"/>
  <c r="T287" i="770"/>
  <c r="R287" i="770"/>
  <c r="Q287" i="770"/>
  <c r="U287" i="770" s="1"/>
  <c r="V287" i="770" s="1"/>
  <c r="Q286" i="770"/>
  <c r="U286" i="770" s="1"/>
  <c r="V286" i="770" s="1"/>
  <c r="N286" i="770"/>
  <c r="T286" i="770" s="1"/>
  <c r="T285" i="770"/>
  <c r="R285" i="770"/>
  <c r="Q285" i="770"/>
  <c r="U285" i="770" s="1"/>
  <c r="V285" i="770" s="1"/>
  <c r="N285" i="770"/>
  <c r="X285" i="770" s="1"/>
  <c r="V284" i="770"/>
  <c r="U284" i="770"/>
  <c r="X284" i="770" s="1"/>
  <c r="T284" i="770"/>
  <c r="R284" i="770"/>
  <c r="Q284" i="770"/>
  <c r="N284" i="770"/>
  <c r="U283" i="770"/>
  <c r="X283" i="770" s="1"/>
  <c r="R283" i="770"/>
  <c r="Q283" i="770"/>
  <c r="U282" i="770"/>
  <c r="T282" i="770"/>
  <c r="Q282" i="770"/>
  <c r="R282" i="770" s="1"/>
  <c r="T281" i="770"/>
  <c r="Q281" i="770"/>
  <c r="U281" i="770" s="1"/>
  <c r="T280" i="770"/>
  <c r="R280" i="770"/>
  <c r="Q280" i="770"/>
  <c r="U280" i="770" s="1"/>
  <c r="T279" i="770"/>
  <c r="R279" i="770"/>
  <c r="Q279" i="770"/>
  <c r="U279" i="770" s="1"/>
  <c r="V279" i="770" s="1"/>
  <c r="N279" i="770"/>
  <c r="X279" i="770" s="1"/>
  <c r="U278" i="770"/>
  <c r="X278" i="770" s="1"/>
  <c r="T278" i="770"/>
  <c r="R278" i="770"/>
  <c r="Q278" i="770"/>
  <c r="U277" i="770"/>
  <c r="V277" i="770" s="1"/>
  <c r="T277" i="770"/>
  <c r="R277" i="770"/>
  <c r="Q277" i="770"/>
  <c r="N277" i="770"/>
  <c r="U276" i="770"/>
  <c r="X276" i="770" s="1"/>
  <c r="Q276" i="770"/>
  <c r="R276" i="770" s="1"/>
  <c r="N276" i="770"/>
  <c r="T276" i="770" s="1"/>
  <c r="U275" i="770"/>
  <c r="Q275" i="770"/>
  <c r="N275" i="770"/>
  <c r="T275" i="770" s="1"/>
  <c r="X274" i="770"/>
  <c r="V274" i="770"/>
  <c r="T274" i="770"/>
  <c r="R274" i="770"/>
  <c r="Q274" i="770"/>
  <c r="U274" i="770" s="1"/>
  <c r="X273" i="770"/>
  <c r="T273" i="770"/>
  <c r="R273" i="770"/>
  <c r="Q273" i="770"/>
  <c r="U273" i="770" s="1"/>
  <c r="V273" i="770" s="1"/>
  <c r="V272" i="770"/>
  <c r="Q272" i="770"/>
  <c r="U272" i="770" s="1"/>
  <c r="N272" i="770"/>
  <c r="T272" i="770" s="1"/>
  <c r="Q271" i="770"/>
  <c r="G271" i="770"/>
  <c r="U270" i="770"/>
  <c r="X270" i="770" s="1"/>
  <c r="Q270" i="770"/>
  <c r="R270" i="770" s="1"/>
  <c r="R269" i="770"/>
  <c r="Q269" i="770"/>
  <c r="U269" i="770" s="1"/>
  <c r="X269" i="770" s="1"/>
  <c r="Q268" i="770"/>
  <c r="U268" i="770" s="1"/>
  <c r="X268" i="770" s="1"/>
  <c r="X267" i="770"/>
  <c r="U267" i="770"/>
  <c r="Q267" i="770"/>
  <c r="R267" i="770" s="1"/>
  <c r="U266" i="770"/>
  <c r="V266" i="770" s="1"/>
  <c r="Q266" i="770"/>
  <c r="N266" i="770"/>
  <c r="X266" i="770" s="1"/>
  <c r="U265" i="770"/>
  <c r="X265" i="770" s="1"/>
  <c r="Q265" i="770"/>
  <c r="R265" i="770" s="1"/>
  <c r="N265" i="770"/>
  <c r="T265" i="770" s="1"/>
  <c r="Q264" i="770"/>
  <c r="U264" i="770" s="1"/>
  <c r="X264" i="770" s="1"/>
  <c r="N264" i="770"/>
  <c r="T264" i="770" s="1"/>
  <c r="K264" i="770"/>
  <c r="U263" i="770"/>
  <c r="V263" i="770" s="1"/>
  <c r="Q263" i="770"/>
  <c r="R263" i="770" s="1"/>
  <c r="K263" i="770"/>
  <c r="N263" i="770" s="1"/>
  <c r="V262" i="770"/>
  <c r="U262" i="770"/>
  <c r="Q262" i="770"/>
  <c r="R262" i="770" s="1"/>
  <c r="N262" i="770"/>
  <c r="X262" i="770" s="1"/>
  <c r="K262" i="770"/>
  <c r="Q261" i="770"/>
  <c r="U261" i="770" s="1"/>
  <c r="V261" i="770" s="1"/>
  <c r="K261" i="770"/>
  <c r="N261" i="770" s="1"/>
  <c r="Q260" i="770"/>
  <c r="U260" i="770" s="1"/>
  <c r="X260" i="770" s="1"/>
  <c r="X259" i="770"/>
  <c r="U259" i="770"/>
  <c r="Q259" i="770"/>
  <c r="R259" i="770" s="1"/>
  <c r="X258" i="770"/>
  <c r="U258" i="770"/>
  <c r="V258" i="770" s="1"/>
  <c r="T258" i="770"/>
  <c r="Q258" i="770"/>
  <c r="R258" i="770" s="1"/>
  <c r="N258" i="770"/>
  <c r="X257" i="770"/>
  <c r="U257" i="770"/>
  <c r="V257" i="770" s="1"/>
  <c r="R257" i="770"/>
  <c r="Q257" i="770"/>
  <c r="N257" i="770"/>
  <c r="T257" i="770" s="1"/>
  <c r="X256" i="770"/>
  <c r="T256" i="770"/>
  <c r="Q256" i="770"/>
  <c r="U256" i="770" s="1"/>
  <c r="V256" i="770" s="1"/>
  <c r="Q255" i="770"/>
  <c r="U255" i="770" s="1"/>
  <c r="V255" i="770" s="1"/>
  <c r="N255" i="770"/>
  <c r="X255" i="770" s="1"/>
  <c r="T254" i="770"/>
  <c r="Q254" i="770"/>
  <c r="U254" i="770" s="1"/>
  <c r="N254" i="770"/>
  <c r="X254" i="770" s="1"/>
  <c r="T253" i="770"/>
  <c r="Q253" i="770"/>
  <c r="U253" i="770" s="1"/>
  <c r="T252" i="770"/>
  <c r="Q252" i="770"/>
  <c r="U252" i="770" s="1"/>
  <c r="U251" i="770"/>
  <c r="X251" i="770" s="1"/>
  <c r="T251" i="770"/>
  <c r="R251" i="770"/>
  <c r="Q251" i="770"/>
  <c r="T250" i="770"/>
  <c r="Q250" i="770"/>
  <c r="U250" i="770" s="1"/>
  <c r="T249" i="770"/>
  <c r="Q249" i="770"/>
  <c r="R249" i="770" s="1"/>
  <c r="N249" i="770"/>
  <c r="U248" i="770"/>
  <c r="Q248" i="770"/>
  <c r="N248" i="770"/>
  <c r="X248" i="770" s="1"/>
  <c r="U247" i="770"/>
  <c r="V247" i="770" s="1"/>
  <c r="Q247" i="770"/>
  <c r="N247" i="770"/>
  <c r="T247" i="770" s="1"/>
  <c r="U246" i="770"/>
  <c r="V246" i="770" s="1"/>
  <c r="Q246" i="770"/>
  <c r="R246" i="770" s="1"/>
  <c r="N246" i="770"/>
  <c r="T246" i="770" s="1"/>
  <c r="T245" i="770"/>
  <c r="Q245" i="770"/>
  <c r="U245" i="770" s="1"/>
  <c r="V245" i="770" s="1"/>
  <c r="N245" i="770"/>
  <c r="X245" i="770" s="1"/>
  <c r="T244" i="770"/>
  <c r="Q244" i="770"/>
  <c r="U244" i="770" s="1"/>
  <c r="X243" i="770"/>
  <c r="U243" i="770"/>
  <c r="V243" i="770" s="1"/>
  <c r="T243" i="770"/>
  <c r="R243" i="770"/>
  <c r="Q243" i="770"/>
  <c r="U242" i="770"/>
  <c r="V242" i="770" s="1"/>
  <c r="T242" i="770"/>
  <c r="Q242" i="770"/>
  <c r="R242" i="770" s="1"/>
  <c r="U241" i="770"/>
  <c r="V241" i="770" s="1"/>
  <c r="T241" i="770"/>
  <c r="R241" i="770"/>
  <c r="Q241" i="770"/>
  <c r="T240" i="770"/>
  <c r="Q240" i="770"/>
  <c r="U240" i="770" s="1"/>
  <c r="T239" i="770"/>
  <c r="Q239" i="770"/>
  <c r="U239" i="770" s="1"/>
  <c r="T238" i="770"/>
  <c r="Q238" i="770"/>
  <c r="R238" i="770" s="1"/>
  <c r="N238" i="770"/>
  <c r="T237" i="770"/>
  <c r="Q237" i="770"/>
  <c r="U237" i="770" s="1"/>
  <c r="V237" i="770" s="1"/>
  <c r="N237" i="770"/>
  <c r="U236" i="770"/>
  <c r="X236" i="770" s="1"/>
  <c r="T236" i="770"/>
  <c r="R236" i="770"/>
  <c r="Q236" i="770"/>
  <c r="X235" i="770"/>
  <c r="U235" i="770"/>
  <c r="V235" i="770" s="1"/>
  <c r="R235" i="770"/>
  <c r="Q235" i="770"/>
  <c r="N235" i="770"/>
  <c r="T235" i="770" s="1"/>
  <c r="Q234" i="770"/>
  <c r="R234" i="770" s="1"/>
  <c r="N234" i="770"/>
  <c r="T234" i="770" s="1"/>
  <c r="Q233" i="770"/>
  <c r="U233" i="770" s="1"/>
  <c r="V233" i="770" s="1"/>
  <c r="N233" i="770"/>
  <c r="T233" i="770" s="1"/>
  <c r="V232" i="770"/>
  <c r="Q232" i="770"/>
  <c r="U232" i="770" s="1"/>
  <c r="N232" i="770"/>
  <c r="T232" i="770" s="1"/>
  <c r="Q231" i="770"/>
  <c r="U231" i="770" s="1"/>
  <c r="V231" i="770" s="1"/>
  <c r="N231" i="770"/>
  <c r="X231" i="770" s="1"/>
  <c r="U230" i="770"/>
  <c r="V230" i="770" s="1"/>
  <c r="T230" i="770"/>
  <c r="Q230" i="770"/>
  <c r="R230" i="770" s="1"/>
  <c r="N230" i="770"/>
  <c r="V229" i="770"/>
  <c r="U229" i="770"/>
  <c r="T229" i="770"/>
  <c r="R229" i="770"/>
  <c r="Q229" i="770"/>
  <c r="N229" i="770"/>
  <c r="X229" i="770" s="1"/>
  <c r="T228" i="770"/>
  <c r="Q228" i="770"/>
  <c r="R228" i="770" s="1"/>
  <c r="T227" i="770"/>
  <c r="Q227" i="770"/>
  <c r="R227" i="770" s="1"/>
  <c r="N227" i="770"/>
  <c r="Q226" i="770"/>
  <c r="U226" i="770" s="1"/>
  <c r="V226" i="770" s="1"/>
  <c r="N226" i="770"/>
  <c r="T226" i="770" s="1"/>
  <c r="Q225" i="770"/>
  <c r="U225" i="770" s="1"/>
  <c r="V225" i="770" s="1"/>
  <c r="N225" i="770"/>
  <c r="X225" i="770" s="1"/>
  <c r="U224" i="770"/>
  <c r="V224" i="770" s="1"/>
  <c r="Q224" i="770"/>
  <c r="R224" i="770" s="1"/>
  <c r="N224" i="770"/>
  <c r="T224" i="770" s="1"/>
  <c r="T223" i="770"/>
  <c r="Q223" i="770"/>
  <c r="U223" i="770" s="1"/>
  <c r="T222" i="770"/>
  <c r="Q222" i="770"/>
  <c r="R222" i="770" s="1"/>
  <c r="N222" i="770"/>
  <c r="X221" i="770"/>
  <c r="U221" i="770"/>
  <c r="V221" i="770" s="1"/>
  <c r="R221" i="770"/>
  <c r="Q221" i="770"/>
  <c r="N221" i="770"/>
  <c r="T221" i="770" s="1"/>
  <c r="Q220" i="770"/>
  <c r="N220" i="770"/>
  <c r="T220" i="770" s="1"/>
  <c r="Q219" i="770"/>
  <c r="U219" i="770" s="1"/>
  <c r="V219" i="770" s="1"/>
  <c r="N219" i="770"/>
  <c r="T219" i="770" s="1"/>
  <c r="V218" i="770"/>
  <c r="Q218" i="770"/>
  <c r="U218" i="770" s="1"/>
  <c r="N218" i="770"/>
  <c r="T218" i="770" s="1"/>
  <c r="T217" i="770"/>
  <c r="Q217" i="770"/>
  <c r="U217" i="770" s="1"/>
  <c r="T216" i="770"/>
  <c r="Q216" i="770"/>
  <c r="R216" i="770" s="1"/>
  <c r="U215" i="770"/>
  <c r="V215" i="770" s="1"/>
  <c r="R215" i="770"/>
  <c r="Q215" i="770"/>
  <c r="N215" i="770"/>
  <c r="T215" i="770" s="1"/>
  <c r="V214" i="770"/>
  <c r="U214" i="770"/>
  <c r="T214" i="770"/>
  <c r="R214" i="770"/>
  <c r="Q214" i="770"/>
  <c r="N214" i="770"/>
  <c r="X214" i="770" s="1"/>
  <c r="U213" i="770"/>
  <c r="Q213" i="770"/>
  <c r="N213" i="770"/>
  <c r="X213" i="770" s="1"/>
  <c r="K213" i="770"/>
  <c r="T212" i="770"/>
  <c r="Q212" i="770"/>
  <c r="U212" i="770" s="1"/>
  <c r="Q211" i="770"/>
  <c r="U211" i="770" s="1"/>
  <c r="V211" i="770" s="1"/>
  <c r="N211" i="770"/>
  <c r="T211" i="770" s="1"/>
  <c r="V210" i="770"/>
  <c r="Q210" i="770"/>
  <c r="U210" i="770" s="1"/>
  <c r="N210" i="770"/>
  <c r="T210" i="770" s="1"/>
  <c r="Q209" i="770"/>
  <c r="U209" i="770" s="1"/>
  <c r="V209" i="770" s="1"/>
  <c r="N209" i="770"/>
  <c r="X209" i="770" s="1"/>
  <c r="K209" i="770"/>
  <c r="X208" i="770"/>
  <c r="U208" i="770"/>
  <c r="V208" i="770" s="1"/>
  <c r="T208" i="770"/>
  <c r="R208" i="770"/>
  <c r="Q208" i="770"/>
  <c r="N208" i="770"/>
  <c r="U207" i="770"/>
  <c r="V207" i="770" s="1"/>
  <c r="Q207" i="770"/>
  <c r="N207" i="770"/>
  <c r="X207" i="770" s="1"/>
  <c r="K207" i="770"/>
  <c r="Q206" i="770"/>
  <c r="U206" i="770" s="1"/>
  <c r="K206" i="770"/>
  <c r="N206" i="770" s="1"/>
  <c r="V205" i="770"/>
  <c r="U205" i="770"/>
  <c r="R205" i="770"/>
  <c r="Q205" i="770"/>
  <c r="K205" i="770"/>
  <c r="N205" i="770" s="1"/>
  <c r="X205" i="770" s="1"/>
  <c r="T204" i="770"/>
  <c r="Q204" i="770"/>
  <c r="N204" i="770"/>
  <c r="R203" i="770"/>
  <c r="Q203" i="770"/>
  <c r="U203" i="770" s="1"/>
  <c r="N203" i="770"/>
  <c r="T203" i="770" s="1"/>
  <c r="X202" i="770"/>
  <c r="V202" i="770"/>
  <c r="R202" i="770"/>
  <c r="Q202" i="770"/>
  <c r="U202" i="770" s="1"/>
  <c r="N202" i="770"/>
  <c r="T202" i="770" s="1"/>
  <c r="X201" i="770"/>
  <c r="U201" i="770"/>
  <c r="R201" i="770"/>
  <c r="Q201" i="770"/>
  <c r="N201" i="770"/>
  <c r="T201" i="770" s="1"/>
  <c r="K201" i="770"/>
  <c r="X200" i="770"/>
  <c r="U200" i="770"/>
  <c r="V200" i="770" s="1"/>
  <c r="Q200" i="770"/>
  <c r="N200" i="770"/>
  <c r="T200" i="770" s="1"/>
  <c r="Q199" i="770"/>
  <c r="N199" i="770"/>
  <c r="T199" i="770" s="1"/>
  <c r="K199" i="770"/>
  <c r="Q198" i="770"/>
  <c r="U198" i="770" s="1"/>
  <c r="K198" i="770"/>
  <c r="K117" i="770" s="1"/>
  <c r="K116" i="770" s="1"/>
  <c r="U197" i="770"/>
  <c r="V197" i="770" s="1"/>
  <c r="T197" i="770"/>
  <c r="R197" i="770"/>
  <c r="Q197" i="770"/>
  <c r="K197" i="770"/>
  <c r="N197" i="770" s="1"/>
  <c r="U196" i="770"/>
  <c r="V196" i="770" s="1"/>
  <c r="Q196" i="770"/>
  <c r="N196" i="770"/>
  <c r="X196" i="770" s="1"/>
  <c r="K196" i="770"/>
  <c r="X195" i="770"/>
  <c r="V195" i="770"/>
  <c r="T195" i="770"/>
  <c r="Q195" i="770"/>
  <c r="U195" i="770" s="1"/>
  <c r="N195" i="770"/>
  <c r="T194" i="770"/>
  <c r="Q194" i="770"/>
  <c r="U194" i="770" s="1"/>
  <c r="N194" i="770"/>
  <c r="U193" i="770"/>
  <c r="X193" i="770" s="1"/>
  <c r="T193" i="770"/>
  <c r="Q193" i="770"/>
  <c r="R193" i="770" s="1"/>
  <c r="U192" i="770"/>
  <c r="X192" i="770" s="1"/>
  <c r="T192" i="770"/>
  <c r="R192" i="770"/>
  <c r="Q192" i="770"/>
  <c r="N192" i="770"/>
  <c r="U191" i="770"/>
  <c r="V191" i="770" s="1"/>
  <c r="T191" i="770"/>
  <c r="Q191" i="770"/>
  <c r="N191" i="770"/>
  <c r="X191" i="770" s="1"/>
  <c r="T190" i="770"/>
  <c r="Q190" i="770"/>
  <c r="R190" i="770" s="1"/>
  <c r="U189" i="770"/>
  <c r="V189" i="770" s="1"/>
  <c r="T189" i="770"/>
  <c r="Q189" i="770"/>
  <c r="N189" i="770"/>
  <c r="X189" i="770" s="1"/>
  <c r="U188" i="770"/>
  <c r="V188" i="770" s="1"/>
  <c r="Q188" i="770"/>
  <c r="N188" i="770"/>
  <c r="T188" i="770" s="1"/>
  <c r="V187" i="770"/>
  <c r="T187" i="770"/>
  <c r="R187" i="770"/>
  <c r="Q187" i="770"/>
  <c r="U187" i="770" s="1"/>
  <c r="N187" i="770"/>
  <c r="X187" i="770" s="1"/>
  <c r="U186" i="770"/>
  <c r="Q186" i="770"/>
  <c r="N186" i="770"/>
  <c r="X186" i="770" s="1"/>
  <c r="U185" i="770"/>
  <c r="X185" i="770" s="1"/>
  <c r="T185" i="770"/>
  <c r="Q185" i="770"/>
  <c r="R185" i="770" s="1"/>
  <c r="U184" i="770"/>
  <c r="V184" i="770" s="1"/>
  <c r="Q184" i="770"/>
  <c r="N184" i="770"/>
  <c r="X184" i="770" s="1"/>
  <c r="Q183" i="770"/>
  <c r="U183" i="770" s="1"/>
  <c r="X183" i="770" s="1"/>
  <c r="Q182" i="770"/>
  <c r="U182" i="770" s="1"/>
  <c r="V182" i="770" s="1"/>
  <c r="N182" i="770"/>
  <c r="T181" i="770"/>
  <c r="Q181" i="770"/>
  <c r="U181" i="770" s="1"/>
  <c r="N181" i="770"/>
  <c r="U180" i="770"/>
  <c r="V180" i="770" s="1"/>
  <c r="Q180" i="770"/>
  <c r="N180" i="770"/>
  <c r="X180" i="770" s="1"/>
  <c r="U179" i="770"/>
  <c r="X179" i="770" s="1"/>
  <c r="T179" i="770"/>
  <c r="Q179" i="770"/>
  <c r="R179" i="770" s="1"/>
  <c r="U178" i="770"/>
  <c r="V178" i="770" s="1"/>
  <c r="Q178" i="770"/>
  <c r="N178" i="770"/>
  <c r="X178" i="770" s="1"/>
  <c r="U177" i="770"/>
  <c r="V177" i="770" s="1"/>
  <c r="R177" i="770"/>
  <c r="Q177" i="770"/>
  <c r="N177" i="770"/>
  <c r="T177" i="770" s="1"/>
  <c r="T176" i="770"/>
  <c r="Q176" i="770"/>
  <c r="U176" i="770" s="1"/>
  <c r="X175" i="770"/>
  <c r="V175" i="770"/>
  <c r="T175" i="770"/>
  <c r="R175" i="770"/>
  <c r="Q175" i="770"/>
  <c r="U175" i="770" s="1"/>
  <c r="X174" i="770"/>
  <c r="U174" i="770"/>
  <c r="V174" i="770" s="1"/>
  <c r="T174" i="770"/>
  <c r="R174" i="770"/>
  <c r="Q174" i="770"/>
  <c r="X173" i="770"/>
  <c r="T173" i="770"/>
  <c r="Q173" i="770"/>
  <c r="U173" i="770" s="1"/>
  <c r="V173" i="770" s="1"/>
  <c r="N173" i="770"/>
  <c r="U172" i="770"/>
  <c r="V172" i="770" s="1"/>
  <c r="Q172" i="770"/>
  <c r="N172" i="770"/>
  <c r="X172" i="770" s="1"/>
  <c r="U171" i="770"/>
  <c r="V171" i="770" s="1"/>
  <c r="T171" i="770"/>
  <c r="R171" i="770"/>
  <c r="Q171" i="770"/>
  <c r="N171" i="770"/>
  <c r="K171" i="770"/>
  <c r="Q170" i="770"/>
  <c r="R170" i="770" s="1"/>
  <c r="N170" i="770"/>
  <c r="T170" i="770" s="1"/>
  <c r="U169" i="770"/>
  <c r="X169" i="770" s="1"/>
  <c r="R169" i="770"/>
  <c r="Q169" i="770"/>
  <c r="N169" i="770"/>
  <c r="T169" i="770" s="1"/>
  <c r="X168" i="770"/>
  <c r="V168" i="770"/>
  <c r="T168" i="770"/>
  <c r="R168" i="770"/>
  <c r="Q168" i="770"/>
  <c r="U168" i="770" s="1"/>
  <c r="U167" i="770"/>
  <c r="X167" i="770" s="1"/>
  <c r="R167" i="770"/>
  <c r="Q167" i="770"/>
  <c r="N167" i="770"/>
  <c r="T167" i="770" s="1"/>
  <c r="X166" i="770"/>
  <c r="U166" i="770"/>
  <c r="V166" i="770" s="1"/>
  <c r="T166" i="770"/>
  <c r="R166" i="770"/>
  <c r="Q166" i="770"/>
  <c r="U165" i="770"/>
  <c r="X165" i="770" s="1"/>
  <c r="T165" i="770"/>
  <c r="R165" i="770"/>
  <c r="Q165" i="770"/>
  <c r="T164" i="770"/>
  <c r="Q164" i="770"/>
  <c r="U164" i="770" s="1"/>
  <c r="N164" i="770"/>
  <c r="U163" i="770"/>
  <c r="X163" i="770" s="1"/>
  <c r="T163" i="770"/>
  <c r="R163" i="770"/>
  <c r="Q163" i="770"/>
  <c r="T162" i="770"/>
  <c r="Q162" i="770"/>
  <c r="U162" i="770" s="1"/>
  <c r="V162" i="770" s="1"/>
  <c r="N162" i="770"/>
  <c r="U161" i="770"/>
  <c r="X161" i="770" s="1"/>
  <c r="T161" i="770"/>
  <c r="R161" i="770"/>
  <c r="Q161" i="770"/>
  <c r="V160" i="770"/>
  <c r="U160" i="770"/>
  <c r="R160" i="770"/>
  <c r="Q160" i="770"/>
  <c r="N160" i="770"/>
  <c r="X160" i="770" s="1"/>
  <c r="T159" i="770"/>
  <c r="Q159" i="770"/>
  <c r="N159" i="770"/>
  <c r="T158" i="770"/>
  <c r="Q158" i="770"/>
  <c r="R158" i="770" s="1"/>
  <c r="N158" i="770"/>
  <c r="X157" i="770"/>
  <c r="Q157" i="770"/>
  <c r="U157" i="770" s="1"/>
  <c r="V157" i="770" s="1"/>
  <c r="N157" i="770"/>
  <c r="T157" i="770" s="1"/>
  <c r="U156" i="770"/>
  <c r="V156" i="770" s="1"/>
  <c r="Q156" i="770"/>
  <c r="R156" i="770" s="1"/>
  <c r="N156" i="770"/>
  <c r="T156" i="770" s="1"/>
  <c r="Q155" i="770"/>
  <c r="U155" i="770" s="1"/>
  <c r="V155" i="770" s="1"/>
  <c r="N155" i="770"/>
  <c r="V154" i="770"/>
  <c r="U154" i="770"/>
  <c r="T154" i="770"/>
  <c r="R154" i="770"/>
  <c r="Q154" i="770"/>
  <c r="N154" i="770"/>
  <c r="X154" i="770" s="1"/>
  <c r="U153" i="770"/>
  <c r="V153" i="770" s="1"/>
  <c r="Q153" i="770"/>
  <c r="N153" i="770"/>
  <c r="X153" i="770" s="1"/>
  <c r="U152" i="770"/>
  <c r="V152" i="770" s="1"/>
  <c r="R152" i="770"/>
  <c r="Q152" i="770"/>
  <c r="N152" i="770"/>
  <c r="T152" i="770" s="1"/>
  <c r="T151" i="770"/>
  <c r="Q151" i="770"/>
  <c r="U151" i="770" s="1"/>
  <c r="V150" i="770"/>
  <c r="T150" i="770"/>
  <c r="R150" i="770"/>
  <c r="Q150" i="770"/>
  <c r="U150" i="770" s="1"/>
  <c r="N150" i="770"/>
  <c r="X150" i="770" s="1"/>
  <c r="K150" i="770"/>
  <c r="V149" i="770"/>
  <c r="U149" i="770"/>
  <c r="X149" i="770" s="1"/>
  <c r="T149" i="770"/>
  <c r="R149" i="770"/>
  <c r="Q149" i="770"/>
  <c r="N149" i="770"/>
  <c r="T148" i="770"/>
  <c r="Q148" i="770"/>
  <c r="U148" i="770" s="1"/>
  <c r="T147" i="770"/>
  <c r="Q147" i="770"/>
  <c r="R147" i="770" s="1"/>
  <c r="N147" i="770"/>
  <c r="T146" i="770"/>
  <c r="Q146" i="770"/>
  <c r="U146" i="770" s="1"/>
  <c r="R145" i="770"/>
  <c r="Q145" i="770"/>
  <c r="U145" i="770" s="1"/>
  <c r="X145" i="770" s="1"/>
  <c r="U144" i="770"/>
  <c r="Q144" i="770"/>
  <c r="K144" i="770"/>
  <c r="N144" i="770" s="1"/>
  <c r="U143" i="770"/>
  <c r="V143" i="770" s="1"/>
  <c r="Q143" i="770"/>
  <c r="R143" i="770" s="1"/>
  <c r="N143" i="770"/>
  <c r="T143" i="770" s="1"/>
  <c r="K143" i="770"/>
  <c r="X142" i="770"/>
  <c r="U142" i="770"/>
  <c r="V142" i="770" s="1"/>
  <c r="T142" i="770"/>
  <c r="R142" i="770"/>
  <c r="Q142" i="770"/>
  <c r="X141" i="770"/>
  <c r="U141" i="770"/>
  <c r="V141" i="770" s="1"/>
  <c r="T141" i="770"/>
  <c r="R141" i="770"/>
  <c r="Q141" i="770"/>
  <c r="U140" i="770"/>
  <c r="V140" i="770" s="1"/>
  <c r="Q140" i="770"/>
  <c r="N140" i="770"/>
  <c r="X140" i="770" s="1"/>
  <c r="K140" i="770"/>
  <c r="U139" i="770"/>
  <c r="X139" i="770" s="1"/>
  <c r="T139" i="770"/>
  <c r="R139" i="770"/>
  <c r="Q139" i="770"/>
  <c r="U138" i="770"/>
  <c r="Q138" i="770"/>
  <c r="K138" i="770"/>
  <c r="N138" i="770" s="1"/>
  <c r="Q137" i="770"/>
  <c r="U137" i="770" s="1"/>
  <c r="N137" i="770"/>
  <c r="T137" i="770" s="1"/>
  <c r="K137" i="770"/>
  <c r="X136" i="770"/>
  <c r="U136" i="770"/>
  <c r="V136" i="770" s="1"/>
  <c r="T136" i="770"/>
  <c r="R136" i="770"/>
  <c r="Q136" i="770"/>
  <c r="N136" i="770"/>
  <c r="K136" i="770"/>
  <c r="U135" i="770"/>
  <c r="Q135" i="770"/>
  <c r="K135" i="770"/>
  <c r="N135" i="770" s="1"/>
  <c r="Q134" i="770"/>
  <c r="U134" i="770" s="1"/>
  <c r="N134" i="770"/>
  <c r="T134" i="770" s="1"/>
  <c r="K134" i="770"/>
  <c r="X133" i="770"/>
  <c r="U133" i="770"/>
  <c r="V133" i="770" s="1"/>
  <c r="T133" i="770"/>
  <c r="R133" i="770"/>
  <c r="Q133" i="770"/>
  <c r="N133" i="770"/>
  <c r="K133" i="770"/>
  <c r="U132" i="770"/>
  <c r="Q132" i="770"/>
  <c r="K132" i="770"/>
  <c r="N132" i="770" s="1"/>
  <c r="Q131" i="770"/>
  <c r="U131" i="770" s="1"/>
  <c r="N131" i="770"/>
  <c r="T131" i="770" s="1"/>
  <c r="K131" i="770"/>
  <c r="X130" i="770"/>
  <c r="U130" i="770"/>
  <c r="V130" i="770" s="1"/>
  <c r="T130" i="770"/>
  <c r="R130" i="770"/>
  <c r="Q130" i="770"/>
  <c r="N130" i="770"/>
  <c r="K130" i="770"/>
  <c r="U129" i="770"/>
  <c r="X129" i="770" s="1"/>
  <c r="R129" i="770"/>
  <c r="Q129" i="770"/>
  <c r="X128" i="770"/>
  <c r="U128" i="770"/>
  <c r="V128" i="770" s="1"/>
  <c r="T128" i="770"/>
  <c r="R128" i="770"/>
  <c r="Q128" i="770"/>
  <c r="N128" i="770"/>
  <c r="T127" i="770"/>
  <c r="Q127" i="770"/>
  <c r="U127" i="770" s="1"/>
  <c r="N127" i="770"/>
  <c r="U126" i="770"/>
  <c r="X126" i="770" s="1"/>
  <c r="T126" i="770"/>
  <c r="R126" i="770"/>
  <c r="Q126" i="770"/>
  <c r="V125" i="770"/>
  <c r="U125" i="770"/>
  <c r="X125" i="770" s="1"/>
  <c r="T125" i="770"/>
  <c r="R125" i="770"/>
  <c r="Q125" i="770"/>
  <c r="U124" i="770"/>
  <c r="X124" i="770" s="1"/>
  <c r="R124" i="770"/>
  <c r="Q124" i="770"/>
  <c r="N124" i="770"/>
  <c r="T124" i="770" s="1"/>
  <c r="Q123" i="770"/>
  <c r="U123" i="770" s="1"/>
  <c r="X123" i="770" s="1"/>
  <c r="U122" i="770"/>
  <c r="X122" i="770" s="1"/>
  <c r="T122" i="770"/>
  <c r="Q122" i="770"/>
  <c r="R122" i="770" s="1"/>
  <c r="T121" i="770"/>
  <c r="Q121" i="770"/>
  <c r="Q116" i="770" s="1"/>
  <c r="Q6" i="770" s="1"/>
  <c r="N121" i="770"/>
  <c r="U120" i="770"/>
  <c r="X120" i="770" s="1"/>
  <c r="R120" i="770"/>
  <c r="Q120" i="770"/>
  <c r="N120" i="770"/>
  <c r="T120" i="770" s="1"/>
  <c r="T119" i="770"/>
  <c r="Q119" i="770"/>
  <c r="R119" i="770" s="1"/>
  <c r="X118" i="770"/>
  <c r="V118" i="770"/>
  <c r="U118" i="770"/>
  <c r="N118" i="770"/>
  <c r="X117" i="770"/>
  <c r="M117" i="770"/>
  <c r="S116" i="770"/>
  <c r="T116" i="770" s="1"/>
  <c r="P116" i="770"/>
  <c r="O116" i="770"/>
  <c r="M116" i="770"/>
  <c r="I116" i="770"/>
  <c r="H116" i="770"/>
  <c r="X115" i="770"/>
  <c r="U115" i="770"/>
  <c r="T115" i="770"/>
  <c r="N115" i="770"/>
  <c r="R115" i="770" s="1"/>
  <c r="U114" i="770"/>
  <c r="N114" i="770"/>
  <c r="V113" i="770"/>
  <c r="U113" i="770"/>
  <c r="T113" i="770"/>
  <c r="N113" i="770"/>
  <c r="R113" i="770" s="1"/>
  <c r="U112" i="770"/>
  <c r="N112" i="770"/>
  <c r="Y111" i="770"/>
  <c r="X111" i="770"/>
  <c r="U111" i="770"/>
  <c r="V111" i="770" s="1"/>
  <c r="T111" i="770"/>
  <c r="R111" i="770"/>
  <c r="N111" i="770"/>
  <c r="Y110" i="770"/>
  <c r="U110" i="770"/>
  <c r="T110" i="770"/>
  <c r="N110" i="770"/>
  <c r="Y109" i="770"/>
  <c r="X109" i="770"/>
  <c r="U109" i="770"/>
  <c r="V109" i="770" s="1"/>
  <c r="T109" i="770"/>
  <c r="R109" i="770"/>
  <c r="N109" i="770"/>
  <c r="Y108" i="770"/>
  <c r="V108" i="770"/>
  <c r="U108" i="770"/>
  <c r="T108" i="770"/>
  <c r="N108" i="770"/>
  <c r="R108" i="770" s="1"/>
  <c r="Y107" i="770"/>
  <c r="U107" i="770"/>
  <c r="X107" i="770" s="1"/>
  <c r="R107" i="770"/>
  <c r="N107" i="770"/>
  <c r="T107" i="770" s="1"/>
  <c r="Y106" i="770"/>
  <c r="V106" i="770"/>
  <c r="U106" i="770"/>
  <c r="T106" i="770"/>
  <c r="N106" i="770"/>
  <c r="R106" i="770" s="1"/>
  <c r="Y105" i="770"/>
  <c r="X105" i="770"/>
  <c r="U105" i="770"/>
  <c r="V105" i="770" s="1"/>
  <c r="T105" i="770"/>
  <c r="R105" i="770"/>
  <c r="N105" i="770"/>
  <c r="Y104" i="770"/>
  <c r="U104" i="770"/>
  <c r="N104" i="770"/>
  <c r="X104" i="770" s="1"/>
  <c r="Y103" i="770"/>
  <c r="U103" i="770"/>
  <c r="R103" i="770"/>
  <c r="N103" i="770"/>
  <c r="T103" i="770" s="1"/>
  <c r="Y102" i="770"/>
  <c r="U102" i="770"/>
  <c r="T102" i="770"/>
  <c r="N102" i="770"/>
  <c r="X102" i="770" s="1"/>
  <c r="Y101" i="770"/>
  <c r="X101" i="770"/>
  <c r="U101" i="770"/>
  <c r="V101" i="770" s="1"/>
  <c r="R101" i="770"/>
  <c r="N101" i="770"/>
  <c r="T101" i="770" s="1"/>
  <c r="Y100" i="770"/>
  <c r="U100" i="770"/>
  <c r="N100" i="770"/>
  <c r="Y99" i="770"/>
  <c r="X99" i="770"/>
  <c r="U99" i="770"/>
  <c r="V99" i="770" s="1"/>
  <c r="T99" i="770"/>
  <c r="R99" i="770"/>
  <c r="N99" i="770"/>
  <c r="X98" i="770"/>
  <c r="U98" i="770"/>
  <c r="V98" i="770" s="1"/>
  <c r="T98" i="770"/>
  <c r="R98" i="770"/>
  <c r="N98" i="770"/>
  <c r="X97" i="770"/>
  <c r="U97" i="770"/>
  <c r="V97" i="770" s="1"/>
  <c r="T97" i="770"/>
  <c r="R97" i="770"/>
  <c r="N97" i="770"/>
  <c r="X96" i="770"/>
  <c r="U96" i="770"/>
  <c r="V96" i="770" s="1"/>
  <c r="T96" i="770"/>
  <c r="R96" i="770"/>
  <c r="N96" i="770"/>
  <c r="X95" i="770"/>
  <c r="U95" i="770"/>
  <c r="V95" i="770" s="1"/>
  <c r="T95" i="770"/>
  <c r="R95" i="770"/>
  <c r="U94" i="770"/>
  <c r="N94" i="770"/>
  <c r="V93" i="770"/>
  <c r="U93" i="770"/>
  <c r="T93" i="770"/>
  <c r="N93" i="770"/>
  <c r="R93" i="770" s="1"/>
  <c r="U92" i="770"/>
  <c r="N92" i="770"/>
  <c r="V91" i="770"/>
  <c r="U91" i="770"/>
  <c r="T91" i="770"/>
  <c r="N91" i="770"/>
  <c r="R91" i="770" s="1"/>
  <c r="U90" i="770"/>
  <c r="N90" i="770"/>
  <c r="V89" i="770"/>
  <c r="U89" i="770"/>
  <c r="T89" i="770"/>
  <c r="N89" i="770"/>
  <c r="R89" i="770" s="1"/>
  <c r="U88" i="770"/>
  <c r="N88" i="770"/>
  <c r="V87" i="770"/>
  <c r="U87" i="770"/>
  <c r="T87" i="770"/>
  <c r="N87" i="770"/>
  <c r="R87" i="770" s="1"/>
  <c r="U86" i="770"/>
  <c r="N86" i="770"/>
  <c r="V85" i="770"/>
  <c r="U85" i="770"/>
  <c r="T85" i="770"/>
  <c r="N85" i="770"/>
  <c r="R85" i="770" s="1"/>
  <c r="U84" i="770"/>
  <c r="N84" i="770"/>
  <c r="V83" i="770"/>
  <c r="U83" i="770"/>
  <c r="T83" i="770"/>
  <c r="N83" i="770"/>
  <c r="R83" i="770" s="1"/>
  <c r="U82" i="770"/>
  <c r="N82" i="770"/>
  <c r="M82" i="770"/>
  <c r="G82" i="770"/>
  <c r="U81" i="770"/>
  <c r="N81" i="770"/>
  <c r="X81" i="770" s="1"/>
  <c r="U80" i="770"/>
  <c r="N80" i="770"/>
  <c r="V79" i="770"/>
  <c r="U79" i="770"/>
  <c r="N79" i="770"/>
  <c r="X79" i="770" s="1"/>
  <c r="V78" i="770"/>
  <c r="U78" i="770"/>
  <c r="N78" i="770"/>
  <c r="X78" i="770" s="1"/>
  <c r="V77" i="770"/>
  <c r="U77" i="770"/>
  <c r="T77" i="770"/>
  <c r="N77" i="770"/>
  <c r="R77" i="770" s="1"/>
  <c r="G77" i="770"/>
  <c r="U76" i="770"/>
  <c r="V76" i="770" s="1"/>
  <c r="G76" i="770"/>
  <c r="N76" i="770" s="1"/>
  <c r="V75" i="770"/>
  <c r="U75" i="770"/>
  <c r="T75" i="770"/>
  <c r="N75" i="770"/>
  <c r="R75" i="770" s="1"/>
  <c r="G75" i="770"/>
  <c r="X74" i="770"/>
  <c r="U74" i="770"/>
  <c r="V74" i="770" s="1"/>
  <c r="T74" i="770"/>
  <c r="R74" i="770"/>
  <c r="N74" i="770"/>
  <c r="X73" i="770"/>
  <c r="U73" i="770"/>
  <c r="G73" i="770"/>
  <c r="N73" i="770" s="1"/>
  <c r="U72" i="770"/>
  <c r="T72" i="770"/>
  <c r="N72" i="770"/>
  <c r="G72" i="770"/>
  <c r="U71" i="770"/>
  <c r="G71" i="770"/>
  <c r="N71" i="770" s="1"/>
  <c r="V70" i="770"/>
  <c r="U70" i="770"/>
  <c r="T70" i="770"/>
  <c r="N70" i="770"/>
  <c r="R70" i="770" s="1"/>
  <c r="G70" i="770"/>
  <c r="U69" i="770"/>
  <c r="V69" i="770" s="1"/>
  <c r="G69" i="770"/>
  <c r="N69" i="770" s="1"/>
  <c r="V68" i="770"/>
  <c r="U68" i="770"/>
  <c r="T68" i="770"/>
  <c r="N68" i="770"/>
  <c r="R68" i="770" s="1"/>
  <c r="G68" i="770"/>
  <c r="U67" i="770"/>
  <c r="V67" i="770" s="1"/>
  <c r="R67" i="770"/>
  <c r="G67" i="770"/>
  <c r="N67" i="770" s="1"/>
  <c r="U66" i="770"/>
  <c r="N66" i="770"/>
  <c r="X66" i="770" s="1"/>
  <c r="G66" i="770"/>
  <c r="U65" i="770"/>
  <c r="R65" i="770"/>
  <c r="G65" i="770"/>
  <c r="N65" i="770" s="1"/>
  <c r="U64" i="770"/>
  <c r="N64" i="770"/>
  <c r="X64" i="770" s="1"/>
  <c r="G64" i="770"/>
  <c r="U63" i="770"/>
  <c r="V63" i="770" s="1"/>
  <c r="G63" i="770"/>
  <c r="N63" i="770" s="1"/>
  <c r="U62" i="770"/>
  <c r="N62" i="770"/>
  <c r="G62" i="770"/>
  <c r="U61" i="770"/>
  <c r="V61" i="770" s="1"/>
  <c r="M61" i="770"/>
  <c r="N61" i="770" s="1"/>
  <c r="G61" i="770"/>
  <c r="U60" i="770"/>
  <c r="R60" i="770"/>
  <c r="N60" i="770"/>
  <c r="T60" i="770" s="1"/>
  <c r="U59" i="770"/>
  <c r="V59" i="770" s="1"/>
  <c r="G59" i="770"/>
  <c r="N59" i="770" s="1"/>
  <c r="V58" i="770"/>
  <c r="U58" i="770"/>
  <c r="T58" i="770"/>
  <c r="N58" i="770"/>
  <c r="R58" i="770" s="1"/>
  <c r="U57" i="770"/>
  <c r="N57" i="770"/>
  <c r="X57" i="770" s="1"/>
  <c r="G57" i="770"/>
  <c r="U56" i="770"/>
  <c r="V56" i="770" s="1"/>
  <c r="G56" i="770"/>
  <c r="N56" i="770" s="1"/>
  <c r="U55" i="770"/>
  <c r="N55" i="770"/>
  <c r="G55" i="770"/>
  <c r="X54" i="770"/>
  <c r="U54" i="770"/>
  <c r="V54" i="770" s="1"/>
  <c r="G54" i="770"/>
  <c r="N54" i="770" s="1"/>
  <c r="U53" i="770"/>
  <c r="N53" i="770"/>
  <c r="G53" i="770"/>
  <c r="X52" i="770"/>
  <c r="U52" i="770"/>
  <c r="V52" i="770" s="1"/>
  <c r="T52" i="770"/>
  <c r="R52" i="770"/>
  <c r="N52" i="770"/>
  <c r="U51" i="770"/>
  <c r="V51" i="770" s="1"/>
  <c r="R51" i="770"/>
  <c r="G51" i="770"/>
  <c r="N51" i="770" s="1"/>
  <c r="U50" i="770"/>
  <c r="T50" i="770"/>
  <c r="N50" i="770"/>
  <c r="X50" i="770" s="1"/>
  <c r="G50" i="770"/>
  <c r="X49" i="770"/>
  <c r="U49" i="770"/>
  <c r="V49" i="770" s="1"/>
  <c r="G49" i="770"/>
  <c r="N49" i="770" s="1"/>
  <c r="U48" i="770"/>
  <c r="N48" i="770"/>
  <c r="H48" i="770"/>
  <c r="G48" i="770"/>
  <c r="U47" i="770"/>
  <c r="N47" i="770"/>
  <c r="X47" i="770" s="1"/>
  <c r="H47" i="770"/>
  <c r="U46" i="770"/>
  <c r="G46" i="770"/>
  <c r="N46" i="770" s="1"/>
  <c r="U45" i="770"/>
  <c r="T45" i="770"/>
  <c r="N45" i="770"/>
  <c r="X45" i="770" s="1"/>
  <c r="V44" i="770"/>
  <c r="U44" i="770"/>
  <c r="T44" i="770"/>
  <c r="N44" i="770"/>
  <c r="R44" i="770" s="1"/>
  <c r="G44" i="770"/>
  <c r="U43" i="770"/>
  <c r="G43" i="770"/>
  <c r="N43" i="770" s="1"/>
  <c r="V42" i="770"/>
  <c r="U42" i="770"/>
  <c r="T42" i="770"/>
  <c r="N42" i="770"/>
  <c r="R42" i="770" s="1"/>
  <c r="G42" i="770"/>
  <c r="X41" i="770"/>
  <c r="U41" i="770"/>
  <c r="V41" i="770" s="1"/>
  <c r="T41" i="770"/>
  <c r="R41" i="770"/>
  <c r="N41" i="770"/>
  <c r="X40" i="770"/>
  <c r="U40" i="770"/>
  <c r="V40" i="770" s="1"/>
  <c r="G40" i="770"/>
  <c r="N40" i="770" s="1"/>
  <c r="V39" i="770"/>
  <c r="U39" i="770"/>
  <c r="T39" i="770"/>
  <c r="N39" i="770"/>
  <c r="U38" i="770"/>
  <c r="N38" i="770"/>
  <c r="G38" i="770"/>
  <c r="U37" i="770"/>
  <c r="V37" i="770" s="1"/>
  <c r="R37" i="770"/>
  <c r="N37" i="770"/>
  <c r="T37" i="770" s="1"/>
  <c r="U36" i="770"/>
  <c r="V36" i="770" s="1"/>
  <c r="G36" i="770"/>
  <c r="N36" i="770" s="1"/>
  <c r="T36" i="770" s="1"/>
  <c r="U35" i="770"/>
  <c r="N35" i="770"/>
  <c r="G35" i="770"/>
  <c r="U34" i="770"/>
  <c r="V34" i="770" s="1"/>
  <c r="G34" i="770"/>
  <c r="N34" i="770" s="1"/>
  <c r="V33" i="770"/>
  <c r="U33" i="770"/>
  <c r="T33" i="770"/>
  <c r="N33" i="770"/>
  <c r="R33" i="770" s="1"/>
  <c r="U32" i="770"/>
  <c r="N32" i="770"/>
  <c r="G32" i="770"/>
  <c r="X31" i="770"/>
  <c r="U31" i="770"/>
  <c r="G31" i="770"/>
  <c r="N31" i="770" s="1"/>
  <c r="U30" i="770"/>
  <c r="M30" i="770"/>
  <c r="G30" i="770"/>
  <c r="N30" i="770" s="1"/>
  <c r="U29" i="770"/>
  <c r="T29" i="770"/>
  <c r="N29" i="770"/>
  <c r="G29" i="770"/>
  <c r="U28" i="770"/>
  <c r="G28" i="770"/>
  <c r="N28" i="770" s="1"/>
  <c r="U27" i="770"/>
  <c r="M27" i="770"/>
  <c r="G27" i="770"/>
  <c r="X26" i="770"/>
  <c r="U26" i="770"/>
  <c r="V26" i="770" s="1"/>
  <c r="R26" i="770"/>
  <c r="G26" i="770"/>
  <c r="N26" i="770" s="1"/>
  <c r="T26" i="770" s="1"/>
  <c r="V25" i="770"/>
  <c r="U25" i="770"/>
  <c r="T25" i="770"/>
  <c r="N25" i="770"/>
  <c r="G25" i="770"/>
  <c r="U24" i="770"/>
  <c r="V24" i="770" s="1"/>
  <c r="T24" i="770"/>
  <c r="R24" i="770"/>
  <c r="U23" i="770"/>
  <c r="N23" i="770"/>
  <c r="U22" i="770"/>
  <c r="N22" i="770"/>
  <c r="M22" i="770"/>
  <c r="G22" i="770"/>
  <c r="U21" i="770"/>
  <c r="N21" i="770"/>
  <c r="G21" i="770"/>
  <c r="X20" i="770"/>
  <c r="U20" i="770"/>
  <c r="V20" i="770" s="1"/>
  <c r="T20" i="770"/>
  <c r="R20" i="770"/>
  <c r="N20" i="770"/>
  <c r="U19" i="770"/>
  <c r="M19" i="770"/>
  <c r="M7" i="770" s="1"/>
  <c r="M6" i="770" s="1"/>
  <c r="G19" i="770"/>
  <c r="X18" i="770"/>
  <c r="U18" i="770"/>
  <c r="V18" i="770" s="1"/>
  <c r="R18" i="770"/>
  <c r="N18" i="770"/>
  <c r="T18" i="770" s="1"/>
  <c r="X17" i="770"/>
  <c r="U17" i="770"/>
  <c r="V17" i="770" s="1"/>
  <c r="R17" i="770"/>
  <c r="N17" i="770"/>
  <c r="T17" i="770" s="1"/>
  <c r="X16" i="770"/>
  <c r="U16" i="770"/>
  <c r="V16" i="770" s="1"/>
  <c r="R16" i="770"/>
  <c r="G16" i="770"/>
  <c r="N16" i="770" s="1"/>
  <c r="T16" i="770" s="1"/>
  <c r="V15" i="770"/>
  <c r="U15" i="770"/>
  <c r="T15" i="770"/>
  <c r="N15" i="770"/>
  <c r="G15" i="770"/>
  <c r="U14" i="770"/>
  <c r="T14" i="770"/>
  <c r="R14" i="770"/>
  <c r="N14" i="770"/>
  <c r="X13" i="770"/>
  <c r="U13" i="770"/>
  <c r="V13" i="770" s="1"/>
  <c r="R13" i="770"/>
  <c r="G13" i="770"/>
  <c r="N13" i="770" s="1"/>
  <c r="T13" i="770" s="1"/>
  <c r="V12" i="770"/>
  <c r="U12" i="770"/>
  <c r="T12" i="770"/>
  <c r="N12" i="770"/>
  <c r="V11" i="770"/>
  <c r="U11" i="770"/>
  <c r="T11" i="770"/>
  <c r="N11" i="770"/>
  <c r="V10" i="770"/>
  <c r="U10" i="770"/>
  <c r="T10" i="770"/>
  <c r="N10" i="770"/>
  <c r="V9" i="770"/>
  <c r="U9" i="770"/>
  <c r="T9" i="770"/>
  <c r="N9" i="770"/>
  <c r="V8" i="770"/>
  <c r="U8" i="770"/>
  <c r="T8" i="770"/>
  <c r="N8" i="770"/>
  <c r="W7" i="770"/>
  <c r="W6" i="770" s="1"/>
  <c r="S7" i="770"/>
  <c r="Q7" i="770"/>
  <c r="L7" i="770"/>
  <c r="K7" i="770"/>
  <c r="K6" i="770" s="1"/>
  <c r="J7" i="770"/>
  <c r="I7" i="770"/>
  <c r="I6" i="770" s="1"/>
  <c r="H7" i="770"/>
  <c r="H6" i="770" s="1"/>
  <c r="L6" i="770"/>
  <c r="J6" i="770"/>
  <c r="H40" i="36"/>
  <c r="H38" i="36"/>
  <c r="F38" i="36"/>
  <c r="E38" i="36"/>
  <c r="H37" i="36"/>
  <c r="F37" i="36"/>
  <c r="H36" i="36"/>
  <c r="F36" i="36"/>
  <c r="B36" i="36"/>
  <c r="H35" i="36"/>
  <c r="F35" i="36"/>
  <c r="E35" i="36"/>
  <c r="H34" i="36"/>
  <c r="F34" i="36"/>
  <c r="H33" i="36"/>
  <c r="F33" i="36"/>
  <c r="H32" i="36"/>
  <c r="F32" i="36"/>
  <c r="H31" i="36"/>
  <c r="F31" i="36"/>
  <c r="E31" i="36"/>
  <c r="E40" i="36" s="1"/>
  <c r="H30" i="36"/>
  <c r="F30" i="36"/>
  <c r="F40" i="36" s="1"/>
  <c r="E30" i="36"/>
  <c r="B30" i="36"/>
  <c r="H29" i="36"/>
  <c r="F29" i="36"/>
  <c r="E29" i="36"/>
  <c r="H28" i="36"/>
  <c r="F28" i="36"/>
  <c r="B28" i="36"/>
  <c r="H27" i="36"/>
  <c r="F27" i="36"/>
  <c r="B27" i="36"/>
  <c r="H26" i="36"/>
  <c r="F26" i="36"/>
  <c r="B26" i="36"/>
  <c r="H25" i="36"/>
  <c r="F25" i="36"/>
  <c r="E25" i="36"/>
  <c r="H24" i="36"/>
  <c r="F24" i="36"/>
  <c r="B24" i="36"/>
  <c r="H23" i="36"/>
  <c r="F23" i="36"/>
  <c r="B23" i="36"/>
  <c r="H22" i="36"/>
  <c r="F22" i="36"/>
  <c r="E22" i="36"/>
  <c r="C22" i="36"/>
  <c r="H21" i="36"/>
  <c r="E21" i="36"/>
  <c r="B21" i="36"/>
  <c r="H19" i="36"/>
  <c r="F19" i="36"/>
  <c r="E19" i="36"/>
  <c r="H17" i="36"/>
  <c r="F17" i="36"/>
  <c r="E17" i="36"/>
  <c r="B17" i="36"/>
  <c r="H16" i="36"/>
  <c r="F16" i="36"/>
  <c r="B16" i="36"/>
  <c r="H15" i="36"/>
  <c r="F15" i="36"/>
  <c r="B15" i="36"/>
  <c r="H14" i="36"/>
  <c r="F14" i="36"/>
  <c r="E14" i="36"/>
  <c r="B14" i="36"/>
  <c r="H13" i="36"/>
  <c r="F13" i="36"/>
  <c r="G13" i="36" s="1"/>
  <c r="B13" i="36"/>
  <c r="H12" i="36"/>
  <c r="F12" i="36"/>
  <c r="B12" i="36"/>
  <c r="H11" i="36"/>
  <c r="F11" i="36"/>
  <c r="H10" i="36"/>
  <c r="F10" i="36"/>
  <c r="E10" i="36"/>
  <c r="H9" i="36"/>
  <c r="F9" i="36"/>
  <c r="E9" i="36"/>
  <c r="B9" i="36"/>
  <c r="H7" i="36"/>
  <c r="F7" i="36"/>
  <c r="E7" i="36"/>
  <c r="H5" i="36"/>
  <c r="F5" i="36"/>
  <c r="E5" i="36"/>
  <c r="J3" i="36"/>
  <c r="G42" i="36" s="1"/>
  <c r="A2" i="36"/>
  <c r="A1" i="36"/>
  <c r="B75" i="20"/>
  <c r="F75" i="20" s="1"/>
  <c r="G75" i="20" s="1"/>
  <c r="B74" i="20"/>
  <c r="B73" i="20"/>
  <c r="C71" i="20"/>
  <c r="C34" i="36" s="1"/>
  <c r="B71" i="20"/>
  <c r="B34" i="36" s="1"/>
  <c r="B70" i="20"/>
  <c r="B33" i="36" s="1"/>
  <c r="F67" i="20"/>
  <c r="G67" i="20" s="1"/>
  <c r="B67" i="20"/>
  <c r="E66" i="20"/>
  <c r="G65" i="20"/>
  <c r="F65" i="20"/>
  <c r="D65" i="20"/>
  <c r="C65" i="20"/>
  <c r="D64" i="20"/>
  <c r="C64" i="20"/>
  <c r="C63" i="20"/>
  <c r="C62" i="20" s="1"/>
  <c r="F62" i="20"/>
  <c r="G62" i="20" s="1"/>
  <c r="B62" i="20"/>
  <c r="D62" i="20" s="1"/>
  <c r="C61" i="20"/>
  <c r="D61" i="20" s="1"/>
  <c r="D60" i="20"/>
  <c r="C60" i="20"/>
  <c r="C59" i="20"/>
  <c r="B59" i="20"/>
  <c r="F59" i="20" s="1"/>
  <c r="G59" i="20" s="1"/>
  <c r="G58" i="20"/>
  <c r="F58" i="20"/>
  <c r="D58" i="20"/>
  <c r="C58" i="20"/>
  <c r="H56" i="20"/>
  <c r="G55" i="20"/>
  <c r="F55" i="20"/>
  <c r="C55" i="20"/>
  <c r="D55" i="20" s="1"/>
  <c r="C54" i="20"/>
  <c r="D54" i="20" s="1"/>
  <c r="D53" i="20"/>
  <c r="C53" i="20"/>
  <c r="C52" i="20" s="1"/>
  <c r="B52" i="20"/>
  <c r="F52" i="20" s="1"/>
  <c r="G52" i="20" s="1"/>
  <c r="D51" i="20"/>
  <c r="C51" i="20"/>
  <c r="D50" i="20"/>
  <c r="C50" i="20"/>
  <c r="G49" i="20"/>
  <c r="F49" i="20"/>
  <c r="C49" i="20"/>
  <c r="B49" i="20"/>
  <c r="D49" i="20" s="1"/>
  <c r="G48" i="20"/>
  <c r="F48" i="20"/>
  <c r="D48" i="20"/>
  <c r="C48" i="20"/>
  <c r="C46" i="20" s="1"/>
  <c r="H46" i="20"/>
  <c r="F45" i="20"/>
  <c r="G45" i="20" s="1"/>
  <c r="C45" i="20"/>
  <c r="D45" i="20" s="1"/>
  <c r="D44" i="20"/>
  <c r="C44" i="20"/>
  <c r="D43" i="20"/>
  <c r="C43" i="20"/>
  <c r="C42" i="20" s="1"/>
  <c r="G42" i="20"/>
  <c r="F42" i="20"/>
  <c r="B42" i="20"/>
  <c r="D41" i="20"/>
  <c r="C41" i="20"/>
  <c r="D40" i="20"/>
  <c r="C40" i="20"/>
  <c r="C39" i="20"/>
  <c r="B39" i="20"/>
  <c r="D39" i="20" s="1"/>
  <c r="G38" i="20"/>
  <c r="F38" i="20"/>
  <c r="C38" i="20"/>
  <c r="D38" i="20" s="1"/>
  <c r="H36" i="20"/>
  <c r="B36" i="20"/>
  <c r="G35" i="20"/>
  <c r="F35" i="20"/>
  <c r="C35" i="20"/>
  <c r="D35" i="20" s="1"/>
  <c r="D34" i="20"/>
  <c r="C34" i="20"/>
  <c r="D33" i="20"/>
  <c r="C33" i="20"/>
  <c r="C32" i="20"/>
  <c r="C26" i="20" s="1"/>
  <c r="B32" i="20"/>
  <c r="F32" i="20" s="1"/>
  <c r="G32" i="20" s="1"/>
  <c r="D31" i="20"/>
  <c r="C31" i="20"/>
  <c r="C30" i="20"/>
  <c r="D30" i="20" s="1"/>
  <c r="F29" i="20"/>
  <c r="G29" i="20" s="1"/>
  <c r="C29" i="20"/>
  <c r="B29" i="20"/>
  <c r="B26" i="20" s="1"/>
  <c r="F28" i="20"/>
  <c r="G28" i="20" s="1"/>
  <c r="D28" i="20"/>
  <c r="C28" i="20"/>
  <c r="H26" i="20"/>
  <c r="G25" i="20"/>
  <c r="F25" i="20"/>
  <c r="C25" i="20"/>
  <c r="C28" i="36" s="1"/>
  <c r="D24" i="20"/>
  <c r="D27" i="36" s="1"/>
  <c r="G27" i="36" s="1"/>
  <c r="C24" i="20"/>
  <c r="C27" i="36" s="1"/>
  <c r="C23" i="20"/>
  <c r="C26" i="36" s="1"/>
  <c r="F22" i="20"/>
  <c r="G22" i="20" s="1"/>
  <c r="B22" i="20"/>
  <c r="B25" i="36" s="1"/>
  <c r="C21" i="20"/>
  <c r="C24" i="36" s="1"/>
  <c r="D20" i="20"/>
  <c r="D23" i="36" s="1"/>
  <c r="G23" i="36" s="1"/>
  <c r="C20" i="20"/>
  <c r="C23" i="36" s="1"/>
  <c r="C19" i="20"/>
  <c r="B19" i="20"/>
  <c r="B22" i="36" s="1"/>
  <c r="G18" i="20"/>
  <c r="F18" i="20"/>
  <c r="D18" i="20"/>
  <c r="D21" i="36" s="1"/>
  <c r="C18" i="20"/>
  <c r="C21" i="36" s="1"/>
  <c r="H16" i="20"/>
  <c r="F15" i="20"/>
  <c r="D15" i="20"/>
  <c r="D17" i="36" s="1"/>
  <c r="G17" i="36" s="1"/>
  <c r="C15" i="20"/>
  <c r="C17" i="36" s="1"/>
  <c r="D14" i="20"/>
  <c r="D16" i="36" s="1"/>
  <c r="G16" i="36" s="1"/>
  <c r="C14" i="20"/>
  <c r="C16" i="36" s="1"/>
  <c r="C13" i="20"/>
  <c r="D13" i="20" s="1"/>
  <c r="D15" i="36" s="1"/>
  <c r="G15" i="36" s="1"/>
  <c r="G12" i="20"/>
  <c r="F12" i="20"/>
  <c r="B12" i="20"/>
  <c r="D11" i="20"/>
  <c r="D13" i="36" s="1"/>
  <c r="C11" i="20"/>
  <c r="C13" i="36" s="1"/>
  <c r="E10" i="20"/>
  <c r="G10" i="20" s="1"/>
  <c r="C10" i="20"/>
  <c r="C8" i="20" s="1"/>
  <c r="G9" i="20"/>
  <c r="E9" i="20"/>
  <c r="C9" i="20"/>
  <c r="C11" i="36" s="1"/>
  <c r="B9" i="20"/>
  <c r="B8" i="20" s="1"/>
  <c r="G7" i="20"/>
  <c r="E7" i="20"/>
  <c r="C7" i="20"/>
  <c r="F11" i="55" l="1"/>
  <c r="E11" i="56" s="1"/>
  <c r="F12" i="55"/>
  <c r="E12" i="56" s="1"/>
  <c r="F10" i="55"/>
  <c r="E10" i="56" s="1"/>
  <c r="L7" i="55"/>
  <c r="J14" i="55"/>
  <c r="L14" i="56" s="1"/>
  <c r="E7" i="55"/>
  <c r="I7" i="55"/>
  <c r="F15" i="55"/>
  <c r="E15" i="56" s="1"/>
  <c r="D26" i="20"/>
  <c r="C68" i="20"/>
  <c r="C31" i="36" s="1"/>
  <c r="C10" i="36"/>
  <c r="D42" i="20"/>
  <c r="C6" i="20"/>
  <c r="E26" i="20"/>
  <c r="C56" i="20"/>
  <c r="C36" i="20"/>
  <c r="D36" i="20" s="1"/>
  <c r="F8" i="20"/>
  <c r="G8" i="20" s="1"/>
  <c r="D8" i="20"/>
  <c r="D10" i="36" s="1"/>
  <c r="G10" i="36" s="1"/>
  <c r="B6" i="20"/>
  <c r="B10" i="36"/>
  <c r="B11" i="36"/>
  <c r="F39" i="20"/>
  <c r="G39" i="20" s="1"/>
  <c r="D29" i="20"/>
  <c r="B72" i="20"/>
  <c r="C75" i="20"/>
  <c r="C9" i="36"/>
  <c r="B38" i="36"/>
  <c r="V194" i="770"/>
  <c r="X194" i="770"/>
  <c r="T309" i="770"/>
  <c r="X309" i="770"/>
  <c r="B16" i="20"/>
  <c r="B56" i="20"/>
  <c r="D56" i="20" s="1"/>
  <c r="G41" i="36"/>
  <c r="X30" i="770"/>
  <c r="R30" i="770"/>
  <c r="V30" i="770"/>
  <c r="T30" i="770"/>
  <c r="X71" i="770"/>
  <c r="T71" i="770"/>
  <c r="R71" i="770"/>
  <c r="D52" i="20"/>
  <c r="D59" i="20"/>
  <c r="C15" i="36"/>
  <c r="B69" i="20"/>
  <c r="D7" i="20"/>
  <c r="D23" i="20"/>
  <c r="D26" i="36" s="1"/>
  <c r="G26" i="36" s="1"/>
  <c r="D63" i="20"/>
  <c r="C69" i="20"/>
  <c r="C32" i="36" s="1"/>
  <c r="R22" i="770"/>
  <c r="X22" i="770"/>
  <c r="V22" i="770"/>
  <c r="T22" i="770"/>
  <c r="X131" i="770"/>
  <c r="V131" i="770"/>
  <c r="T298" i="770"/>
  <c r="X298" i="770"/>
  <c r="D9" i="20"/>
  <c r="D19" i="20"/>
  <c r="D22" i="36" s="1"/>
  <c r="G22" i="36" s="1"/>
  <c r="F19" i="20"/>
  <c r="G19" i="20" s="1"/>
  <c r="B46" i="20"/>
  <c r="D46" i="20" s="1"/>
  <c r="C12" i="20"/>
  <c r="F7" i="20"/>
  <c r="C67" i="20"/>
  <c r="C73" i="20"/>
  <c r="B37" i="36"/>
  <c r="V14" i="770"/>
  <c r="U7" i="770"/>
  <c r="X14" i="770"/>
  <c r="C70" i="20"/>
  <c r="X46" i="770"/>
  <c r="T46" i="770"/>
  <c r="R46" i="770"/>
  <c r="D10" i="20"/>
  <c r="D12" i="36" s="1"/>
  <c r="G12" i="36" s="1"/>
  <c r="C12" i="36"/>
  <c r="T28" i="770"/>
  <c r="X28" i="770"/>
  <c r="R28" i="770"/>
  <c r="D25" i="20"/>
  <c r="D28" i="36" s="1"/>
  <c r="D21" i="20"/>
  <c r="D24" i="36" s="1"/>
  <c r="G24" i="36" s="1"/>
  <c r="D32" i="20"/>
  <c r="C74" i="20"/>
  <c r="C37" i="36" s="1"/>
  <c r="C22" i="20"/>
  <c r="C25" i="36" s="1"/>
  <c r="D71" i="20"/>
  <c r="D34" i="36" s="1"/>
  <c r="G34" i="36" s="1"/>
  <c r="X24" i="770"/>
  <c r="R36" i="770"/>
  <c r="T56" i="770"/>
  <c r="R56" i="770"/>
  <c r="X63" i="770"/>
  <c r="X206" i="770"/>
  <c r="V206" i="770"/>
  <c r="T206" i="770"/>
  <c r="X253" i="770"/>
  <c r="V253" i="770"/>
  <c r="T261" i="770"/>
  <c r="R261" i="770"/>
  <c r="X261" i="770"/>
  <c r="X280" i="770"/>
  <c r="V280" i="770"/>
  <c r="X9" i="770"/>
  <c r="R9" i="770"/>
  <c r="X12" i="770"/>
  <c r="R12" i="770"/>
  <c r="X25" i="770"/>
  <c r="R25" i="770"/>
  <c r="X36" i="770"/>
  <c r="T40" i="770"/>
  <c r="R40" i="770"/>
  <c r="X56" i="770"/>
  <c r="X60" i="770"/>
  <c r="V60" i="770"/>
  <c r="V71" i="770"/>
  <c r="X112" i="770"/>
  <c r="V112" i="770"/>
  <c r="T112" i="770"/>
  <c r="R112" i="770"/>
  <c r="X132" i="770"/>
  <c r="V132" i="770"/>
  <c r="T132" i="770"/>
  <c r="R132" i="770"/>
  <c r="X134" i="770"/>
  <c r="V134" i="770"/>
  <c r="X203" i="770"/>
  <c r="V203" i="770"/>
  <c r="V217" i="770"/>
  <c r="X217" i="770"/>
  <c r="V28" i="770"/>
  <c r="T31" i="770"/>
  <c r="R31" i="770"/>
  <c r="X34" i="770"/>
  <c r="T34" i="770"/>
  <c r="X43" i="770"/>
  <c r="T43" i="770"/>
  <c r="R43" i="770"/>
  <c r="V46" i="770"/>
  <c r="X53" i="770"/>
  <c r="V53" i="770"/>
  <c r="R53" i="770"/>
  <c r="X135" i="770"/>
  <c r="V135" i="770"/>
  <c r="T135" i="770"/>
  <c r="R135" i="770"/>
  <c r="X137" i="770"/>
  <c r="V137" i="770"/>
  <c r="X148" i="770"/>
  <c r="V148" i="770"/>
  <c r="V164" i="770"/>
  <c r="X164" i="770"/>
  <c r="T291" i="770"/>
  <c r="V298" i="770"/>
  <c r="R15" i="770"/>
  <c r="X15" i="770"/>
  <c r="V31" i="770"/>
  <c r="R34" i="770"/>
  <c r="V43" i="770"/>
  <c r="T53" i="770"/>
  <c r="T61" i="770"/>
  <c r="R61" i="770"/>
  <c r="X65" i="770"/>
  <c r="T65" i="770"/>
  <c r="X72" i="770"/>
  <c r="V72" i="770"/>
  <c r="R72" i="770"/>
  <c r="X82" i="770"/>
  <c r="V82" i="770"/>
  <c r="T82" i="770"/>
  <c r="R82" i="770"/>
  <c r="X86" i="770"/>
  <c r="V86" i="770"/>
  <c r="T86" i="770"/>
  <c r="R86" i="770"/>
  <c r="X90" i="770"/>
  <c r="V90" i="770"/>
  <c r="T90" i="770"/>
  <c r="R90" i="770"/>
  <c r="X94" i="770"/>
  <c r="V94" i="770"/>
  <c r="T94" i="770"/>
  <c r="R94" i="770"/>
  <c r="X110" i="770"/>
  <c r="V110" i="770"/>
  <c r="R110" i="770"/>
  <c r="X138" i="770"/>
  <c r="V138" i="770"/>
  <c r="T138" i="770"/>
  <c r="R138" i="770"/>
  <c r="X176" i="770"/>
  <c r="V176" i="770"/>
  <c r="V250" i="770"/>
  <c r="X250" i="770"/>
  <c r="X23" i="770"/>
  <c r="R23" i="770"/>
  <c r="X127" i="770"/>
  <c r="V127" i="770"/>
  <c r="X144" i="770"/>
  <c r="T144" i="770"/>
  <c r="R144" i="770"/>
  <c r="X151" i="770"/>
  <c r="V151" i="770"/>
  <c r="X10" i="770"/>
  <c r="R10" i="770"/>
  <c r="T23" i="770"/>
  <c r="X29" i="770"/>
  <c r="V29" i="770"/>
  <c r="R29" i="770"/>
  <c r="X37" i="770"/>
  <c r="X51" i="770"/>
  <c r="T51" i="770"/>
  <c r="T54" i="770"/>
  <c r="R54" i="770"/>
  <c r="X61" i="770"/>
  <c r="V65" i="770"/>
  <c r="X69" i="770"/>
  <c r="T69" i="770"/>
  <c r="R69" i="770"/>
  <c r="X21" i="770"/>
  <c r="R21" i="770"/>
  <c r="X32" i="770"/>
  <c r="R32" i="770"/>
  <c r="R35" i="770"/>
  <c r="X35" i="770"/>
  <c r="T73" i="770"/>
  <c r="R73" i="770"/>
  <c r="X100" i="770"/>
  <c r="V100" i="770"/>
  <c r="T100" i="770"/>
  <c r="R100" i="770"/>
  <c r="V144" i="770"/>
  <c r="X223" i="770"/>
  <c r="V223" i="770"/>
  <c r="V239" i="770"/>
  <c r="X239" i="770"/>
  <c r="S6" i="770"/>
  <c r="N19" i="770"/>
  <c r="T21" i="770"/>
  <c r="V23" i="770"/>
  <c r="T32" i="770"/>
  <c r="T35" i="770"/>
  <c r="X38" i="770"/>
  <c r="V38" i="770"/>
  <c r="T38" i="770"/>
  <c r="R38" i="770"/>
  <c r="X62" i="770"/>
  <c r="V62" i="770"/>
  <c r="T62" i="770"/>
  <c r="R62" i="770"/>
  <c r="V73" i="770"/>
  <c r="X76" i="770"/>
  <c r="T76" i="770"/>
  <c r="R76" i="770"/>
  <c r="X114" i="770"/>
  <c r="V114" i="770"/>
  <c r="T114" i="770"/>
  <c r="R114" i="770"/>
  <c r="X181" i="770"/>
  <c r="V181" i="770"/>
  <c r="X212" i="770"/>
  <c r="V212" i="770"/>
  <c r="X48" i="770"/>
  <c r="V48" i="770"/>
  <c r="T48" i="770"/>
  <c r="R48" i="770"/>
  <c r="X80" i="770"/>
  <c r="V80" i="770"/>
  <c r="R80" i="770"/>
  <c r="X103" i="770"/>
  <c r="V103" i="770"/>
  <c r="U116" i="770"/>
  <c r="V240" i="770"/>
  <c r="X240" i="770"/>
  <c r="X8" i="770"/>
  <c r="R8" i="770"/>
  <c r="X11" i="770"/>
  <c r="R11" i="770"/>
  <c r="V21" i="770"/>
  <c r="N27" i="770"/>
  <c r="X27" i="770" s="1"/>
  <c r="V32" i="770"/>
  <c r="V35" i="770"/>
  <c r="X39" i="770"/>
  <c r="R39" i="770"/>
  <c r="X55" i="770"/>
  <c r="V55" i="770"/>
  <c r="T55" i="770"/>
  <c r="R55" i="770"/>
  <c r="X59" i="770"/>
  <c r="T59" i="770"/>
  <c r="R59" i="770"/>
  <c r="T63" i="770"/>
  <c r="R63" i="770"/>
  <c r="X67" i="770"/>
  <c r="T67" i="770"/>
  <c r="T80" i="770"/>
  <c r="X84" i="770"/>
  <c r="V84" i="770"/>
  <c r="T84" i="770"/>
  <c r="R84" i="770"/>
  <c r="X88" i="770"/>
  <c r="V88" i="770"/>
  <c r="T88" i="770"/>
  <c r="R88" i="770"/>
  <c r="X92" i="770"/>
  <c r="V92" i="770"/>
  <c r="T92" i="770"/>
  <c r="R92" i="770"/>
  <c r="X146" i="770"/>
  <c r="V146" i="770"/>
  <c r="X182" i="770"/>
  <c r="V252" i="770"/>
  <c r="X252" i="770"/>
  <c r="G7" i="770"/>
  <c r="G6" i="770" s="1"/>
  <c r="V19" i="770"/>
  <c r="T49" i="770"/>
  <c r="R49" i="770"/>
  <c r="V244" i="770"/>
  <c r="X244" i="770"/>
  <c r="T301" i="770"/>
  <c r="X301" i="770"/>
  <c r="X282" i="770"/>
  <c r="V282" i="770"/>
  <c r="X336" i="770"/>
  <c r="V336" i="770"/>
  <c r="U390" i="770"/>
  <c r="R390" i="770"/>
  <c r="T403" i="770"/>
  <c r="X403" i="770"/>
  <c r="U428" i="770"/>
  <c r="R428" i="770"/>
  <c r="V439" i="770"/>
  <c r="X439" i="770"/>
  <c r="X481" i="770"/>
  <c r="V481" i="770"/>
  <c r="R540" i="770"/>
  <c r="U540" i="770"/>
  <c r="V540" i="770" s="1"/>
  <c r="X33" i="770"/>
  <c r="X42" i="770"/>
  <c r="X68" i="770"/>
  <c r="X75" i="770"/>
  <c r="X83" i="770"/>
  <c r="X85" i="770"/>
  <c r="X87" i="770"/>
  <c r="X89" i="770"/>
  <c r="X91" i="770"/>
  <c r="X93" i="770"/>
  <c r="X106" i="770"/>
  <c r="X113" i="770"/>
  <c r="U119" i="770"/>
  <c r="R121" i="770"/>
  <c r="R123" i="770"/>
  <c r="R127" i="770"/>
  <c r="U147" i="770"/>
  <c r="V147" i="770" s="1"/>
  <c r="R151" i="770"/>
  <c r="U158" i="770"/>
  <c r="V158" i="770" s="1"/>
  <c r="T160" i="770"/>
  <c r="R162" i="770"/>
  <c r="R164" i="770"/>
  <c r="R176" i="770"/>
  <c r="R194" i="770"/>
  <c r="R196" i="770"/>
  <c r="N198" i="770"/>
  <c r="N116" i="770" s="1"/>
  <c r="T205" i="770"/>
  <c r="R207" i="770"/>
  <c r="X210" i="770"/>
  <c r="U216" i="770"/>
  <c r="X218" i="770"/>
  <c r="X220" i="770"/>
  <c r="U222" i="770"/>
  <c r="X224" i="770"/>
  <c r="X226" i="770"/>
  <c r="X232" i="770"/>
  <c r="X234" i="770"/>
  <c r="V236" i="770"/>
  <c r="U238" i="770"/>
  <c r="V238" i="770" s="1"/>
  <c r="U249" i="770"/>
  <c r="R252" i="770"/>
  <c r="R266" i="770"/>
  <c r="X272" i="770"/>
  <c r="R275" i="770"/>
  <c r="R288" i="770"/>
  <c r="R290" i="770"/>
  <c r="R293" i="770"/>
  <c r="R295" i="770"/>
  <c r="R297" i="770"/>
  <c r="V299" i="770"/>
  <c r="U305" i="770"/>
  <c r="V305" i="770" s="1"/>
  <c r="R305" i="770"/>
  <c r="R320" i="770"/>
  <c r="X323" i="770"/>
  <c r="X331" i="770"/>
  <c r="X349" i="770"/>
  <c r="V349" i="770"/>
  <c r="X353" i="770"/>
  <c r="V353" i="770"/>
  <c r="T362" i="770"/>
  <c r="X362" i="770"/>
  <c r="V383" i="770"/>
  <c r="X383" i="770"/>
  <c r="V396" i="770"/>
  <c r="U460" i="770"/>
  <c r="V460" i="770" s="1"/>
  <c r="R460" i="770"/>
  <c r="X469" i="770"/>
  <c r="V469" i="770"/>
  <c r="X473" i="770"/>
  <c r="T510" i="770"/>
  <c r="X510" i="770"/>
  <c r="T513" i="770"/>
  <c r="X513" i="770"/>
  <c r="R520" i="770"/>
  <c r="U520" i="770"/>
  <c r="R140" i="770"/>
  <c r="X143" i="770"/>
  <c r="R153" i="770"/>
  <c r="X155" i="770"/>
  <c r="X156" i="770"/>
  <c r="U170" i="770"/>
  <c r="R172" i="770"/>
  <c r="R178" i="770"/>
  <c r="R180" i="770"/>
  <c r="R184" i="770"/>
  <c r="R186" i="770"/>
  <c r="R188" i="770"/>
  <c r="U190" i="770"/>
  <c r="T196" i="770"/>
  <c r="V201" i="770"/>
  <c r="T207" i="770"/>
  <c r="X247" i="770"/>
  <c r="T266" i="770"/>
  <c r="T293" i="770"/>
  <c r="X297" i="770"/>
  <c r="V302" i="770"/>
  <c r="R311" i="770"/>
  <c r="U311" i="770"/>
  <c r="V320" i="770"/>
  <c r="U362" i="770"/>
  <c r="V362" i="770" s="1"/>
  <c r="R362" i="770"/>
  <c r="U372" i="770"/>
  <c r="R372" i="770"/>
  <c r="T391" i="770"/>
  <c r="U408" i="770"/>
  <c r="R408" i="770"/>
  <c r="V424" i="770"/>
  <c r="V461" i="770"/>
  <c r="X461" i="770"/>
  <c r="X467" i="770"/>
  <c r="X44" i="770"/>
  <c r="X58" i="770"/>
  <c r="X70" i="770"/>
  <c r="X77" i="770"/>
  <c r="X108" i="770"/>
  <c r="U121" i="770"/>
  <c r="T140" i="770"/>
  <c r="T153" i="770"/>
  <c r="T172" i="770"/>
  <c r="T178" i="770"/>
  <c r="T180" i="770"/>
  <c r="T184" i="770"/>
  <c r="T186" i="770"/>
  <c r="X237" i="770"/>
  <c r="V275" i="770"/>
  <c r="V288" i="770"/>
  <c r="V295" i="770"/>
  <c r="X300" i="770"/>
  <c r="V300" i="770"/>
  <c r="X305" i="770"/>
  <c r="X320" i="770"/>
  <c r="X345" i="770"/>
  <c r="V345" i="770"/>
  <c r="V350" i="770"/>
  <c r="X350" i="770"/>
  <c r="T354" i="770"/>
  <c r="X365" i="770"/>
  <c r="V365" i="770"/>
  <c r="X387" i="770"/>
  <c r="X424" i="770"/>
  <c r="X440" i="770"/>
  <c r="V440" i="770"/>
  <c r="X457" i="770"/>
  <c r="V457" i="770"/>
  <c r="T497" i="770"/>
  <c r="X497" i="770"/>
  <c r="U561" i="770"/>
  <c r="V561" i="770" s="1"/>
  <c r="R561" i="770"/>
  <c r="X616" i="770"/>
  <c r="T616" i="770"/>
  <c r="R616" i="770"/>
  <c r="T637" i="770"/>
  <c r="X637" i="770"/>
  <c r="R637" i="770"/>
  <c r="X684" i="770"/>
  <c r="V684" i="770"/>
  <c r="T722" i="770"/>
  <c r="R131" i="770"/>
  <c r="R134" i="770"/>
  <c r="R137" i="770"/>
  <c r="R146" i="770"/>
  <c r="R155" i="770"/>
  <c r="R182" i="770"/>
  <c r="V186" i="770"/>
  <c r="R200" i="770"/>
  <c r="R209" i="770"/>
  <c r="R211" i="770"/>
  <c r="R217" i="770"/>
  <c r="R219" i="770"/>
  <c r="R223" i="770"/>
  <c r="R225" i="770"/>
  <c r="R231" i="770"/>
  <c r="R233" i="770"/>
  <c r="R239" i="770"/>
  <c r="R250" i="770"/>
  <c r="R255" i="770"/>
  <c r="T262" i="770"/>
  <c r="R264" i="770"/>
  <c r="X275" i="770"/>
  <c r="R286" i="770"/>
  <c r="X288" i="770"/>
  <c r="X295" i="770"/>
  <c r="R300" i="770"/>
  <c r="X329" i="770"/>
  <c r="X337" i="770"/>
  <c r="V337" i="770"/>
  <c r="V340" i="770"/>
  <c r="R350" i="770"/>
  <c r="U354" i="770"/>
  <c r="V354" i="770" s="1"/>
  <c r="R354" i="770"/>
  <c r="X363" i="770"/>
  <c r="T363" i="770"/>
  <c r="T405" i="770"/>
  <c r="R405" i="770"/>
  <c r="X405" i="770"/>
  <c r="T409" i="770"/>
  <c r="X409" i="770"/>
  <c r="R440" i="770"/>
  <c r="U444" i="770"/>
  <c r="R444" i="770"/>
  <c r="X471" i="770"/>
  <c r="V471" i="770"/>
  <c r="V497" i="770"/>
  <c r="T508" i="770"/>
  <c r="X508" i="770"/>
  <c r="R45" i="770"/>
  <c r="R50" i="770"/>
  <c r="R57" i="770"/>
  <c r="R64" i="770"/>
  <c r="R102" i="770"/>
  <c r="R148" i="770"/>
  <c r="T155" i="770"/>
  <c r="R157" i="770"/>
  <c r="R159" i="770"/>
  <c r="T182" i="770"/>
  <c r="X188" i="770"/>
  <c r="V192" i="770"/>
  <c r="R204" i="770"/>
  <c r="T209" i="770"/>
  <c r="R213" i="770"/>
  <c r="T225" i="770"/>
  <c r="U227" i="770"/>
  <c r="V227" i="770" s="1"/>
  <c r="T231" i="770"/>
  <c r="R237" i="770"/>
  <c r="X241" i="770"/>
  <c r="R244" i="770"/>
  <c r="R248" i="770"/>
  <c r="R253" i="770"/>
  <c r="T255" i="770"/>
  <c r="R260" i="770"/>
  <c r="V264" i="770"/>
  <c r="U291" i="770"/>
  <c r="V291" i="770" s="1"/>
  <c r="R291" i="770"/>
  <c r="X296" i="770"/>
  <c r="R298" i="770"/>
  <c r="R306" i="770"/>
  <c r="X308" i="770"/>
  <c r="U312" i="770"/>
  <c r="X312" i="770" s="1"/>
  <c r="R312" i="770"/>
  <c r="X315" i="770"/>
  <c r="V318" i="770"/>
  <c r="X359" i="770"/>
  <c r="T359" i="770"/>
  <c r="R363" i="770"/>
  <c r="T369" i="770"/>
  <c r="U398" i="770"/>
  <c r="R398" i="770"/>
  <c r="V409" i="770"/>
  <c r="X435" i="770"/>
  <c r="T435" i="770"/>
  <c r="T467" i="770"/>
  <c r="R478" i="770"/>
  <c r="U478" i="770"/>
  <c r="X517" i="770"/>
  <c r="T517" i="770"/>
  <c r="T555" i="770"/>
  <c r="T57" i="770"/>
  <c r="T64" i="770"/>
  <c r="X171" i="770"/>
  <c r="X197" i="770"/>
  <c r="T213" i="770"/>
  <c r="T248" i="770"/>
  <c r="V281" i="770"/>
  <c r="X281" i="770"/>
  <c r="X286" i="770"/>
  <c r="V313" i="770"/>
  <c r="X313" i="770"/>
  <c r="U426" i="770"/>
  <c r="R426" i="770"/>
  <c r="X430" i="770"/>
  <c r="T430" i="770"/>
  <c r="R430" i="770"/>
  <c r="V486" i="770"/>
  <c r="X553" i="770"/>
  <c r="R553" i="770"/>
  <c r="T553" i="770"/>
  <c r="R47" i="770"/>
  <c r="R66" i="770"/>
  <c r="R81" i="770"/>
  <c r="R104" i="770"/>
  <c r="V107" i="770"/>
  <c r="U159" i="770"/>
  <c r="R189" i="770"/>
  <c r="R191" i="770"/>
  <c r="R195" i="770"/>
  <c r="U204" i="770"/>
  <c r="R206" i="770"/>
  <c r="X211" i="770"/>
  <c r="X219" i="770"/>
  <c r="X233" i="770"/>
  <c r="U271" i="770"/>
  <c r="X271" i="770" s="1"/>
  <c r="R271" i="770"/>
  <c r="R281" i="770"/>
  <c r="R296" i="770"/>
  <c r="X303" i="770"/>
  <c r="V303" i="770"/>
  <c r="X306" i="770"/>
  <c r="R313" i="770"/>
  <c r="T318" i="770"/>
  <c r="U324" i="770"/>
  <c r="R324" i="770"/>
  <c r="X343" i="770"/>
  <c r="V343" i="770"/>
  <c r="V380" i="770"/>
  <c r="U388" i="770"/>
  <c r="R388" i="770"/>
  <c r="T445" i="770"/>
  <c r="X445" i="770"/>
  <c r="X455" i="770"/>
  <c r="V455" i="770"/>
  <c r="R479" i="770"/>
  <c r="U479" i="770"/>
  <c r="V508" i="770"/>
  <c r="R528" i="770"/>
  <c r="U528" i="770"/>
  <c r="V528" i="770" s="1"/>
  <c r="V45" i="770"/>
  <c r="T47" i="770"/>
  <c r="V50" i="770"/>
  <c r="V57" i="770"/>
  <c r="V64" i="770"/>
  <c r="T66" i="770"/>
  <c r="T81" i="770"/>
  <c r="V102" i="770"/>
  <c r="T104" i="770"/>
  <c r="V213" i="770"/>
  <c r="X230" i="770"/>
  <c r="X246" i="770"/>
  <c r="V248" i="770"/>
  <c r="X263" i="770"/>
  <c r="R292" i="770"/>
  <c r="U292" i="770"/>
  <c r="R301" i="770"/>
  <c r="U301" i="770"/>
  <c r="V301" i="770" s="1"/>
  <c r="X304" i="770"/>
  <c r="X307" i="770"/>
  <c r="R309" i="770"/>
  <c r="X335" i="770"/>
  <c r="V335" i="770"/>
  <c r="X338" i="770"/>
  <c r="V338" i="770"/>
  <c r="X347" i="770"/>
  <c r="V347" i="770"/>
  <c r="X366" i="770"/>
  <c r="V366" i="770"/>
  <c r="U370" i="770"/>
  <c r="R370" i="770"/>
  <c r="U374" i="770"/>
  <c r="R374" i="770"/>
  <c r="T385" i="770"/>
  <c r="U406" i="770"/>
  <c r="V406" i="770" s="1"/>
  <c r="R406" i="770"/>
  <c r="V472" i="770"/>
  <c r="X472" i="770"/>
  <c r="T493" i="770"/>
  <c r="X493" i="770"/>
  <c r="R493" i="770"/>
  <c r="U495" i="770"/>
  <c r="V495" i="770" s="1"/>
  <c r="R495" i="770"/>
  <c r="X506" i="770"/>
  <c r="V506" i="770"/>
  <c r="X548" i="770"/>
  <c r="R548" i="770"/>
  <c r="T548" i="770"/>
  <c r="V120" i="770"/>
  <c r="V124" i="770"/>
  <c r="V126" i="770"/>
  <c r="V139" i="770"/>
  <c r="V161" i="770"/>
  <c r="V163" i="770"/>
  <c r="V165" i="770"/>
  <c r="V167" i="770"/>
  <c r="V169" i="770"/>
  <c r="R173" i="770"/>
  <c r="R181" i="770"/>
  <c r="R183" i="770"/>
  <c r="R199" i="770"/>
  <c r="R212" i="770"/>
  <c r="X215" i="770"/>
  <c r="R220" i="770"/>
  <c r="R240" i="770"/>
  <c r="R256" i="770"/>
  <c r="V276" i="770"/>
  <c r="V278" i="770"/>
  <c r="U294" i="770"/>
  <c r="V294" i="770" s="1"/>
  <c r="R294" i="770"/>
  <c r="V309" i="770"/>
  <c r="U319" i="770"/>
  <c r="V319" i="770" s="1"/>
  <c r="R319" i="770"/>
  <c r="T356" i="770"/>
  <c r="R385" i="770"/>
  <c r="U385" i="770"/>
  <c r="V385" i="770" s="1"/>
  <c r="T389" i="770"/>
  <c r="X389" i="770"/>
  <c r="X438" i="770"/>
  <c r="V438" i="770"/>
  <c r="R446" i="770"/>
  <c r="U446" i="770"/>
  <c r="U484" i="770"/>
  <c r="X484" i="770" s="1"/>
  <c r="R484" i="770"/>
  <c r="T487" i="770"/>
  <c r="X487" i="770"/>
  <c r="T490" i="770"/>
  <c r="X490" i="770"/>
  <c r="V490" i="770"/>
  <c r="V504" i="770"/>
  <c r="T504" i="770"/>
  <c r="T523" i="770"/>
  <c r="T526" i="770"/>
  <c r="X526" i="770"/>
  <c r="V47" i="770"/>
  <c r="V66" i="770"/>
  <c r="V81" i="770"/>
  <c r="V104" i="770"/>
  <c r="V122" i="770"/>
  <c r="V179" i="770"/>
  <c r="V185" i="770"/>
  <c r="V193" i="770"/>
  <c r="R210" i="770"/>
  <c r="R218" i="770"/>
  <c r="R226" i="770"/>
  <c r="U228" i="770"/>
  <c r="R232" i="770"/>
  <c r="X242" i="770"/>
  <c r="R247" i="770"/>
  <c r="V254" i="770"/>
  <c r="V265" i="770"/>
  <c r="R268" i="770"/>
  <c r="R304" i="770"/>
  <c r="R307" i="770"/>
  <c r="V314" i="770"/>
  <c r="V325" i="770"/>
  <c r="U328" i="770"/>
  <c r="R328" i="770"/>
  <c r="X333" i="770"/>
  <c r="V348" i="770"/>
  <c r="X348" i="770"/>
  <c r="R356" i="770"/>
  <c r="V389" i="770"/>
  <c r="T411" i="770"/>
  <c r="X456" i="770"/>
  <c r="V456" i="770"/>
  <c r="T476" i="770"/>
  <c r="X476" i="770"/>
  <c r="V487" i="770"/>
  <c r="V493" i="770"/>
  <c r="R523" i="770"/>
  <c r="U542" i="770"/>
  <c r="V542" i="770" s="1"/>
  <c r="R542" i="770"/>
  <c r="X152" i="770"/>
  <c r="X162" i="770"/>
  <c r="X177" i="770"/>
  <c r="U199" i="770"/>
  <c r="V199" i="770" s="1"/>
  <c r="U220" i="770"/>
  <c r="V220" i="770" s="1"/>
  <c r="U234" i="770"/>
  <c r="V234" i="770" s="1"/>
  <c r="R245" i="770"/>
  <c r="V251" i="770"/>
  <c r="R254" i="770"/>
  <c r="T263" i="770"/>
  <c r="R272" i="770"/>
  <c r="X277" i="770"/>
  <c r="X290" i="770"/>
  <c r="X294" i="770"/>
  <c r="R299" i="770"/>
  <c r="R302" i="770"/>
  <c r="T307" i="770"/>
  <c r="R314" i="770"/>
  <c r="R325" i="770"/>
  <c r="X334" i="770"/>
  <c r="R348" i="770"/>
  <c r="R352" i="770"/>
  <c r="U357" i="770"/>
  <c r="R357" i="770"/>
  <c r="R367" i="770"/>
  <c r="U382" i="770"/>
  <c r="X382" i="770" s="1"/>
  <c r="R382" i="770"/>
  <c r="X400" i="770"/>
  <c r="T400" i="770"/>
  <c r="R400" i="770"/>
  <c r="T407" i="770"/>
  <c r="X407" i="770"/>
  <c r="X414" i="770"/>
  <c r="U442" i="770"/>
  <c r="X442" i="770" s="1"/>
  <c r="X449" i="770"/>
  <c r="V449" i="770"/>
  <c r="U480" i="770"/>
  <c r="V480" i="770" s="1"/>
  <c r="R480" i="770"/>
  <c r="X488" i="770"/>
  <c r="R488" i="770"/>
  <c r="T488" i="770"/>
  <c r="X491" i="770"/>
  <c r="T491" i="770"/>
  <c r="R491" i="770"/>
  <c r="T499" i="770"/>
  <c r="V499" i="770"/>
  <c r="R499" i="770"/>
  <c r="T506" i="770"/>
  <c r="U356" i="770"/>
  <c r="V356" i="770" s="1"/>
  <c r="U358" i="770"/>
  <c r="U360" i="770"/>
  <c r="X360" i="770" s="1"/>
  <c r="U369" i="770"/>
  <c r="V369" i="770" s="1"/>
  <c r="U371" i="770"/>
  <c r="V371" i="770" s="1"/>
  <c r="U373" i="770"/>
  <c r="U375" i="770"/>
  <c r="T381" i="770"/>
  <c r="U387" i="770"/>
  <c r="V387" i="770" s="1"/>
  <c r="T395" i="770"/>
  <c r="U397" i="770"/>
  <c r="V397" i="770" s="1"/>
  <c r="U407" i="770"/>
  <c r="V407" i="770" s="1"/>
  <c r="T415" i="770"/>
  <c r="U417" i="770"/>
  <c r="V417" i="770" s="1"/>
  <c r="T419" i="770"/>
  <c r="T423" i="770"/>
  <c r="U425" i="770"/>
  <c r="U427" i="770"/>
  <c r="R435" i="770"/>
  <c r="X454" i="770"/>
  <c r="R466" i="770"/>
  <c r="R470" i="770"/>
  <c r="R473" i="770"/>
  <c r="U477" i="770"/>
  <c r="R490" i="770"/>
  <c r="N496" i="770"/>
  <c r="V505" i="770"/>
  <c r="X507" i="770"/>
  <c r="R516" i="770"/>
  <c r="V519" i="770"/>
  <c r="X519" i="770"/>
  <c r="R539" i="770"/>
  <c r="X547" i="770"/>
  <c r="V547" i="770"/>
  <c r="T552" i="770"/>
  <c r="T557" i="770"/>
  <c r="X574" i="770"/>
  <c r="V589" i="770"/>
  <c r="X598" i="770"/>
  <c r="T598" i="770"/>
  <c r="R601" i="770"/>
  <c r="V608" i="770"/>
  <c r="T643" i="770"/>
  <c r="X643" i="770"/>
  <c r="V643" i="770"/>
  <c r="R643" i="770"/>
  <c r="X652" i="770"/>
  <c r="V652" i="770"/>
  <c r="T652" i="770"/>
  <c r="R652" i="770"/>
  <c r="T658" i="770"/>
  <c r="X658" i="770"/>
  <c r="X670" i="770"/>
  <c r="V670" i="770"/>
  <c r="V705" i="770"/>
  <c r="V742" i="770"/>
  <c r="V748" i="770"/>
  <c r="V381" i="770"/>
  <c r="V395" i="770"/>
  <c r="V415" i="770"/>
  <c r="V423" i="770"/>
  <c r="X459" i="770"/>
  <c r="V459" i="770"/>
  <c r="T501" i="770"/>
  <c r="X501" i="770"/>
  <c r="X514" i="770"/>
  <c r="T514" i="770"/>
  <c r="X540" i="770"/>
  <c r="T540" i="770"/>
  <c r="U564" i="770"/>
  <c r="V564" i="770" s="1"/>
  <c r="R564" i="770"/>
  <c r="X567" i="770"/>
  <c r="X594" i="770"/>
  <c r="V594" i="770"/>
  <c r="T725" i="770"/>
  <c r="X725" i="770"/>
  <c r="R347" i="770"/>
  <c r="R349" i="770"/>
  <c r="R353" i="770"/>
  <c r="X371" i="770"/>
  <c r="X399" i="770"/>
  <c r="X406" i="770"/>
  <c r="X417" i="770"/>
  <c r="X429" i="770"/>
  <c r="R439" i="770"/>
  <c r="R441" i="770"/>
  <c r="V468" i="770"/>
  <c r="R471" i="770"/>
  <c r="R482" i="770"/>
  <c r="V492" i="770"/>
  <c r="N498" i="770"/>
  <c r="R507" i="770"/>
  <c r="R514" i="770"/>
  <c r="X528" i="770"/>
  <c r="T528" i="770"/>
  <c r="X545" i="770"/>
  <c r="T545" i="770"/>
  <c r="U567" i="770"/>
  <c r="V567" i="770" s="1"/>
  <c r="R567" i="770"/>
  <c r="X571" i="770"/>
  <c r="T571" i="770"/>
  <c r="R571" i="770"/>
  <c r="X602" i="770"/>
  <c r="T602" i="770"/>
  <c r="X606" i="770"/>
  <c r="T606" i="770"/>
  <c r="R606" i="770"/>
  <c r="V692" i="770"/>
  <c r="X692" i="770"/>
  <c r="T712" i="770"/>
  <c r="X712" i="770"/>
  <c r="T755" i="770"/>
  <c r="R376" i="770"/>
  <c r="R378" i="770"/>
  <c r="R392" i="770"/>
  <c r="U404" i="770"/>
  <c r="R412" i="770"/>
  <c r="R418" i="770"/>
  <c r="X420" i="770"/>
  <c r="X432" i="770"/>
  <c r="U441" i="770"/>
  <c r="V441" i="770" s="1"/>
  <c r="T468" i="770"/>
  <c r="R504" i="770"/>
  <c r="R517" i="770"/>
  <c r="X542" i="770"/>
  <c r="V545" i="770"/>
  <c r="V548" i="770"/>
  <c r="R555" i="770"/>
  <c r="X562" i="770"/>
  <c r="T562" i="770"/>
  <c r="X568" i="770"/>
  <c r="T568" i="770"/>
  <c r="X583" i="770"/>
  <c r="V583" i="770"/>
  <c r="T599" i="770"/>
  <c r="R599" i="770"/>
  <c r="X599" i="770"/>
  <c r="R602" i="770"/>
  <c r="V616" i="770"/>
  <c r="T620" i="770"/>
  <c r="X620" i="770"/>
  <c r="T644" i="770"/>
  <c r="R644" i="770"/>
  <c r="X644" i="770"/>
  <c r="T647" i="770"/>
  <c r="X647" i="770"/>
  <c r="R650" i="770"/>
  <c r="X650" i="770"/>
  <c r="T650" i="770"/>
  <c r="V725" i="770"/>
  <c r="R310" i="770"/>
  <c r="R396" i="770"/>
  <c r="R416" i="770"/>
  <c r="R424" i="770"/>
  <c r="X458" i="770"/>
  <c r="T460" i="770"/>
  <c r="R463" i="770"/>
  <c r="T480" i="770"/>
  <c r="X482" i="770"/>
  <c r="X485" i="770"/>
  <c r="R487" i="770"/>
  <c r="X500" i="770"/>
  <c r="U517" i="770"/>
  <c r="V517" i="770" s="1"/>
  <c r="R526" i="770"/>
  <c r="R568" i="770"/>
  <c r="X587" i="770"/>
  <c r="T587" i="770"/>
  <c r="R587" i="770"/>
  <c r="X591" i="770"/>
  <c r="T591" i="770"/>
  <c r="V602" i="770"/>
  <c r="V606" i="770"/>
  <c r="X610" i="770"/>
  <c r="V610" i="770"/>
  <c r="V647" i="770"/>
  <c r="X693" i="770"/>
  <c r="T693" i="770"/>
  <c r="T716" i="770"/>
  <c r="X716" i="770"/>
  <c r="T719" i="770"/>
  <c r="X719" i="770"/>
  <c r="T769" i="770"/>
  <c r="X769" i="770"/>
  <c r="V769" i="770"/>
  <c r="T781" i="770"/>
  <c r="X781" i="770"/>
  <c r="V781" i="770"/>
  <c r="U376" i="770"/>
  <c r="V376" i="770" s="1"/>
  <c r="X384" i="770"/>
  <c r="U418" i="770"/>
  <c r="R434" i="770"/>
  <c r="U451" i="770"/>
  <c r="U463" i="770"/>
  <c r="R467" i="770"/>
  <c r="U474" i="770"/>
  <c r="R476" i="770"/>
  <c r="U483" i="770"/>
  <c r="X483" i="770" s="1"/>
  <c r="R483" i="770"/>
  <c r="N486" i="770"/>
  <c r="R502" i="770"/>
  <c r="V526" i="770"/>
  <c r="V535" i="770"/>
  <c r="R538" i="770"/>
  <c r="R562" i="770"/>
  <c r="V568" i="770"/>
  <c r="X580" i="770"/>
  <c r="T580" i="770"/>
  <c r="X584" i="770"/>
  <c r="V584" i="770"/>
  <c r="V587" i="770"/>
  <c r="X596" i="770"/>
  <c r="V596" i="770"/>
  <c r="V599" i="770"/>
  <c r="X603" i="770"/>
  <c r="T603" i="770"/>
  <c r="R603" i="770"/>
  <c r="X617" i="770"/>
  <c r="V617" i="770"/>
  <c r="T617" i="770"/>
  <c r="R617" i="770"/>
  <c r="R620" i="770"/>
  <c r="V637" i="770"/>
  <c r="V644" i="770"/>
  <c r="T660" i="770"/>
  <c r="X660" i="770"/>
  <c r="V663" i="770"/>
  <c r="X663" i="770"/>
  <c r="V716" i="770"/>
  <c r="T732" i="770"/>
  <c r="X738" i="770"/>
  <c r="T738" i="770"/>
  <c r="R506" i="770"/>
  <c r="R508" i="770"/>
  <c r="R510" i="770"/>
  <c r="X518" i="770"/>
  <c r="U521" i="770"/>
  <c r="R521" i="770"/>
  <c r="T533" i="770"/>
  <c r="X533" i="770"/>
  <c r="V553" i="770"/>
  <c r="X569" i="770"/>
  <c r="T569" i="770"/>
  <c r="X577" i="770"/>
  <c r="T577" i="770"/>
  <c r="X600" i="770"/>
  <c r="T600" i="770"/>
  <c r="T611" i="770"/>
  <c r="X611" i="770"/>
  <c r="T632" i="770"/>
  <c r="X632" i="770"/>
  <c r="R632" i="770"/>
  <c r="T641" i="770"/>
  <c r="X641" i="770"/>
  <c r="T654" i="770"/>
  <c r="X654" i="770"/>
  <c r="R654" i="770"/>
  <c r="T527" i="770"/>
  <c r="X527" i="770"/>
  <c r="X559" i="770"/>
  <c r="V559" i="770"/>
  <c r="V563" i="770"/>
  <c r="X563" i="770"/>
  <c r="X597" i="770"/>
  <c r="T597" i="770"/>
  <c r="V641" i="770"/>
  <c r="X664" i="770"/>
  <c r="V664" i="770"/>
  <c r="T664" i="770"/>
  <c r="X668" i="770"/>
  <c r="V668" i="770"/>
  <c r="X751" i="770"/>
  <c r="T751" i="770"/>
  <c r="R391" i="770"/>
  <c r="R403" i="770"/>
  <c r="R411" i="770"/>
  <c r="X475" i="770"/>
  <c r="V513" i="770"/>
  <c r="T516" i="770"/>
  <c r="X516" i="770"/>
  <c r="R518" i="770"/>
  <c r="V531" i="770"/>
  <c r="U536" i="770"/>
  <c r="R536" i="770"/>
  <c r="U544" i="770"/>
  <c r="R544" i="770"/>
  <c r="T560" i="770"/>
  <c r="R560" i="770"/>
  <c r="X560" i="770"/>
  <c r="R569" i="770"/>
  <c r="R577" i="770"/>
  <c r="V581" i="770"/>
  <c r="X581" i="770"/>
  <c r="X585" i="770"/>
  <c r="V585" i="770"/>
  <c r="T585" i="770"/>
  <c r="R585" i="770"/>
  <c r="V600" i="770"/>
  <c r="V611" i="770"/>
  <c r="T635" i="770"/>
  <c r="X635" i="770"/>
  <c r="R635" i="770"/>
  <c r="X639" i="770"/>
  <c r="T639" i="770"/>
  <c r="R639" i="770"/>
  <c r="X651" i="770"/>
  <c r="T651" i="770"/>
  <c r="X690" i="770"/>
  <c r="V690" i="770"/>
  <c r="X705" i="770"/>
  <c r="T705" i="770"/>
  <c r="R705" i="770"/>
  <c r="V711" i="770"/>
  <c r="X711" i="770"/>
  <c r="T748" i="770"/>
  <c r="X748" i="770"/>
  <c r="V344" i="770"/>
  <c r="R389" i="770"/>
  <c r="R399" i="770"/>
  <c r="R409" i="770"/>
  <c r="R429" i="770"/>
  <c r="R445" i="770"/>
  <c r="X494" i="770"/>
  <c r="X511" i="770"/>
  <c r="R513" i="770"/>
  <c r="T518" i="770"/>
  <c r="V527" i="770"/>
  <c r="T539" i="770"/>
  <c r="X539" i="770"/>
  <c r="V569" i="770"/>
  <c r="V577" i="770"/>
  <c r="X589" i="770"/>
  <c r="T589" i="770"/>
  <c r="R589" i="770"/>
  <c r="X593" i="770"/>
  <c r="V593" i="770"/>
  <c r="R597" i="770"/>
  <c r="X601" i="770"/>
  <c r="T601" i="770"/>
  <c r="X604" i="770"/>
  <c r="T604" i="770"/>
  <c r="R604" i="770"/>
  <c r="X612" i="770"/>
  <c r="V612" i="770"/>
  <c r="T612" i="770"/>
  <c r="R612" i="770"/>
  <c r="R615" i="770"/>
  <c r="X615" i="770"/>
  <c r="T615" i="770"/>
  <c r="V632" i="770"/>
  <c r="V635" i="770"/>
  <c r="V651" i="770"/>
  <c r="V654" i="770"/>
  <c r="T727" i="770"/>
  <c r="U377" i="770"/>
  <c r="R381" i="770"/>
  <c r="U391" i="770"/>
  <c r="V391" i="770" s="1"/>
  <c r="U403" i="770"/>
  <c r="V403" i="770" s="1"/>
  <c r="U411" i="770"/>
  <c r="V411" i="770" s="1"/>
  <c r="R423" i="770"/>
  <c r="R443" i="770"/>
  <c r="U452" i="770"/>
  <c r="U464" i="770"/>
  <c r="V466" i="770"/>
  <c r="X495" i="770"/>
  <c r="R497" i="770"/>
  <c r="R503" i="770"/>
  <c r="X509" i="770"/>
  <c r="R511" i="770"/>
  <c r="V516" i="770"/>
  <c r="U518" i="770"/>
  <c r="V518" i="770" s="1"/>
  <c r="X525" i="770"/>
  <c r="R527" i="770"/>
  <c r="X532" i="770"/>
  <c r="T532" i="770"/>
  <c r="V539" i="770"/>
  <c r="R557" i="770"/>
  <c r="V560" i="770"/>
  <c r="X564" i="770"/>
  <c r="T564" i="770"/>
  <c r="X566" i="770"/>
  <c r="V566" i="770"/>
  <c r="T570" i="770"/>
  <c r="R570" i="770"/>
  <c r="X570" i="770"/>
  <c r="X578" i="770"/>
  <c r="T578" i="770"/>
  <c r="V597" i="770"/>
  <c r="V604" i="770"/>
  <c r="T608" i="770"/>
  <c r="R608" i="770"/>
  <c r="X608" i="770"/>
  <c r="X624" i="770"/>
  <c r="V624" i="770"/>
  <c r="T624" i="770"/>
  <c r="R624" i="770"/>
  <c r="X646" i="770"/>
  <c r="V646" i="770"/>
  <c r="T646" i="770"/>
  <c r="R646" i="770"/>
  <c r="V669" i="770"/>
  <c r="X676" i="770"/>
  <c r="V676" i="770"/>
  <c r="T742" i="770"/>
  <c r="X742" i="770"/>
  <c r="V751" i="770"/>
  <c r="T765" i="770"/>
  <c r="X765" i="770"/>
  <c r="V765" i="770"/>
  <c r="U523" i="770"/>
  <c r="V523" i="770" s="1"/>
  <c r="U533" i="770"/>
  <c r="V533" i="770" s="1"/>
  <c r="U552" i="770"/>
  <c r="V552" i="770" s="1"/>
  <c r="U555" i="770"/>
  <c r="V555" i="770" s="1"/>
  <c r="U575" i="770"/>
  <c r="V575" i="770" s="1"/>
  <c r="U605" i="770"/>
  <c r="R638" i="770"/>
  <c r="X640" i="770"/>
  <c r="N659" i="770"/>
  <c r="V659" i="770" s="1"/>
  <c r="U660" i="770"/>
  <c r="V660" i="770" s="1"/>
  <c r="R664" i="770"/>
  <c r="N669" i="770"/>
  <c r="U687" i="770"/>
  <c r="T691" i="770"/>
  <c r="X700" i="770"/>
  <c r="U710" i="770"/>
  <c r="R714" i="770"/>
  <c r="X730" i="770"/>
  <c r="V736" i="770"/>
  <c r="R746" i="770"/>
  <c r="R748" i="770"/>
  <c r="R750" i="770"/>
  <c r="X756" i="770"/>
  <c r="X778" i="770"/>
  <c r="V778" i="770"/>
  <c r="X793" i="770"/>
  <c r="X804" i="770"/>
  <c r="X821" i="770"/>
  <c r="T821" i="770"/>
  <c r="R821" i="770"/>
  <c r="V832" i="770"/>
  <c r="V840" i="770"/>
  <c r="V877" i="770"/>
  <c r="X877" i="770"/>
  <c r="X609" i="770"/>
  <c r="X619" i="770"/>
  <c r="R722" i="770"/>
  <c r="R732" i="770"/>
  <c r="R776" i="770"/>
  <c r="U776" i="770"/>
  <c r="V786" i="770"/>
  <c r="T786" i="770"/>
  <c r="X802" i="770"/>
  <c r="T802" i="770"/>
  <c r="R802" i="770"/>
  <c r="T816" i="770"/>
  <c r="R816" i="770"/>
  <c r="X816" i="770"/>
  <c r="V816" i="770"/>
  <c r="T899" i="770"/>
  <c r="X899" i="770"/>
  <c r="V572" i="770"/>
  <c r="X575" i="770"/>
  <c r="V588" i="770"/>
  <c r="V595" i="770"/>
  <c r="X623" i="770"/>
  <c r="V631" i="770"/>
  <c r="N642" i="770"/>
  <c r="V662" i="770"/>
  <c r="R667" i="770"/>
  <c r="V675" i="770"/>
  <c r="V677" i="770"/>
  <c r="V683" i="770"/>
  <c r="V685" i="770"/>
  <c r="V708" i="770"/>
  <c r="V720" i="770"/>
  <c r="U722" i="770"/>
  <c r="V722" i="770" s="1"/>
  <c r="X724" i="770"/>
  <c r="V724" i="770"/>
  <c r="R728" i="770"/>
  <c r="U732" i="770"/>
  <c r="V732" i="770" s="1"/>
  <c r="V734" i="770"/>
  <c r="U774" i="770"/>
  <c r="V774" i="770" s="1"/>
  <c r="R774" i="770"/>
  <c r="R784" i="770"/>
  <c r="R786" i="770"/>
  <c r="T799" i="770"/>
  <c r="X841" i="770"/>
  <c r="V841" i="770"/>
  <c r="T841" i="770"/>
  <c r="R841" i="770"/>
  <c r="T892" i="770"/>
  <c r="X892" i="770"/>
  <c r="V899" i="770"/>
  <c r="R574" i="770"/>
  <c r="R614" i="770"/>
  <c r="R622" i="770"/>
  <c r="U625" i="770"/>
  <c r="R649" i="770"/>
  <c r="N661" i="770"/>
  <c r="R661" i="770" s="1"/>
  <c r="V746" i="770"/>
  <c r="R772" i="770"/>
  <c r="U772" i="770"/>
  <c r="V772" i="770" s="1"/>
  <c r="V784" i="770"/>
  <c r="X794" i="770"/>
  <c r="T794" i="770"/>
  <c r="R794" i="770"/>
  <c r="X805" i="770"/>
  <c r="V805" i="770"/>
  <c r="T805" i="770"/>
  <c r="R805" i="770"/>
  <c r="T836" i="770"/>
  <c r="X836" i="770"/>
  <c r="T871" i="770"/>
  <c r="X871" i="770"/>
  <c r="V892" i="770"/>
  <c r="R701" i="770"/>
  <c r="R760" i="770"/>
  <c r="U760" i="770"/>
  <c r="X760" i="770" s="1"/>
  <c r="X764" i="770"/>
  <c r="V764" i="770"/>
  <c r="X777" i="770"/>
  <c r="R779" i="770"/>
  <c r="U779" i="770"/>
  <c r="V779" i="770" s="1"/>
  <c r="X784" i="770"/>
  <c r="X786" i="770"/>
  <c r="T791" i="770"/>
  <c r="X800" i="770"/>
  <c r="T800" i="770"/>
  <c r="R800" i="770"/>
  <c r="V836" i="770"/>
  <c r="T853" i="770"/>
  <c r="V871" i="770"/>
  <c r="R576" i="770"/>
  <c r="V582" i="770"/>
  <c r="V590" i="770"/>
  <c r="R592" i="770"/>
  <c r="R596" i="770"/>
  <c r="R600" i="770"/>
  <c r="T609" i="770"/>
  <c r="R611" i="770"/>
  <c r="T619" i="770"/>
  <c r="U629" i="770"/>
  <c r="X629" i="770" s="1"/>
  <c r="X634" i="770"/>
  <c r="R642" i="770"/>
  <c r="R645" i="770"/>
  <c r="R663" i="770"/>
  <c r="X671" i="770"/>
  <c r="R676" i="770"/>
  <c r="R684" i="770"/>
  <c r="R686" i="770"/>
  <c r="R688" i="770"/>
  <c r="R690" i="770"/>
  <c r="V696" i="770"/>
  <c r="T701" i="770"/>
  <c r="X723" i="770"/>
  <c r="R737" i="770"/>
  <c r="V743" i="770"/>
  <c r="R755" i="770"/>
  <c r="R768" i="770"/>
  <c r="R791" i="770"/>
  <c r="V802" i="770"/>
  <c r="X834" i="770"/>
  <c r="T834" i="770"/>
  <c r="R834" i="770"/>
  <c r="T842" i="770"/>
  <c r="R842" i="770"/>
  <c r="X842" i="770"/>
  <c r="V842" i="770"/>
  <c r="X851" i="770"/>
  <c r="T851" i="770"/>
  <c r="V928" i="770"/>
  <c r="T561" i="770"/>
  <c r="T567" i="770"/>
  <c r="T576" i="770"/>
  <c r="X622" i="770"/>
  <c r="R648" i="770"/>
  <c r="R674" i="770"/>
  <c r="R678" i="770"/>
  <c r="R682" i="770"/>
  <c r="T686" i="770"/>
  <c r="T688" i="770"/>
  <c r="U694" i="770"/>
  <c r="R703" i="770"/>
  <c r="R717" i="770"/>
  <c r="R725" i="770"/>
  <c r="R733" i="770"/>
  <c r="V741" i="770"/>
  <c r="R745" i="770"/>
  <c r="R751" i="770"/>
  <c r="U755" i="770"/>
  <c r="V755" i="770" s="1"/>
  <c r="R761" i="770"/>
  <c r="X773" i="770"/>
  <c r="R777" i="770"/>
  <c r="X779" i="770"/>
  <c r="N792" i="770"/>
  <c r="X814" i="770"/>
  <c r="T814" i="770"/>
  <c r="R814" i="770"/>
  <c r="T825" i="770"/>
  <c r="X825" i="770"/>
  <c r="X861" i="770"/>
  <c r="X1272" i="770" s="1"/>
  <c r="V861" i="770"/>
  <c r="T861" i="770"/>
  <c r="T885" i="770"/>
  <c r="X885" i="770"/>
  <c r="T573" i="770"/>
  <c r="T579" i="770"/>
  <c r="R621" i="770"/>
  <c r="V645" i="770"/>
  <c r="T648" i="770"/>
  <c r="T678" i="770"/>
  <c r="T682" i="770"/>
  <c r="V701" i="770"/>
  <c r="T703" i="770"/>
  <c r="T717" i="770"/>
  <c r="R719" i="770"/>
  <c r="R721" i="770"/>
  <c r="R727" i="770"/>
  <c r="X737" i="770"/>
  <c r="N744" i="770"/>
  <c r="V745" i="770"/>
  <c r="R749" i="770"/>
  <c r="X768" i="770"/>
  <c r="R775" i="770"/>
  <c r="T777" i="770"/>
  <c r="U780" i="770"/>
  <c r="X780" i="770" s="1"/>
  <c r="R780" i="770"/>
  <c r="X785" i="770"/>
  <c r="V794" i="770"/>
  <c r="V800" i="770"/>
  <c r="X859" i="770"/>
  <c r="V859" i="770"/>
  <c r="T859" i="770"/>
  <c r="R859" i="770"/>
  <c r="T621" i="770"/>
  <c r="R634" i="770"/>
  <c r="X636" i="770"/>
  <c r="R651" i="770"/>
  <c r="R658" i="770"/>
  <c r="V665" i="770"/>
  <c r="R668" i="770"/>
  <c r="R670" i="770"/>
  <c r="V682" i="770"/>
  <c r="V703" i="770"/>
  <c r="U719" i="770"/>
  <c r="V719" i="770" s="1"/>
  <c r="T721" i="770"/>
  <c r="R723" i="770"/>
  <c r="U727" i="770"/>
  <c r="V727" i="770" s="1"/>
  <c r="X745" i="770"/>
  <c r="X747" i="770"/>
  <c r="V747" i="770"/>
  <c r="T749" i="770"/>
  <c r="U787" i="770"/>
  <c r="R787" i="770"/>
  <c r="X798" i="770"/>
  <c r="T798" i="770"/>
  <c r="R798" i="770"/>
  <c r="T806" i="770"/>
  <c r="X806" i="770"/>
  <c r="T809" i="770"/>
  <c r="X809" i="770"/>
  <c r="X812" i="770"/>
  <c r="T812" i="770"/>
  <c r="R812" i="770"/>
  <c r="X823" i="770"/>
  <c r="T823" i="770"/>
  <c r="R823" i="770"/>
  <c r="X829" i="770"/>
  <c r="V829" i="770"/>
  <c r="T829" i="770"/>
  <c r="R829" i="770"/>
  <c r="X866" i="770"/>
  <c r="V866" i="770"/>
  <c r="T866" i="770"/>
  <c r="T883" i="770"/>
  <c r="X883" i="770"/>
  <c r="R883" i="770"/>
  <c r="X886" i="770"/>
  <c r="V886" i="770"/>
  <c r="T901" i="770"/>
  <c r="X901" i="770"/>
  <c r="V901" i="770"/>
  <c r="R901" i="770"/>
  <c r="T904" i="770"/>
  <c r="X904" i="770"/>
  <c r="V904" i="770"/>
  <c r="R904" i="770"/>
  <c r="X916" i="770"/>
  <c r="V916" i="770"/>
  <c r="T916" i="770"/>
  <c r="R566" i="770"/>
  <c r="R583" i="770"/>
  <c r="R593" i="770"/>
  <c r="R610" i="770"/>
  <c r="V613" i="770"/>
  <c r="X653" i="770"/>
  <c r="R700" i="770"/>
  <c r="V707" i="770"/>
  <c r="V721" i="770"/>
  <c r="U729" i="770"/>
  <c r="V729" i="770" s="1"/>
  <c r="X731" i="770"/>
  <c r="V731" i="770"/>
  <c r="V733" i="770"/>
  <c r="V749" i="770"/>
  <c r="V753" i="770"/>
  <c r="R756" i="770"/>
  <c r="X762" i="770"/>
  <c r="V762" i="770"/>
  <c r="V775" i="770"/>
  <c r="U783" i="770"/>
  <c r="R783" i="770"/>
  <c r="T795" i="770"/>
  <c r="R806" i="770"/>
  <c r="R809" i="770"/>
  <c r="X832" i="770"/>
  <c r="T832" i="770"/>
  <c r="R832" i="770"/>
  <c r="T873" i="770"/>
  <c r="X873" i="770"/>
  <c r="V873" i="770"/>
  <c r="R873" i="770"/>
  <c r="T890" i="770"/>
  <c r="V586" i="770"/>
  <c r="R623" i="770"/>
  <c r="R627" i="770"/>
  <c r="R641" i="770"/>
  <c r="R647" i="770"/>
  <c r="V656" i="770"/>
  <c r="X672" i="770"/>
  <c r="X680" i="770"/>
  <c r="R712" i="770"/>
  <c r="X713" i="770"/>
  <c r="X726" i="770"/>
  <c r="X739" i="770"/>
  <c r="X754" i="770"/>
  <c r="R765" i="770"/>
  <c r="R795" i="770"/>
  <c r="X807" i="770"/>
  <c r="T807" i="770"/>
  <c r="R807" i="770"/>
  <c r="X810" i="770"/>
  <c r="T810" i="770"/>
  <c r="R810" i="770"/>
  <c r="V812" i="770"/>
  <c r="X815" i="770"/>
  <c r="V815" i="770"/>
  <c r="T815" i="770"/>
  <c r="R815" i="770"/>
  <c r="X840" i="770"/>
  <c r="T840" i="770"/>
  <c r="R840" i="770"/>
  <c r="X655" i="770"/>
  <c r="U666" i="770"/>
  <c r="X666" i="770" s="1"/>
  <c r="R677" i="770"/>
  <c r="X679" i="770"/>
  <c r="R693" i="770"/>
  <c r="R698" i="770"/>
  <c r="R704" i="770"/>
  <c r="R716" i="770"/>
  <c r="X728" i="770"/>
  <c r="R738" i="770"/>
  <c r="R742" i="770"/>
  <c r="V750" i="770"/>
  <c r="X752" i="770"/>
  <c r="V758" i="770"/>
  <c r="R769" i="770"/>
  <c r="X771" i="770"/>
  <c r="V771" i="770"/>
  <c r="R781" i="770"/>
  <c r="X796" i="770"/>
  <c r="T796" i="770"/>
  <c r="R796" i="770"/>
  <c r="X818" i="770"/>
  <c r="V818" i="770"/>
  <c r="T818" i="770"/>
  <c r="R818" i="770"/>
  <c r="V823" i="770"/>
  <c r="X869" i="770"/>
  <c r="V869" i="770"/>
  <c r="T869" i="770"/>
  <c r="V883" i="770"/>
  <c r="U791" i="770"/>
  <c r="V791" i="770" s="1"/>
  <c r="U795" i="770"/>
  <c r="V795" i="770" s="1"/>
  <c r="U799" i="770"/>
  <c r="V799" i="770" s="1"/>
  <c r="U806" i="770"/>
  <c r="V806" i="770" s="1"/>
  <c r="U809" i="770"/>
  <c r="V809" i="770" s="1"/>
  <c r="T822" i="770"/>
  <c r="T833" i="770"/>
  <c r="U844" i="770"/>
  <c r="V844" i="770" s="1"/>
  <c r="R851" i="770"/>
  <c r="T854" i="770"/>
  <c r="R861" i="770"/>
  <c r="V863" i="770"/>
  <c r="T865" i="770"/>
  <c r="U870" i="770"/>
  <c r="X870" i="770" s="1"/>
  <c r="U880" i="770"/>
  <c r="V880" i="770" s="1"/>
  <c r="U888" i="770"/>
  <c r="X896" i="770"/>
  <c r="U906" i="770"/>
  <c r="T908" i="770"/>
  <c r="R911" i="770"/>
  <c r="X927" i="770"/>
  <c r="X929" i="770"/>
  <c r="X937" i="770"/>
  <c r="R942" i="770"/>
  <c r="X945" i="770"/>
  <c r="X985" i="770"/>
  <c r="X1001" i="770"/>
  <c r="U846" i="770"/>
  <c r="T872" i="770"/>
  <c r="U876" i="770"/>
  <c r="N891" i="770"/>
  <c r="V891" i="770" s="1"/>
  <c r="R902" i="770"/>
  <c r="N928" i="770"/>
  <c r="V940" i="770"/>
  <c r="V1035" i="770"/>
  <c r="X1035" i="770"/>
  <c r="V854" i="770"/>
  <c r="V865" i="770"/>
  <c r="V872" i="770"/>
  <c r="X887" i="770"/>
  <c r="T902" i="770"/>
  <c r="X940" i="770"/>
  <c r="T943" i="770"/>
  <c r="X943" i="770"/>
  <c r="R826" i="770"/>
  <c r="X854" i="770"/>
  <c r="R864" i="770"/>
  <c r="X865" i="770"/>
  <c r="R879" i="770"/>
  <c r="R893" i="770"/>
  <c r="R897" i="770"/>
  <c r="R909" i="770"/>
  <c r="R922" i="770"/>
  <c r="R938" i="770"/>
  <c r="V943" i="770"/>
  <c r="X965" i="770"/>
  <c r="X999" i="770"/>
  <c r="V999" i="770"/>
  <c r="T999" i="770"/>
  <c r="R999" i="770"/>
  <c r="R853" i="770"/>
  <c r="X875" i="770"/>
  <c r="R877" i="770"/>
  <c r="U879" i="770"/>
  <c r="V879" i="770" s="1"/>
  <c r="R885" i="770"/>
  <c r="R891" i="770"/>
  <c r="V895" i="770"/>
  <c r="X922" i="770"/>
  <c r="R924" i="770"/>
  <c r="R932" i="770"/>
  <c r="X938" i="770"/>
  <c r="R943" i="770"/>
  <c r="V949" i="770"/>
  <c r="X949" i="770"/>
  <c r="X953" i="770"/>
  <c r="V953" i="770"/>
  <c r="X967" i="770"/>
  <c r="X1019" i="770"/>
  <c r="V1019" i="770"/>
  <c r="T1036" i="770"/>
  <c r="T793" i="770"/>
  <c r="T797" i="770"/>
  <c r="T801" i="770"/>
  <c r="T804" i="770"/>
  <c r="T811" i="770"/>
  <c r="V826" i="770"/>
  <c r="T828" i="770"/>
  <c r="R850" i="770"/>
  <c r="R862" i="770"/>
  <c r="V864" i="770"/>
  <c r="R871" i="770"/>
  <c r="V881" i="770"/>
  <c r="U885" i="770"/>
  <c r="V885" i="770" s="1"/>
  <c r="R887" i="770"/>
  <c r="V889" i="770"/>
  <c r="V893" i="770"/>
  <c r="X897" i="770"/>
  <c r="R899" i="770"/>
  <c r="X909" i="770"/>
  <c r="R912" i="770"/>
  <c r="V915" i="770"/>
  <c r="X923" i="770"/>
  <c r="V926" i="770"/>
  <c r="X932" i="770"/>
  <c r="R934" i="770"/>
  <c r="X944" i="770"/>
  <c r="T944" i="770"/>
  <c r="R957" i="770"/>
  <c r="U957" i="770"/>
  <c r="X960" i="770"/>
  <c r="V960" i="770"/>
  <c r="X968" i="770"/>
  <c r="V968" i="770"/>
  <c r="X1020" i="770"/>
  <c r="V1020" i="770"/>
  <c r="X1047" i="770"/>
  <c r="V1047" i="770"/>
  <c r="R820" i="770"/>
  <c r="R831" i="770"/>
  <c r="R837" i="770"/>
  <c r="T850" i="770"/>
  <c r="U853" i="770"/>
  <c r="V853" i="770" s="1"/>
  <c r="R869" i="770"/>
  <c r="X879" i="770"/>
  <c r="X884" i="770"/>
  <c r="T887" i="770"/>
  <c r="N898" i="770"/>
  <c r="V898" i="770" s="1"/>
  <c r="R905" i="770"/>
  <c r="T912" i="770"/>
  <c r="T915" i="770"/>
  <c r="X924" i="770"/>
  <c r="N931" i="770"/>
  <c r="N933" i="770"/>
  <c r="R939" i="770"/>
  <c r="U944" i="770"/>
  <c r="V944" i="770" s="1"/>
  <c r="R944" i="770"/>
  <c r="X950" i="770"/>
  <c r="V950" i="770"/>
  <c r="X983" i="770"/>
  <c r="V983" i="770"/>
  <c r="X1044" i="770"/>
  <c r="V1044" i="770"/>
  <c r="T820" i="770"/>
  <c r="V828" i="770"/>
  <c r="T831" i="770"/>
  <c r="T837" i="770"/>
  <c r="R847" i="770"/>
  <c r="V862" i="770"/>
  <c r="R875" i="770"/>
  <c r="T907" i="770"/>
  <c r="R921" i="770"/>
  <c r="X925" i="770"/>
  <c r="R925" i="770"/>
  <c r="X934" i="770"/>
  <c r="U958" i="770"/>
  <c r="R958" i="770"/>
  <c r="V820" i="770"/>
  <c r="R827" i="770"/>
  <c r="V831" i="770"/>
  <c r="T847" i="770"/>
  <c r="R849" i="770"/>
  <c r="R866" i="770"/>
  <c r="T875" i="770"/>
  <c r="R894" i="770"/>
  <c r="N900" i="770"/>
  <c r="V907" i="770"/>
  <c r="R910" i="770"/>
  <c r="R917" i="770"/>
  <c r="T921" i="770"/>
  <c r="V939" i="770"/>
  <c r="R954" i="770"/>
  <c r="X984" i="770"/>
  <c r="V984" i="770"/>
  <c r="T984" i="770"/>
  <c r="R984" i="770"/>
  <c r="V837" i="770"/>
  <c r="X845" i="770"/>
  <c r="V882" i="770"/>
  <c r="X882" i="770"/>
  <c r="R890" i="770"/>
  <c r="R935" i="770"/>
  <c r="U935" i="770"/>
  <c r="V935" i="770" s="1"/>
  <c r="T951" i="770"/>
  <c r="X951" i="770"/>
  <c r="X969" i="770"/>
  <c r="T969" i="770"/>
  <c r="V803" i="770"/>
  <c r="R825" i="770"/>
  <c r="R836" i="770"/>
  <c r="X855" i="770"/>
  <c r="R863" i="770"/>
  <c r="U890" i="770"/>
  <c r="V890" i="770" s="1"/>
  <c r="R892" i="770"/>
  <c r="V908" i="770"/>
  <c r="V921" i="770"/>
  <c r="U955" i="770"/>
  <c r="V955" i="770" s="1"/>
  <c r="R955" i="770"/>
  <c r="R969" i="770"/>
  <c r="R822" i="770"/>
  <c r="R833" i="770"/>
  <c r="T844" i="770"/>
  <c r="V878" i="770"/>
  <c r="T880" i="770"/>
  <c r="X894" i="770"/>
  <c r="R908" i="770"/>
  <c r="R916" i="770"/>
  <c r="R929" i="770"/>
  <c r="R940" i="770"/>
  <c r="X942" i="770"/>
  <c r="V942" i="770"/>
  <c r="V945" i="770"/>
  <c r="R951" i="770"/>
  <c r="V961" i="770"/>
  <c r="V969" i="770"/>
  <c r="X972" i="770"/>
  <c r="X1026" i="770"/>
  <c r="V1026" i="770"/>
  <c r="V1039" i="770"/>
  <c r="X1039" i="770"/>
  <c r="X1060" i="770"/>
  <c r="V1060" i="770"/>
  <c r="X966" i="770"/>
  <c r="R1007" i="770"/>
  <c r="R1011" i="770"/>
  <c r="V1013" i="770"/>
  <c r="R1034" i="770"/>
  <c r="T1045" i="770"/>
  <c r="R1052" i="770"/>
  <c r="X1056" i="770"/>
  <c r="R1062" i="770"/>
  <c r="T1108" i="770"/>
  <c r="V1115" i="770"/>
  <c r="V1176" i="770"/>
  <c r="X976" i="770"/>
  <c r="U1003" i="770"/>
  <c r="V1003" i="770" s="1"/>
  <c r="V1005" i="770"/>
  <c r="V1018" i="770"/>
  <c r="T1034" i="770"/>
  <c r="T1052" i="770"/>
  <c r="X1054" i="770"/>
  <c r="X1057" i="770"/>
  <c r="U1059" i="770"/>
  <c r="U1071" i="770"/>
  <c r="V1071" i="770" s="1"/>
  <c r="R1089" i="770"/>
  <c r="U1089" i="770"/>
  <c r="V1108" i="770"/>
  <c r="V1112" i="770"/>
  <c r="X1112" i="770"/>
  <c r="X1116" i="770"/>
  <c r="T1116" i="770"/>
  <c r="R1116" i="770"/>
  <c r="V980" i="770"/>
  <c r="V982" i="770"/>
  <c r="V998" i="770"/>
  <c r="X1043" i="770"/>
  <c r="V1045" i="770"/>
  <c r="U1099" i="770"/>
  <c r="V1099" i="770" s="1"/>
  <c r="R1099" i="770"/>
  <c r="X1102" i="770"/>
  <c r="V1102" i="770"/>
  <c r="X1106" i="770"/>
  <c r="T1106" i="770"/>
  <c r="V1124" i="770"/>
  <c r="X1124" i="770"/>
  <c r="M16" i="499"/>
  <c r="X1086" i="770"/>
  <c r="T1121" i="770"/>
  <c r="R1121" i="770"/>
  <c r="X1121" i="770"/>
  <c r="V1121" i="770"/>
  <c r="R1090" i="770"/>
  <c r="X1090" i="770"/>
  <c r="T1090" i="770"/>
  <c r="V1096" i="770"/>
  <c r="X1096" i="770"/>
  <c r="X1100" i="770"/>
  <c r="V1100" i="770"/>
  <c r="V1109" i="770"/>
  <c r="X1109" i="770"/>
  <c r="X1181" i="770"/>
  <c r="V1181" i="770"/>
  <c r="N16" i="499"/>
  <c r="L16" i="499"/>
  <c r="R983" i="770"/>
  <c r="X994" i="770"/>
  <c r="R1006" i="770"/>
  <c r="X1008" i="770"/>
  <c r="R1012" i="770"/>
  <c r="R1019" i="770"/>
  <c r="V1023" i="770"/>
  <c r="R1026" i="770"/>
  <c r="U1028" i="770"/>
  <c r="V1028" i="770" s="1"/>
  <c r="T1030" i="770"/>
  <c r="U1037" i="770"/>
  <c r="V1037" i="770" s="1"/>
  <c r="T1048" i="770"/>
  <c r="R1053" i="770"/>
  <c r="V1067" i="770"/>
  <c r="V1082" i="770"/>
  <c r="U1087" i="770"/>
  <c r="R1087" i="770"/>
  <c r="R1096" i="770"/>
  <c r="R1100" i="770"/>
  <c r="T1117" i="770"/>
  <c r="X1117" i="770"/>
  <c r="T1125" i="770"/>
  <c r="X1125" i="770"/>
  <c r="R981" i="770"/>
  <c r="R991" i="770"/>
  <c r="X993" i="770"/>
  <c r="R997" i="770"/>
  <c r="R1004" i="770"/>
  <c r="T1006" i="770"/>
  <c r="R1017" i="770"/>
  <c r="U1021" i="770"/>
  <c r="R1042" i="770"/>
  <c r="X1063" i="770"/>
  <c r="U1077" i="770"/>
  <c r="R1080" i="770"/>
  <c r="U1080" i="770"/>
  <c r="X1082" i="770"/>
  <c r="R1117" i="770"/>
  <c r="V1125" i="770"/>
  <c r="T1167" i="770"/>
  <c r="X1167" i="770"/>
  <c r="R1167" i="770"/>
  <c r="M12" i="499"/>
  <c r="L17" i="499"/>
  <c r="N17" i="499"/>
  <c r="M37" i="499"/>
  <c r="T981" i="770"/>
  <c r="X1002" i="770"/>
  <c r="T1004" i="770"/>
  <c r="V1012" i="770"/>
  <c r="X1014" i="770"/>
  <c r="T1017" i="770"/>
  <c r="V1053" i="770"/>
  <c r="V1090" i="770"/>
  <c r="T1097" i="770"/>
  <c r="X1097" i="770"/>
  <c r="V1118" i="770"/>
  <c r="X1118" i="770"/>
  <c r="L32" i="499"/>
  <c r="N32" i="499"/>
  <c r="V981" i="770"/>
  <c r="V1004" i="770"/>
  <c r="V1006" i="770"/>
  <c r="V1017" i="770"/>
  <c r="X1029" i="770"/>
  <c r="X1038" i="770"/>
  <c r="X1126" i="770"/>
  <c r="V1126" i="770"/>
  <c r="X1152" i="770"/>
  <c r="V1152" i="770"/>
  <c r="N30" i="499"/>
  <c r="L30" i="499"/>
  <c r="V979" i="770"/>
  <c r="R985" i="770"/>
  <c r="V989" i="770"/>
  <c r="V991" i="770"/>
  <c r="R1001" i="770"/>
  <c r="R1015" i="770"/>
  <c r="X1058" i="770"/>
  <c r="V1058" i="770"/>
  <c r="R1064" i="770"/>
  <c r="V1073" i="770"/>
  <c r="R1094" i="770"/>
  <c r="U1094" i="770"/>
  <c r="U1111" i="770"/>
  <c r="R1111" i="770"/>
  <c r="T1115" i="770"/>
  <c r="X1115" i="770"/>
  <c r="L23" i="499"/>
  <c r="N23" i="499"/>
  <c r="U975" i="770"/>
  <c r="V975" i="770" s="1"/>
  <c r="R1029" i="770"/>
  <c r="R1036" i="770"/>
  <c r="R1038" i="770"/>
  <c r="V1068" i="770"/>
  <c r="X1068" i="770"/>
  <c r="U1119" i="770"/>
  <c r="V1119" i="770" s="1"/>
  <c r="R1119" i="770"/>
  <c r="T1127" i="770"/>
  <c r="T1176" i="770"/>
  <c r="X1176" i="770"/>
  <c r="X971" i="770"/>
  <c r="V977" i="770"/>
  <c r="R1005" i="770"/>
  <c r="R1018" i="770"/>
  <c r="U1022" i="770"/>
  <c r="U1027" i="770"/>
  <c r="T1029" i="770"/>
  <c r="V1034" i="770"/>
  <c r="U1036" i="770"/>
  <c r="V1036" i="770" s="1"/>
  <c r="T1038" i="770"/>
  <c r="X1040" i="770"/>
  <c r="R1043" i="770"/>
  <c r="V1052" i="770"/>
  <c r="U1054" i="770"/>
  <c r="V1054" i="770" s="1"/>
  <c r="X1064" i="770"/>
  <c r="X1074" i="770"/>
  <c r="U1078" i="770"/>
  <c r="R1098" i="770"/>
  <c r="U1098" i="770"/>
  <c r="V1098" i="770" s="1"/>
  <c r="R1108" i="770"/>
  <c r="R1115" i="770"/>
  <c r="X1162" i="770"/>
  <c r="V1162" i="770"/>
  <c r="N21" i="499"/>
  <c r="L21" i="499"/>
  <c r="N42" i="499"/>
  <c r="L42" i="499"/>
  <c r="U1088" i="770"/>
  <c r="V1088" i="770" s="1"/>
  <c r="U1117" i="770"/>
  <c r="V1117" i="770" s="1"/>
  <c r="T1123" i="770"/>
  <c r="X1129" i="770"/>
  <c r="U1139" i="770"/>
  <c r="U1143" i="770"/>
  <c r="V1143" i="770" s="1"/>
  <c r="R1146" i="770"/>
  <c r="V1153" i="770"/>
  <c r="X1157" i="770"/>
  <c r="U1166" i="770"/>
  <c r="V1166" i="770" s="1"/>
  <c r="U1173" i="770"/>
  <c r="R1176" i="770"/>
  <c r="U1180" i="770"/>
  <c r="K9" i="499"/>
  <c r="M9" i="499" s="1"/>
  <c r="H8" i="499"/>
  <c r="I23" i="499"/>
  <c r="M25" i="499"/>
  <c r="N28" i="499"/>
  <c r="M34" i="499"/>
  <c r="M38" i="499"/>
  <c r="M40" i="499"/>
  <c r="M42" i="499"/>
  <c r="G49" i="499"/>
  <c r="M49" i="499" s="1"/>
  <c r="N49" i="499"/>
  <c r="I49" i="499"/>
  <c r="G58" i="499"/>
  <c r="M58" i="499" s="1"/>
  <c r="N58" i="499"/>
  <c r="J7" i="56"/>
  <c r="L25" i="499"/>
  <c r="N25" i="499"/>
  <c r="L28" i="499"/>
  <c r="I36" i="499"/>
  <c r="G36" i="499"/>
  <c r="M36" i="499" s="1"/>
  <c r="I64" i="499"/>
  <c r="K64" i="499"/>
  <c r="M64" i="499" s="1"/>
  <c r="M74" i="499"/>
  <c r="I77" i="499"/>
  <c r="G77" i="499"/>
  <c r="M77" i="499" s="1"/>
  <c r="X1128" i="770"/>
  <c r="V1132" i="770"/>
  <c r="V1144" i="770"/>
  <c r="X1148" i="770"/>
  <c r="X1151" i="770"/>
  <c r="R1160" i="770"/>
  <c r="V1174" i="770"/>
  <c r="R1181" i="770"/>
  <c r="N11" i="499"/>
  <c r="L11" i="499"/>
  <c r="M13" i="499"/>
  <c r="L14" i="499"/>
  <c r="I18" i="499"/>
  <c r="K18" i="499"/>
  <c r="I25" i="499"/>
  <c r="I34" i="499"/>
  <c r="N40" i="499"/>
  <c r="L40" i="499"/>
  <c r="G47" i="499"/>
  <c r="M47" i="499" s="1"/>
  <c r="I47" i="499"/>
  <c r="G56" i="499"/>
  <c r="M56" i="499" s="1"/>
  <c r="I56" i="499"/>
  <c r="L60" i="499"/>
  <c r="N60" i="499"/>
  <c r="M60" i="499"/>
  <c r="I69" i="499"/>
  <c r="K69" i="499"/>
  <c r="M69" i="499" s="1"/>
  <c r="I74" i="499"/>
  <c r="K74" i="499"/>
  <c r="X1085" i="770"/>
  <c r="X1105" i="770"/>
  <c r="X1114" i="770"/>
  <c r="R1118" i="770"/>
  <c r="X1122" i="770"/>
  <c r="R1130" i="770"/>
  <c r="R1144" i="770"/>
  <c r="X1149" i="770"/>
  <c r="R1156" i="770"/>
  <c r="R1174" i="770"/>
  <c r="I11" i="499"/>
  <c r="N66" i="499"/>
  <c r="L66" i="499"/>
  <c r="V1130" i="770"/>
  <c r="T1144" i="770"/>
  <c r="X1160" i="770"/>
  <c r="X1172" i="770"/>
  <c r="T1174" i="770"/>
  <c r="X1179" i="770"/>
  <c r="L34" i="499"/>
  <c r="L36" i="499"/>
  <c r="N36" i="499"/>
  <c r="G52" i="499"/>
  <c r="M52" i="499" s="1"/>
  <c r="L52" i="499"/>
  <c r="M63" i="499"/>
  <c r="L77" i="499"/>
  <c r="N77" i="499"/>
  <c r="U1081" i="770"/>
  <c r="R1106" i="770"/>
  <c r="T1128" i="770"/>
  <c r="X1130" i="770"/>
  <c r="V1135" i="770"/>
  <c r="R1147" i="770"/>
  <c r="R1177" i="770"/>
  <c r="I22" i="499"/>
  <c r="N47" i="499"/>
  <c r="M50" i="499"/>
  <c r="R1104" i="770"/>
  <c r="X1120" i="770"/>
  <c r="U1133" i="770"/>
  <c r="U1147" i="770"/>
  <c r="R1154" i="770"/>
  <c r="T1177" i="770"/>
  <c r="V1182" i="770"/>
  <c r="N20" i="499"/>
  <c r="K24" i="499"/>
  <c r="M24" i="499" s="1"/>
  <c r="I24" i="499"/>
  <c r="I26" i="499"/>
  <c r="M27" i="499"/>
  <c r="I29" i="499"/>
  <c r="G33" i="499"/>
  <c r="M33" i="499" s="1"/>
  <c r="K45" i="499"/>
  <c r="M45" i="499" s="1"/>
  <c r="L47" i="499"/>
  <c r="N54" i="499"/>
  <c r="L54" i="499"/>
  <c r="N56" i="499"/>
  <c r="L56" i="499"/>
  <c r="J9" i="61"/>
  <c r="X1159" i="770"/>
  <c r="M15" i="499"/>
  <c r="M17" i="499"/>
  <c r="G21" i="499"/>
  <c r="M21" i="499" s="1"/>
  <c r="M43" i="499"/>
  <c r="N50" i="499"/>
  <c r="L50" i="499"/>
  <c r="X1143" i="770"/>
  <c r="K37" i="499"/>
  <c r="I37" i="499"/>
  <c r="L72" i="499"/>
  <c r="N72" i="499"/>
  <c r="R1127" i="770"/>
  <c r="V1129" i="770"/>
  <c r="V1131" i="770"/>
  <c r="U1136" i="770"/>
  <c r="V1145" i="770"/>
  <c r="R1159" i="770"/>
  <c r="U1168" i="770"/>
  <c r="V1168" i="770" s="1"/>
  <c r="I15" i="499"/>
  <c r="I17" i="499"/>
  <c r="I21" i="499"/>
  <c r="M23" i="499"/>
  <c r="L26" i="499"/>
  <c r="G28" i="499"/>
  <c r="M28" i="499" s="1"/>
  <c r="L63" i="499"/>
  <c r="N63" i="499"/>
  <c r="X1107" i="770"/>
  <c r="X1113" i="770"/>
  <c r="R1125" i="770"/>
  <c r="R1129" i="770"/>
  <c r="R1148" i="770"/>
  <c r="R1155" i="770"/>
  <c r="X1171" i="770"/>
  <c r="X1178" i="770"/>
  <c r="K12" i="499"/>
  <c r="M30" i="499"/>
  <c r="L33" i="499"/>
  <c r="M41" i="499"/>
  <c r="N43" i="499"/>
  <c r="M73" i="499"/>
  <c r="L81" i="499"/>
  <c r="I81" i="499"/>
  <c r="G81" i="499"/>
  <c r="M81" i="499" s="1"/>
  <c r="U1127" i="770"/>
  <c r="V1127" i="770" s="1"/>
  <c r="U1134" i="770"/>
  <c r="U1155" i="770"/>
  <c r="R1162" i="770"/>
  <c r="X1168" i="770"/>
  <c r="R1183" i="770"/>
  <c r="N15" i="499"/>
  <c r="I32" i="499"/>
  <c r="G32" i="499"/>
  <c r="M32" i="499" s="1"/>
  <c r="N41" i="499"/>
  <c r="I44" i="499"/>
  <c r="G44" i="499"/>
  <c r="M44" i="499" s="1"/>
  <c r="I46" i="499"/>
  <c r="K46" i="499"/>
  <c r="M46" i="499" s="1"/>
  <c r="N57" i="499"/>
  <c r="L57" i="499"/>
  <c r="I68" i="499"/>
  <c r="K68" i="499"/>
  <c r="I14" i="499"/>
  <c r="I39" i="499"/>
  <c r="I52" i="499"/>
  <c r="I58" i="499"/>
  <c r="I67" i="499"/>
  <c r="J20" i="61"/>
  <c r="J26" i="61"/>
  <c r="J32" i="61"/>
  <c r="J38" i="61"/>
  <c r="J44" i="61"/>
  <c r="J50" i="61"/>
  <c r="J56" i="61"/>
  <c r="K7" i="56"/>
  <c r="G13" i="56"/>
  <c r="N13" i="55"/>
  <c r="K10" i="499"/>
  <c r="I76" i="499"/>
  <c r="K79" i="499"/>
  <c r="J14" i="61"/>
  <c r="J11" i="61"/>
  <c r="G8" i="56"/>
  <c r="M7" i="55"/>
  <c r="G36" i="60"/>
  <c r="I33" i="60"/>
  <c r="L49" i="499"/>
  <c r="M51" i="499"/>
  <c r="L76" i="499"/>
  <c r="M21" i="61"/>
  <c r="M27" i="61"/>
  <c r="M33" i="61"/>
  <c r="M39" i="61"/>
  <c r="M45" i="61"/>
  <c r="I8" i="56"/>
  <c r="K12" i="55"/>
  <c r="L12" i="56"/>
  <c r="P12" i="55"/>
  <c r="P14" i="55"/>
  <c r="I34" i="48"/>
  <c r="M68" i="499"/>
  <c r="K73" i="499"/>
  <c r="I73" i="499"/>
  <c r="N76" i="499"/>
  <c r="J18" i="61"/>
  <c r="I33" i="54"/>
  <c r="K19" i="499"/>
  <c r="L48" i="499"/>
  <c r="I70" i="499"/>
  <c r="N71" i="499"/>
  <c r="N75" i="499"/>
  <c r="I80" i="499"/>
  <c r="M82" i="499"/>
  <c r="G84" i="499"/>
  <c r="M84" i="499" s="1"/>
  <c r="N84" i="499"/>
  <c r="M18" i="61"/>
  <c r="M24" i="61"/>
  <c r="M30" i="61"/>
  <c r="M36" i="61"/>
  <c r="M42" i="61"/>
  <c r="M48" i="61"/>
  <c r="M54" i="61"/>
  <c r="I10" i="56"/>
  <c r="H12" i="56"/>
  <c r="I12" i="56" s="1"/>
  <c r="O12" i="55"/>
  <c r="H14" i="56"/>
  <c r="I19" i="499"/>
  <c r="K44" i="499"/>
  <c r="K53" i="499"/>
  <c r="I62" i="499"/>
  <c r="L75" i="499"/>
  <c r="N80" i="499"/>
  <c r="I82" i="499"/>
  <c r="G11" i="61"/>
  <c r="J13" i="61"/>
  <c r="M19" i="61"/>
  <c r="M25" i="61"/>
  <c r="M31" i="61"/>
  <c r="M37" i="61"/>
  <c r="M43" i="61"/>
  <c r="M72" i="499"/>
  <c r="M16" i="61"/>
  <c r="D7" i="56"/>
  <c r="G9" i="56"/>
  <c r="N9" i="55"/>
  <c r="I7" i="48"/>
  <c r="I8" i="46"/>
  <c r="G8" i="46"/>
  <c r="K11" i="55"/>
  <c r="L11" i="56"/>
  <c r="K38" i="54"/>
  <c r="I9" i="46"/>
  <c r="G9" i="46"/>
  <c r="I43" i="499"/>
  <c r="L58" i="499"/>
  <c r="M14" i="61"/>
  <c r="I31" i="58"/>
  <c r="F11" i="56"/>
  <c r="N11" i="55"/>
  <c r="P15" i="55"/>
  <c r="C45" i="48"/>
  <c r="C44" i="48" s="1"/>
  <c r="H37" i="48"/>
  <c r="C34" i="48"/>
  <c r="G44" i="48"/>
  <c r="I15" i="54"/>
  <c r="D7" i="54"/>
  <c r="F14" i="56"/>
  <c r="J10" i="55"/>
  <c r="K14" i="55"/>
  <c r="J15" i="55"/>
  <c r="J36" i="55"/>
  <c r="H38" i="48"/>
  <c r="J40" i="48"/>
  <c r="H15" i="56"/>
  <c r="I15" i="56" s="1"/>
  <c r="D7" i="55"/>
  <c r="O8" i="55"/>
  <c r="I45" i="48"/>
  <c r="I44" i="48" s="1"/>
  <c r="C9" i="56"/>
  <c r="C7" i="56" s="1"/>
  <c r="E39" i="48"/>
  <c r="J39" i="48" s="1"/>
  <c r="O10" i="55"/>
  <c r="F10" i="56"/>
  <c r="F7" i="56" s="1"/>
  <c r="J14" i="56"/>
  <c r="G7" i="55"/>
  <c r="F13" i="55"/>
  <c r="E13" i="56" s="1"/>
  <c r="F8" i="48"/>
  <c r="F20" i="48"/>
  <c r="J13" i="56"/>
  <c r="H7" i="55"/>
  <c r="G13" i="55"/>
  <c r="F14" i="55"/>
  <c r="E14" i="56" s="1"/>
  <c r="M14" i="56" s="1"/>
  <c r="E42" i="48"/>
  <c r="F42" i="48" s="1"/>
  <c r="J12" i="56"/>
  <c r="J11" i="56"/>
  <c r="D38" i="48"/>
  <c r="F22" i="54"/>
  <c r="F26" i="54"/>
  <c r="G7" i="46"/>
  <c r="J8" i="55"/>
  <c r="J9" i="55"/>
  <c r="L9" i="56" s="1"/>
  <c r="C15" i="54"/>
  <c r="O14" i="55" l="1"/>
  <c r="E26" i="55"/>
  <c r="E30" i="55" s="1"/>
  <c r="E31" i="55" s="1"/>
  <c r="O15" i="55"/>
  <c r="F7" i="55"/>
  <c r="X116" i="770"/>
  <c r="R116" i="770"/>
  <c r="H11" i="56"/>
  <c r="O11" i="55"/>
  <c r="D26" i="56"/>
  <c r="D30" i="56" s="1"/>
  <c r="D31" i="56" s="1"/>
  <c r="H15" i="54"/>
  <c r="C7" i="54"/>
  <c r="H7" i="54" s="1"/>
  <c r="K13" i="55"/>
  <c r="P13" i="55"/>
  <c r="P9" i="55"/>
  <c r="L10" i="56"/>
  <c r="M10" i="56" s="1"/>
  <c r="K10" i="55"/>
  <c r="H13" i="56"/>
  <c r="I13" i="56" s="1"/>
  <c r="O13" i="55"/>
  <c r="X933" i="770"/>
  <c r="T933" i="770"/>
  <c r="R933" i="770"/>
  <c r="V957" i="770"/>
  <c r="X957" i="770"/>
  <c r="X846" i="770"/>
  <c r="V846" i="770"/>
  <c r="V888" i="770"/>
  <c r="X888" i="770"/>
  <c r="V933" i="770"/>
  <c r="V544" i="770"/>
  <c r="X544" i="770"/>
  <c r="V521" i="770"/>
  <c r="X521" i="770"/>
  <c r="X369" i="770"/>
  <c r="X222" i="770"/>
  <c r="V222" i="770"/>
  <c r="V390" i="770"/>
  <c r="X390" i="770"/>
  <c r="V116" i="770"/>
  <c r="B35" i="36"/>
  <c r="F72" i="20"/>
  <c r="G72" i="20" s="1"/>
  <c r="E56" i="20"/>
  <c r="F56" i="20" s="1"/>
  <c r="H9" i="56"/>
  <c r="O9" i="55"/>
  <c r="N7" i="55"/>
  <c r="K8" i="55"/>
  <c r="J7" i="55"/>
  <c r="P8" i="55"/>
  <c r="L8" i="56"/>
  <c r="X1147" i="770"/>
  <c r="V1147" i="770"/>
  <c r="X931" i="770"/>
  <c r="R931" i="770"/>
  <c r="T931" i="770"/>
  <c r="V479" i="770"/>
  <c r="X479" i="770"/>
  <c r="B19" i="36"/>
  <c r="I7" i="54"/>
  <c r="F7" i="54"/>
  <c r="N73" i="499"/>
  <c r="L73" i="499"/>
  <c r="E45" i="48"/>
  <c r="P10" i="55"/>
  <c r="N45" i="499"/>
  <c r="L45" i="499"/>
  <c r="X1133" i="770"/>
  <c r="V1133" i="770"/>
  <c r="X1099" i="770"/>
  <c r="X729" i="770"/>
  <c r="X744" i="770"/>
  <c r="T744" i="770"/>
  <c r="R744" i="770"/>
  <c r="V744" i="770"/>
  <c r="X727" i="770"/>
  <c r="V536" i="770"/>
  <c r="X536" i="770"/>
  <c r="X486" i="770"/>
  <c r="T486" i="770"/>
  <c r="R486" i="770"/>
  <c r="X404" i="770"/>
  <c r="V404" i="770"/>
  <c r="X496" i="770"/>
  <c r="T496" i="770"/>
  <c r="R496" i="770"/>
  <c r="X358" i="770"/>
  <c r="V358" i="770"/>
  <c r="X411" i="770"/>
  <c r="X374" i="770"/>
  <c r="V374" i="770"/>
  <c r="X324" i="770"/>
  <c r="V324" i="770"/>
  <c r="X478" i="770"/>
  <c r="V478" i="770"/>
  <c r="X354" i="770"/>
  <c r="X372" i="770"/>
  <c r="V372" i="770"/>
  <c r="T19" i="770"/>
  <c r="R19" i="770"/>
  <c r="X19" i="770"/>
  <c r="D22" i="20"/>
  <c r="D25" i="36" s="1"/>
  <c r="D74" i="20"/>
  <c r="D37" i="36" s="1"/>
  <c r="G37" i="36" s="1"/>
  <c r="X710" i="770"/>
  <c r="V710" i="770"/>
  <c r="I8" i="499"/>
  <c r="K8" i="499"/>
  <c r="X1127" i="770"/>
  <c r="X1089" i="770"/>
  <c r="V1089" i="770"/>
  <c r="X792" i="770"/>
  <c r="T792" i="770"/>
  <c r="R792" i="770"/>
  <c r="V931" i="770"/>
  <c r="X791" i="770"/>
  <c r="V216" i="770"/>
  <c r="X216" i="770"/>
  <c r="C7" i="36"/>
  <c r="C66" i="20"/>
  <c r="F39" i="48"/>
  <c r="H45" i="48"/>
  <c r="L53" i="499"/>
  <c r="N53" i="499"/>
  <c r="M53" i="499"/>
  <c r="N19" i="499"/>
  <c r="L19" i="499"/>
  <c r="N68" i="499"/>
  <c r="L68" i="499"/>
  <c r="N9" i="499"/>
  <c r="L9" i="499"/>
  <c r="X1119" i="770"/>
  <c r="X1021" i="770"/>
  <c r="V1021" i="770"/>
  <c r="X1037" i="770"/>
  <c r="X795" i="770"/>
  <c r="X694" i="770"/>
  <c r="V694" i="770"/>
  <c r="X772" i="770"/>
  <c r="X774" i="770"/>
  <c r="X687" i="770"/>
  <c r="V687" i="770"/>
  <c r="X397" i="770"/>
  <c r="X552" i="770"/>
  <c r="X477" i="770"/>
  <c r="V477" i="770"/>
  <c r="V370" i="770"/>
  <c r="X370" i="770"/>
  <c r="X204" i="770"/>
  <c r="V204" i="770"/>
  <c r="X722" i="770"/>
  <c r="X190" i="770"/>
  <c r="V190" i="770"/>
  <c r="X460" i="770"/>
  <c r="N7" i="770"/>
  <c r="C72" i="20"/>
  <c r="C35" i="36" s="1"/>
  <c r="D73" i="20"/>
  <c r="D36" i="36" s="1"/>
  <c r="G36" i="36" s="1"/>
  <c r="C36" i="36"/>
  <c r="F10" i="20"/>
  <c r="X776" i="770"/>
  <c r="V776" i="770"/>
  <c r="X1136" i="770"/>
  <c r="V1136" i="770"/>
  <c r="M13" i="56"/>
  <c r="L44" i="499"/>
  <c r="N44" i="499"/>
  <c r="X1180" i="770"/>
  <c r="V1180" i="770"/>
  <c r="X935" i="770"/>
  <c r="X955" i="770"/>
  <c r="X880" i="770"/>
  <c r="X1036" i="770"/>
  <c r="X975" i="770"/>
  <c r="X890" i="770"/>
  <c r="X787" i="770"/>
  <c r="V787" i="770"/>
  <c r="X642" i="770"/>
  <c r="T642" i="770"/>
  <c r="X669" i="770"/>
  <c r="T669" i="770"/>
  <c r="R669" i="770"/>
  <c r="X464" i="770"/>
  <c r="V464" i="770"/>
  <c r="X498" i="770"/>
  <c r="T498" i="770"/>
  <c r="R498" i="770"/>
  <c r="V498" i="770"/>
  <c r="X357" i="770"/>
  <c r="V357" i="770"/>
  <c r="X520" i="770"/>
  <c r="V520" i="770"/>
  <c r="X249" i="770"/>
  <c r="V249" i="770"/>
  <c r="C30" i="36"/>
  <c r="D67" i="20"/>
  <c r="D30" i="36" s="1"/>
  <c r="D9" i="36"/>
  <c r="G9" i="36" s="1"/>
  <c r="L46" i="499"/>
  <c r="N46" i="499"/>
  <c r="X1139" i="770"/>
  <c r="V1139" i="770"/>
  <c r="X1077" i="770"/>
  <c r="V1077" i="770"/>
  <c r="X377" i="770"/>
  <c r="V377" i="770"/>
  <c r="V198" i="770"/>
  <c r="V1081" i="770"/>
  <c r="X1081" i="770"/>
  <c r="H44" i="48"/>
  <c r="M12" i="56"/>
  <c r="N64" i="499"/>
  <c r="L64" i="499"/>
  <c r="V1059" i="770"/>
  <c r="X1059" i="770"/>
  <c r="X1028" i="770"/>
  <c r="V792" i="770"/>
  <c r="X452" i="770"/>
  <c r="V452" i="770"/>
  <c r="V474" i="770"/>
  <c r="X474" i="770"/>
  <c r="X755" i="770"/>
  <c r="X356" i="770"/>
  <c r="X292" i="770"/>
  <c r="V292" i="770"/>
  <c r="X311" i="770"/>
  <c r="V311" i="770"/>
  <c r="X238" i="770"/>
  <c r="F6" i="20"/>
  <c r="B32" i="36"/>
  <c r="B68" i="20"/>
  <c r="D69" i="20"/>
  <c r="D32" i="36" s="1"/>
  <c r="G32" i="36" s="1"/>
  <c r="X900" i="770"/>
  <c r="R900" i="770"/>
  <c r="V900" i="770"/>
  <c r="T900" i="770"/>
  <c r="E7" i="56"/>
  <c r="F38" i="48"/>
  <c r="D46" i="48"/>
  <c r="D34" i="48"/>
  <c r="J38" i="48"/>
  <c r="H34" i="48"/>
  <c r="C7" i="48"/>
  <c r="J42" i="48"/>
  <c r="X1088" i="770"/>
  <c r="X1027" i="770"/>
  <c r="V1027" i="770"/>
  <c r="X898" i="770"/>
  <c r="T898" i="770"/>
  <c r="R898" i="770"/>
  <c r="I14" i="56"/>
  <c r="K9" i="55"/>
  <c r="X1155" i="770"/>
  <c r="V1155" i="770"/>
  <c r="L12" i="499"/>
  <c r="N12" i="499"/>
  <c r="N74" i="499"/>
  <c r="L74" i="499"/>
  <c r="X1173" i="770"/>
  <c r="V1173" i="770"/>
  <c r="X1078" i="770"/>
  <c r="V1078" i="770"/>
  <c r="X1022" i="770"/>
  <c r="V1022" i="770"/>
  <c r="X1098" i="770"/>
  <c r="V1111" i="770"/>
  <c r="X1111" i="770"/>
  <c r="X928" i="770"/>
  <c r="R928" i="770"/>
  <c r="T928" i="770"/>
  <c r="V642" i="770"/>
  <c r="X732" i="770"/>
  <c r="X441" i="770"/>
  <c r="X199" i="770"/>
  <c r="X227" i="770"/>
  <c r="X291" i="770"/>
  <c r="C14" i="36"/>
  <c r="D12" i="20"/>
  <c r="D14" i="36" s="1"/>
  <c r="G14" i="36" s="1"/>
  <c r="F9" i="20"/>
  <c r="D11" i="36"/>
  <c r="G11" i="36" s="1"/>
  <c r="N24" i="499"/>
  <c r="L24" i="499"/>
  <c r="V1094" i="770"/>
  <c r="X1094" i="770"/>
  <c r="X463" i="770"/>
  <c r="V463" i="770"/>
  <c r="X159" i="770"/>
  <c r="V159" i="770"/>
  <c r="X198" i="770"/>
  <c r="T198" i="770"/>
  <c r="R198" i="770"/>
  <c r="X428" i="770"/>
  <c r="V428" i="770"/>
  <c r="X1087" i="770"/>
  <c r="V1087" i="770"/>
  <c r="X783" i="770"/>
  <c r="V783" i="770"/>
  <c r="N79" i="499"/>
  <c r="L79" i="499"/>
  <c r="M79" i="499"/>
  <c r="L69" i="499"/>
  <c r="N69" i="499"/>
  <c r="X1003" i="770"/>
  <c r="X844" i="770"/>
  <c r="X891" i="770"/>
  <c r="T891" i="770"/>
  <c r="X799" i="770"/>
  <c r="X451" i="770"/>
  <c r="V451" i="770"/>
  <c r="X375" i="770"/>
  <c r="V375" i="770"/>
  <c r="V228" i="770"/>
  <c r="X228" i="770"/>
  <c r="V388" i="770"/>
  <c r="X388" i="770"/>
  <c r="X398" i="770"/>
  <c r="V398" i="770"/>
  <c r="X119" i="770"/>
  <c r="V119" i="770"/>
  <c r="D70" i="20"/>
  <c r="D33" i="36" s="1"/>
  <c r="G33" i="36" s="1"/>
  <c r="C33" i="36"/>
  <c r="E46" i="20"/>
  <c r="F46" i="20" s="1"/>
  <c r="X1134" i="770"/>
  <c r="V1134" i="770"/>
  <c r="X661" i="770"/>
  <c r="T661" i="770"/>
  <c r="X659" i="770"/>
  <c r="T659" i="770"/>
  <c r="R659" i="770"/>
  <c r="E34" i="48"/>
  <c r="E7" i="48" s="1"/>
  <c r="L15" i="56"/>
  <c r="M15" i="56" s="1"/>
  <c r="K15" i="55"/>
  <c r="G7" i="56"/>
  <c r="N37" i="499"/>
  <c r="L37" i="499"/>
  <c r="N18" i="499"/>
  <c r="L18" i="499"/>
  <c r="X876" i="770"/>
  <c r="V876" i="770"/>
  <c r="X906" i="770"/>
  <c r="V906" i="770"/>
  <c r="X853" i="770"/>
  <c r="X625" i="770"/>
  <c r="V625" i="770"/>
  <c r="X561" i="770"/>
  <c r="X480" i="770"/>
  <c r="V661" i="770"/>
  <c r="X427" i="770"/>
  <c r="V427" i="770"/>
  <c r="X373" i="770"/>
  <c r="V373" i="770"/>
  <c r="X319" i="770"/>
  <c r="V328" i="770"/>
  <c r="X328" i="770"/>
  <c r="V446" i="770"/>
  <c r="X446" i="770"/>
  <c r="X426" i="770"/>
  <c r="V426" i="770"/>
  <c r="X555" i="770"/>
  <c r="X376" i="770"/>
  <c r="V444" i="770"/>
  <c r="X444" i="770"/>
  <c r="V408" i="770"/>
  <c r="X408" i="770"/>
  <c r="X158" i="770"/>
  <c r="X147" i="770"/>
  <c r="E36" i="20"/>
  <c r="F26" i="20"/>
  <c r="G26" i="20" s="1"/>
  <c r="P11" i="55"/>
  <c r="N10" i="499"/>
  <c r="M10" i="499"/>
  <c r="M8" i="499" s="1"/>
  <c r="L10" i="499"/>
  <c r="X1166" i="770"/>
  <c r="M19" i="499"/>
  <c r="X1071" i="770"/>
  <c r="M18" i="499"/>
  <c r="X1080" i="770"/>
  <c r="V1080" i="770"/>
  <c r="X958" i="770"/>
  <c r="V958" i="770"/>
  <c r="X605" i="770"/>
  <c r="V605" i="770"/>
  <c r="X418" i="770"/>
  <c r="V418" i="770"/>
  <c r="X425" i="770"/>
  <c r="V425" i="770"/>
  <c r="X523" i="770"/>
  <c r="X385" i="770"/>
  <c r="X121" i="770"/>
  <c r="V121" i="770"/>
  <c r="X391" i="770"/>
  <c r="X170" i="770"/>
  <c r="V170" i="770"/>
  <c r="V496" i="770"/>
  <c r="V7" i="770"/>
  <c r="U6" i="770"/>
  <c r="C16" i="20"/>
  <c r="C38" i="36"/>
  <c r="D75" i="20"/>
  <c r="D38" i="36" s="1"/>
  <c r="G38" i="36" s="1"/>
  <c r="B66" i="20"/>
  <c r="B29" i="36" s="1"/>
  <c r="B7" i="36"/>
  <c r="D7" i="36" s="1"/>
  <c r="G7" i="36" s="1"/>
  <c r="B5" i="20"/>
  <c r="P7" i="55" l="1"/>
  <c r="D6" i="20"/>
  <c r="F46" i="48"/>
  <c r="J46" i="48"/>
  <c r="D44" i="48"/>
  <c r="F68" i="20"/>
  <c r="B31" i="36"/>
  <c r="B40" i="36" s="1"/>
  <c r="D68" i="20"/>
  <c r="D31" i="36" s="1"/>
  <c r="G31" i="36" s="1"/>
  <c r="D40" i="36"/>
  <c r="G40" i="36" s="1"/>
  <c r="G30" i="36"/>
  <c r="R9" i="55"/>
  <c r="O36" i="55"/>
  <c r="F34" i="48"/>
  <c r="J34" i="48"/>
  <c r="L8" i="48" s="1"/>
  <c r="D7" i="48"/>
  <c r="C40" i="36"/>
  <c r="J45" i="48"/>
  <c r="E44" i="48"/>
  <c r="F45" i="48"/>
  <c r="S8" i="55"/>
  <c r="I11" i="56"/>
  <c r="M11" i="56"/>
  <c r="L7" i="56"/>
  <c r="M8" i="56"/>
  <c r="C19" i="36"/>
  <c r="E16" i="20"/>
  <c r="G6" i="20"/>
  <c r="K7" i="55"/>
  <c r="B5" i="36"/>
  <c r="D5" i="36" s="1"/>
  <c r="G5" i="36" s="1"/>
  <c r="B77" i="20"/>
  <c r="R7" i="55"/>
  <c r="J37" i="55"/>
  <c r="O7" i="55"/>
  <c r="S6" i="55"/>
  <c r="G36" i="20"/>
  <c r="X7" i="770"/>
  <c r="N6" i="770"/>
  <c r="R7" i="770"/>
  <c r="T7" i="770"/>
  <c r="C5" i="20"/>
  <c r="C5" i="36" s="1"/>
  <c r="I9" i="56"/>
  <c r="H7" i="56"/>
  <c r="I7" i="56" s="1"/>
  <c r="M9" i="56"/>
  <c r="F36" i="20"/>
  <c r="V6" i="770"/>
  <c r="G56" i="20"/>
  <c r="G46" i="20"/>
  <c r="C55" i="48"/>
  <c r="L7" i="48"/>
  <c r="H7" i="48"/>
  <c r="N8" i="499"/>
  <c r="L8" i="499"/>
  <c r="D16" i="20"/>
  <c r="D72" i="20"/>
  <c r="D35" i="36" s="1"/>
  <c r="G35" i="36" s="1"/>
  <c r="X6" i="770" l="1"/>
  <c r="R6" i="770"/>
  <c r="T6" i="770"/>
  <c r="F44" i="48"/>
  <c r="J44" i="48"/>
  <c r="D19" i="36"/>
  <c r="G19" i="36" s="1"/>
  <c r="F16" i="20"/>
  <c r="F5" i="20" s="1"/>
  <c r="F7" i="48"/>
  <c r="J7" i="48"/>
  <c r="E5" i="20"/>
  <c r="G16" i="20"/>
  <c r="G5" i="20" s="1"/>
  <c r="M7" i="56"/>
  <c r="G68" i="20"/>
  <c r="G66" i="20" s="1"/>
  <c r="F66" i="20"/>
  <c r="F77" i="20" s="1"/>
  <c r="D5" i="20"/>
  <c r="D66" i="20"/>
  <c r="D29" i="36" s="1"/>
  <c r="G29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malai_l</author>
  </authors>
  <commentList>
    <comment ref="D11" authorId="0" shapeId="0" xr:uid="{B38D335F-EB76-4C5A-9280-54D2C983AA1E}">
      <text>
        <r>
          <rPr>
            <b/>
            <sz val="9"/>
            <color indexed="81"/>
            <rFont val="Tahoma"/>
            <family val="2"/>
          </rPr>
          <t>malai_l: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<sst xmlns="http://schemas.openxmlformats.org/spreadsheetml/2006/main" count="10358" uniqueCount="6092">
  <si>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</si>
  <si>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</si>
  <si>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</si>
  <si>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</si>
  <si>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</si>
  <si>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</si>
  <si>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ข้อมูลจากระบบ GFMIS</t>
  </si>
  <si>
    <t>งบลงทุน</t>
  </si>
  <si>
    <t>งบประมาณทั้งปี</t>
  </si>
  <si>
    <t>รับเงินประจำงวด</t>
  </si>
  <si>
    <t>ยังไม่ได้รับจัดสรร</t>
  </si>
  <si>
    <t>คิดเป็น</t>
  </si>
  <si>
    <t>ร้อยละ</t>
  </si>
  <si>
    <t xml:space="preserve"> - ค่าสาธารณูปโภค</t>
  </si>
  <si>
    <t xml:space="preserve"> - ค่าตอบแทน ใช้สอยและวัสดุ</t>
  </si>
  <si>
    <t xml:space="preserve"> - ค่าครุภัณฑ์</t>
  </si>
  <si>
    <t xml:space="preserve"> - ค่าที่ดินและสิ่งก่อสร้าง</t>
  </si>
  <si>
    <t>โอนเปลี่ยนแปลง</t>
  </si>
  <si>
    <t xml:space="preserve"> +/-โอนเปลี่ยนแปลง</t>
  </si>
  <si>
    <t>ระหว่างปี</t>
  </si>
  <si>
    <t>งบประมาณถือจ่าย</t>
  </si>
  <si>
    <t>รายการโอนเปลี่ยนแปลงระหว่างงบรายจ่าย</t>
  </si>
  <si>
    <t>ผลการเบิกจ่าย</t>
  </si>
  <si>
    <t xml:space="preserve"> รวมทั้งสิ้น</t>
  </si>
  <si>
    <t xml:space="preserve"> - ค่าสาธารณูปโภค (ค่าเช่าสื่อสัญญาณอินเตอร์เน็ต)</t>
  </si>
  <si>
    <t>ผลผลิตที่ 1 : เสริมสร้างขีดความสามารถของพลังชุมชนในการจัดการ</t>
  </si>
  <si>
    <t>และแก้ไขปัญหาของชุมชน</t>
  </si>
  <si>
    <t>และมาตรฐาน</t>
  </si>
  <si>
    <t xml:space="preserve">รวม 2 ผลผลิต </t>
  </si>
  <si>
    <t>แผนงาน : พัฒนาเศรษฐกิจระดับฐานราก</t>
  </si>
  <si>
    <t xml:space="preserve"> "เป้าหมายการเบิกจ่าย ปี 2558 เป็นรายไตรมาส ดังนี้"</t>
  </si>
  <si>
    <t xml:space="preserve"> รัฐบาล/กรม (งบลงทุน)     29.00  :  55.00  :  74.00  :   87.00</t>
  </si>
  <si>
    <t xml:space="preserve"> รัฐบาล/กรม (ภาพรวม)     32.00  :  55.00  :  76.00  :   96.00</t>
  </si>
  <si>
    <t>ผลผลิตที่ 2 : ส่งเสริมผลิตภัณฑ์ชุมชนให้มีการบริหารจัดการที่มีคุณภาพ</t>
  </si>
  <si>
    <t>งบประมาณได้รับ
ตาม พ.ร.บ.</t>
  </si>
  <si>
    <t>ใบสั่งซื้อสั่งจ้าง</t>
  </si>
  <si>
    <t>หลังโอนเปลี่ยนแปลง</t>
  </si>
  <si>
    <t>ผลการเบิกจ่ายรายจ่ายประจำ</t>
  </si>
  <si>
    <t>รายงานสถานะการใช้จ่ายงบประมาณ                                                                        หน้าที่</t>
  </si>
  <si>
    <t xml:space="preserve"> จาก</t>
  </si>
  <si>
    <t>ประจำปีงบประมาณ</t>
  </si>
  <si>
    <t xml:space="preserve"> สำหรับ</t>
  </si>
  <si>
    <t>รหัสงบประมาณ</t>
  </si>
  <si>
    <t xml:space="preserve">           วันที่</t>
  </si>
  <si>
    <t xml:space="preserve"> เวลา</t>
  </si>
  <si>
    <t>ชื่อผู้ใช้</t>
  </si>
  <si>
    <t xml:space="preserve">                                                                                      หน่วย : บาท</t>
  </si>
  <si>
    <t>การใช้จ่ายงบประมาณ</t>
  </si>
  <si>
    <t xml:space="preserve">     งบสุทธิ</t>
  </si>
  <si>
    <t xml:space="preserve">   การสำรองเงิน</t>
  </si>
  <si>
    <t xml:space="preserve"> ใบสั่งซื้อ/สัญญา</t>
  </si>
  <si>
    <t xml:space="preserve">   เบิกจ่ายสะสม</t>
  </si>
  <si>
    <t xml:space="preserve">    งบคงเหลือ</t>
  </si>
  <si>
    <t>** รวมงบประมาณ</t>
  </si>
  <si>
    <t>*  1500425014000000  รายการงบประ</t>
  </si>
  <si>
    <t>*  1500425014410005  ปรับปรุงอาค</t>
  </si>
  <si>
    <t>*  1500425014410015  ปรับปรุงห้อ</t>
  </si>
  <si>
    <t>*  1500425014410016  ปรับปรุงห้อ</t>
  </si>
  <si>
    <t>*  1500425014410019  ปรับปรุงห้อ</t>
  </si>
  <si>
    <t>*  1500425014410023  ปรับปรุงบ้า</t>
  </si>
  <si>
    <t>*  1500425014410027  ปรับปรุงบ้า</t>
  </si>
  <si>
    <t>*  1500425014410031  ปรับปรุงบ้า</t>
  </si>
  <si>
    <t>*  1500425014410033  ปรับปรุงบ้า</t>
  </si>
  <si>
    <t>*  1500425014410049  ปรับปรุงบ้า</t>
  </si>
  <si>
    <t>*  1500425014410053  ปรับปรุงอาค</t>
  </si>
  <si>
    <t>*  1500425014410055  ปรับปรุงอาค</t>
  </si>
  <si>
    <t>*  1500425014420001  ก่อสร้างอาค</t>
  </si>
  <si>
    <t>*  1500425014420002  ก่อสร้างอาค</t>
  </si>
  <si>
    <t>*  1500425014420003  ก่อสร้างอาค</t>
  </si>
  <si>
    <t>*  1500425014420004  ก่อสร้างอาค</t>
  </si>
  <si>
    <t>*  1500425014420005  ก่อสร้างอาค</t>
  </si>
  <si>
    <t>*  1500425020000000  รายการงบประ</t>
  </si>
  <si>
    <t>1504A01</t>
  </si>
  <si>
    <t xml:space="preserve">   5911100  งบบุคลากร/งบสรก</t>
  </si>
  <si>
    <t xml:space="preserve">   5911200  งบดำเนินงาน/งบสรก</t>
  </si>
  <si>
    <t>*  1500425014110001  เครื่องคอมพ</t>
  </si>
  <si>
    <t xml:space="preserve">   5911310  ครุภัณฑ์ /งบสรก.</t>
  </si>
  <si>
    <t>*  1500425014110002  ชุดโปรแกรมส</t>
  </si>
  <si>
    <t>*  1500425014110003  เครื่องสแกน</t>
  </si>
  <si>
    <t>*  1500425014110004  รถบรรทุก (ด</t>
  </si>
  <si>
    <t>*  1500425014110005  รถบรรทุก (ด</t>
  </si>
  <si>
    <t>*  1500425014110006  รถบรรทุก (ด</t>
  </si>
  <si>
    <t>*  1500425014110007  รถบรรทุก (ด</t>
  </si>
  <si>
    <t>*  1500425014110008  รถบรรทุก (ด</t>
  </si>
  <si>
    <t>*  1500425014110009  รถบรรทุก (ด</t>
  </si>
  <si>
    <t>*  1500425014110010  รถบรรทุก (ด</t>
  </si>
  <si>
    <t>*  1500425014110011  รถบรรทุก (ด</t>
  </si>
  <si>
    <t>*  1500425014110012  รถบรรทุก (ด</t>
  </si>
  <si>
    <t>*  1500425014110013  รถบรรทุก (ด</t>
  </si>
  <si>
    <t>*  1500425014110014  รถบรรทุก (ด</t>
  </si>
  <si>
    <t>*  1500425014110015  รถบรรทุก (ด</t>
  </si>
  <si>
    <t>*  1500425014110016  รถบรรทุก (ด</t>
  </si>
  <si>
    <t>*  1500425014110017  รถบรรทุก (ด</t>
  </si>
  <si>
    <t>*  1500425014110018  รถบรรทุก (ด</t>
  </si>
  <si>
    <t>*  1500425014110019  รถบรรทุก (ด</t>
  </si>
  <si>
    <t>*  1500425014110020  รถบรรทุก (ด</t>
  </si>
  <si>
    <t>*  1500425014110021  รถบรรทุก (ด</t>
  </si>
  <si>
    <t>*  1500425014110022  รถบรรทุก (ด</t>
  </si>
  <si>
    <t>*  1500425014110023  รถบรรทุก (ด</t>
  </si>
  <si>
    <t>*  1500425014110024  รถบรรทุก (ด</t>
  </si>
  <si>
    <t>*  1500425014110025  รถบรรทุก (ด</t>
  </si>
  <si>
    <t>*  1500425014110026  รถบรรทุก (ด</t>
  </si>
  <si>
    <t>*  1500425014110027  รถบรรทุก (ด</t>
  </si>
  <si>
    <t>*  1500425014110028  รถบรรทุก (ด</t>
  </si>
  <si>
    <t>*  1500425014110029  รถบรรทุก (ด</t>
  </si>
  <si>
    <t>*  1500425014110030  รถบรรทุก (ด</t>
  </si>
  <si>
    <t>*  1500425014110031  รถบรรทุก (ด</t>
  </si>
  <si>
    <t>*  1500425014110032  รถบรรทุก (ด</t>
  </si>
  <si>
    <t>*  1500425014110033  รถบรรทุก (ด</t>
  </si>
  <si>
    <t>*  1500425014110034  รถบรรทุก (ด</t>
  </si>
  <si>
    <t>*  1500425014110035  รถบรรทุก (ด</t>
  </si>
  <si>
    <t>*  1500425014110036  รถบรรทุก (ด</t>
  </si>
  <si>
    <t>*  1500425014110037  รถบรรทุก (ด</t>
  </si>
  <si>
    <t>*  1500425014110038  รถบรรทุก (ด</t>
  </si>
  <si>
    <t>*  1500425014110039  รถบรรทุก (ด</t>
  </si>
  <si>
    <t>*  1500425014110040  รถบรรทุก (ด</t>
  </si>
  <si>
    <t>*  1500425014110041  รถบรรทุก (ด</t>
  </si>
  <si>
    <t>*  1500425014110042  รถบรรทุก (ด</t>
  </si>
  <si>
    <t>*  1500425014110043  รถบรรทุก (ด</t>
  </si>
  <si>
    <t>*  1500425014110044  รถบรรทุก (ด</t>
  </si>
  <si>
    <t>*  1500425014110045  รถบรรทุก (ด</t>
  </si>
  <si>
    <t>*  1500425014110046  รถบรรทุก (ด</t>
  </si>
  <si>
    <t>*  1500425014110047  รถบรรทุก (ด</t>
  </si>
  <si>
    <t>*  1500425014110048  รถบรรทุก (ด</t>
  </si>
  <si>
    <t>*  1500425014110049  รถบรรทุก (ด</t>
  </si>
  <si>
    <t>*  1500425014110050  รถบรรทุก (ด</t>
  </si>
  <si>
    <t>*  1500425014110051  รถบรรทุก (ด</t>
  </si>
  <si>
    <t>*  1500425014110052  รถบรรทุก (ด</t>
  </si>
  <si>
    <t>*  1500425014110053  รถบรรทุก (ด</t>
  </si>
  <si>
    <t>*  1500425014110054  รถบรรทุก (ด</t>
  </si>
  <si>
    <t>*  1500425014110055  รถบรรทุก (ด</t>
  </si>
  <si>
    <t>*  1500425014110056  รถบรรทุก (ด</t>
  </si>
  <si>
    <t>*  1500425014110057  รถบรรทุก (ด</t>
  </si>
  <si>
    <t>*  1500425014110058  รถบรรทุก (ด</t>
  </si>
  <si>
    <t>*  1500425014110059  รถบรรทุก (ด</t>
  </si>
  <si>
    <t>*  1500425014110060  รถบรรทุก (ด</t>
  </si>
  <si>
    <t>*  1500425014110061  รถบรรทุก (ด</t>
  </si>
  <si>
    <t>*  1500425014110062  รถบรรทุก (ด</t>
  </si>
  <si>
    <t>*  1500425014110063  รถบรรทุก (ด</t>
  </si>
  <si>
    <t>*  1500425014110064  รถบรรทุก (ด</t>
  </si>
  <si>
    <t>*  1500425014110065  รถบรรทุก (ด</t>
  </si>
  <si>
    <t>*  1500425014110066  รถบรรทุก (ด</t>
  </si>
  <si>
    <t>*  1500425014110067  รถบรรทุก (ด</t>
  </si>
  <si>
    <t>*  1500425014110068  รถบรรทุก (ด</t>
  </si>
  <si>
    <t>*  1500425014110069  รถบรรทุก (ด</t>
  </si>
  <si>
    <t>*  1500425014110070  รถบรรทุก (ด</t>
  </si>
  <si>
    <t>*  1500425014110071  รถบรรทุก (ด</t>
  </si>
  <si>
    <t>*  1500425014110072  รถบรรทุก (ด</t>
  </si>
  <si>
    <t>*  1500425014110073  รถบรรทุก (ด</t>
  </si>
  <si>
    <t>*  1500425014110074  รถบรรทุก (ด</t>
  </si>
  <si>
    <t>*  1500425014110075  รถบรรทุก (ด</t>
  </si>
  <si>
    <t>*  1500425014110076  รถบรรทุก (ด</t>
  </si>
  <si>
    <t>*  1500425014110077  รถบรรทุก (ด</t>
  </si>
  <si>
    <t>*  1500425014110078  รถบรรทุก (ด</t>
  </si>
  <si>
    <t>*  1500425014120001  พัฒนาโปรแกร</t>
  </si>
  <si>
    <t>*  1500425014120002  พัฒนาโปรแกร</t>
  </si>
  <si>
    <t>*  1500425014120003  พัฒนาโปรแกร</t>
  </si>
  <si>
    <t>*  1500425014120004  รถโดยสาร ขน</t>
  </si>
  <si>
    <t>*  1500425014120005  รถโดยสาร ขน</t>
  </si>
  <si>
    <t>*  1500425014120006  รถโดยสาร ขน</t>
  </si>
  <si>
    <t>*  1500425014120007  รถโดยสาร ขน</t>
  </si>
  <si>
    <t>*  1500425014120008  รถโดยสาร ขน</t>
  </si>
  <si>
    <t>*  1500425014120009  รถโดยสาร ขน</t>
  </si>
  <si>
    <t>*  1500425014120010  รถโดยสาร ขน</t>
  </si>
  <si>
    <t>*  1500425014120011  รถโดยสาร ขน</t>
  </si>
  <si>
    <t>*  1500425014120012  รถโดยสาร ขน</t>
  </si>
  <si>
    <t>*  1500425014120013  รถโดยสาร ขน</t>
  </si>
  <si>
    <t>*  1500425014120014  รถโดยสาร ขน</t>
  </si>
  <si>
    <t>*  1500425014120015  รถโดยสาร ขน</t>
  </si>
  <si>
    <t>*  1500425014120016  รถโดยสาร ขน</t>
  </si>
  <si>
    <t>*  1500425014120017  รถโดยสาร ขน</t>
  </si>
  <si>
    <t>*  1500425014120018  รถโดยสาร ขน</t>
  </si>
  <si>
    <t>*  1500425014120019  รถโดยสาร ขน</t>
  </si>
  <si>
    <t>*  1500425014120020  รถโดยสาร ขน</t>
  </si>
  <si>
    <t>*  1500425014120021  รถโดยสาร ขน</t>
  </si>
  <si>
    <t>*  1500425014120022  รถโดยสาร ขน</t>
  </si>
  <si>
    <t>*  1500425014120023  รถโดยสาร ขน</t>
  </si>
  <si>
    <t>*  1500425014120024  รถโดยสาร ขน</t>
  </si>
  <si>
    <t>*  1500425014120025  รถโดยสาร ขน</t>
  </si>
  <si>
    <t>*  1500425014120026  รถโดยสาร ขน</t>
  </si>
  <si>
    <t>*  1500425014120027  รถโดยสาร ขน</t>
  </si>
  <si>
    <t>*  1500425014120028  รถโดยสาร ขน</t>
  </si>
  <si>
    <t>*  1500425014120029  รถโดยสาร ขน</t>
  </si>
  <si>
    <t>*  1500425014120030  รถโดยสาร ขน</t>
  </si>
  <si>
    <t>*  1500425014120031  รถโดยสาร ขน</t>
  </si>
  <si>
    <t>*  1500425014120032  รถโดยสาร ขน</t>
  </si>
  <si>
    <t>*  1500425014120033  รถโดยสาร ขน</t>
  </si>
  <si>
    <t>*  1500425014120034  รถโดยสาร ขน</t>
  </si>
  <si>
    <t>*  1500425014120035  รถโดยสาร ขน</t>
  </si>
  <si>
    <t>*  1500425014120036  รถโดยสาร ขน</t>
  </si>
  <si>
    <t>*  1500425014120037  รถโดยสาร ขน</t>
  </si>
  <si>
    <t>*  1500425014120038  รถโดยสาร ขน</t>
  </si>
  <si>
    <t>*  1500425014120039  รถโดยสาร ขน</t>
  </si>
  <si>
    <t>*  1500425014120040  รถโดยสาร ขน</t>
  </si>
  <si>
    <t>*  1500425014120041  รถโดยสาร ขน</t>
  </si>
  <si>
    <t>*  1500425014120042  รถโดยสาร ขน</t>
  </si>
  <si>
    <t>*  1500425014120043  รถโดยสาร ขน</t>
  </si>
  <si>
    <t>*  1500425014120044  รถโดยสาร ขน</t>
  </si>
  <si>
    <t>*  1500425014120045  รถโดยสาร ขน</t>
  </si>
  <si>
    <t>*  1500425014120046  รถโดยสาร ขน</t>
  </si>
  <si>
    <t>*  1500425014120047  รถโดยสาร ขน</t>
  </si>
  <si>
    <t>*  1500425014120048  รถโดยสาร ขน</t>
  </si>
  <si>
    <t>*  1500425014120049  รถโดยสาร ขน</t>
  </si>
  <si>
    <t>*  1500425014120050  รถโดยสาร ขน</t>
  </si>
  <si>
    <t>*  1500425014120051  รถโดยสาร ขน</t>
  </si>
  <si>
    <t>*  1500425014120052  รถโดยสาร ขน</t>
  </si>
  <si>
    <t>*  1500425014120053  รถโดยสาร ขน</t>
  </si>
  <si>
    <t>*  1500425014120054  รถโดยสาร ขน</t>
  </si>
  <si>
    <t>*  1500425014120055  รถโดยสาร ขน</t>
  </si>
  <si>
    <t>*  1500425014410001  ก่อสร้างโรง</t>
  </si>
  <si>
    <t xml:space="preserve">   5911320  ที่ดิน/สิ่งก่อสร้าง</t>
  </si>
  <si>
    <t>*  1500425014410002  ก่อสร้างโรง</t>
  </si>
  <si>
    <t>*  1500425014410003  ก่อสร้างโรง</t>
  </si>
  <si>
    <t>*  1500425014410004  ก่อสร้างโรง</t>
  </si>
  <si>
    <t>*  1500425014410007  ปรับปรุงสำน</t>
  </si>
  <si>
    <t>*  1500425014410008  ปรับปรุงบ้า</t>
  </si>
  <si>
    <t>*  1500425014410009  ปรับปรุงบ้า</t>
  </si>
  <si>
    <t>*  1500425014410010  ปรับปรุงสำน</t>
  </si>
  <si>
    <t>*  1500425014410011  ปรับปรุงบ้า</t>
  </si>
  <si>
    <t>*  1500425014410012  ปรับปรุงสำน</t>
  </si>
  <si>
    <t>*  1500425014410014  ปรับปรุงสำน</t>
  </si>
  <si>
    <t>*  1500425014410017  ปรับปรุงอาค</t>
  </si>
  <si>
    <t>*  1500425014410018  ปรับปรุงระบ</t>
  </si>
  <si>
    <t>*  1500425014410020  ปรับปรุงห้อ</t>
  </si>
  <si>
    <t>*  1500425014410021  ปรับปรุงบ้า</t>
  </si>
  <si>
    <t>*  1500425014410022  ปรับปรุงบ้า</t>
  </si>
  <si>
    <t>*  1500425014410024  ปรับปรุงต่อ</t>
  </si>
  <si>
    <t>*  1500425014410025  ปรับปรุงสำน</t>
  </si>
  <si>
    <t>*  1500425014410026  ปรับปรุงโรง</t>
  </si>
  <si>
    <t>*  1500425014410028  ปรับปรุงบ้า</t>
  </si>
  <si>
    <t>*  1500425014410029  ปรับปรุงบ้า</t>
  </si>
  <si>
    <t>*  1500425014410030  ปรับปรุงบ้า</t>
  </si>
  <si>
    <t>*  1500425014410032  ปรับปรุงบ้า</t>
  </si>
  <si>
    <t>*  1500425014410035  ปรับปรุงบ้า</t>
  </si>
  <si>
    <t>*  1500425014410036  ปรับปรุงบ้า</t>
  </si>
  <si>
    <t>*  1500425014410037  ปรับปรุงหลั</t>
  </si>
  <si>
    <t>*  1500425014410038  ปรับปรุงหลั</t>
  </si>
  <si>
    <t>*  1500425014410039  ปรับปรุงหลั</t>
  </si>
  <si>
    <t>*  1500425014410040  ปรับปรุงห้อ</t>
  </si>
  <si>
    <t>*  1500425014410041  ปรับปรุงโรง</t>
  </si>
  <si>
    <t>*  1500425014410042  ปรับปรุงโรง</t>
  </si>
  <si>
    <t>*  1500425014410043  ปรับปรุงโรง</t>
  </si>
  <si>
    <t>*  1500425014410044  ปรับปรุงห้อ</t>
  </si>
  <si>
    <t>*  1500425014410045  ปรับปรุงอาค</t>
  </si>
  <si>
    <t>*  1500425014410046  ปรับปรุงอาค</t>
  </si>
  <si>
    <t>*  1500425014410047  ปรับปรุงอาค</t>
  </si>
  <si>
    <t>*  1500425014410048  ปรับปรุงราง</t>
  </si>
  <si>
    <t>*  1500425014410050  ปรับปรุงบ้า</t>
  </si>
  <si>
    <t>*  1500425014410051  ปรับปรุงหอพ</t>
  </si>
  <si>
    <t>*  1500425014410052  ปรับปรุงผิว</t>
  </si>
  <si>
    <t>*  1500425014410054  ปรับปรุงอาค</t>
  </si>
  <si>
    <t>*  1500425014410056  ปรับปรุงระบ</t>
  </si>
  <si>
    <t>*  1500425014410057  ปรับปรุงทาง</t>
  </si>
  <si>
    <t>*  1500425014410058  ปรับปรุงอาค</t>
  </si>
  <si>
    <t>*  1500425014410060  ปรับปรุงบ้า</t>
  </si>
  <si>
    <t>*  1500425014410061  ปรับปรุงต่อ</t>
  </si>
  <si>
    <t>*  1500425014420006  ก่อสร้างอาค</t>
  </si>
  <si>
    <t>*  1500425014420007  ก่อสร้างอาค</t>
  </si>
  <si>
    <t>*  1500425014420008  ก่อสร้างอาค</t>
  </si>
  <si>
    <t>*  1500425014420009  ก่อสร้างอาค</t>
  </si>
  <si>
    <t>*  1500425014420010  ก่อสร้างอาค</t>
  </si>
  <si>
    <t xml:space="preserve">ข้อมูลทำรายงาน </t>
  </si>
  <si>
    <t>ZFMA46</t>
  </si>
  <si>
    <t>เริ่ม</t>
  </si>
  <si>
    <t>ถึง</t>
  </si>
  <si>
    <t>คือภาพรวม</t>
  </si>
  <si>
    <t>ZFMA47</t>
  </si>
  <si>
    <t>ZFMA55</t>
  </si>
  <si>
    <t>งบกลางปี52</t>
  </si>
  <si>
    <t>909*</t>
  </si>
  <si>
    <t>FBL3N</t>
  </si>
  <si>
    <t>เรียกค่าเช่าบ้าน</t>
  </si>
  <si>
    <t>เบิกจ่ายแล้ว</t>
  </si>
  <si>
    <t>รวมทั้งสิ้น</t>
  </si>
  <si>
    <t xml:space="preserve"> รัฐบาล/กรม (ภาพรวม)     30.00  :  52.00  :  73.00  :   96.00</t>
  </si>
  <si>
    <t>01.04.2016</t>
  </si>
  <si>
    <t>*  1500425008702001  โครงการขับเ</t>
  </si>
  <si>
    <t xml:space="preserve">   5911500  งบรายจ่ายอื่น/งบสรก.</t>
  </si>
  <si>
    <t xml:space="preserve">   5911110  เงินเดือน /งบสรก.</t>
  </si>
  <si>
    <t xml:space="preserve">   5911120  ค่าจ้างประจำ /งบสรก.</t>
  </si>
  <si>
    <t xml:space="preserve">   5911150  ค่าตอบแทนพนักงานราชก</t>
  </si>
  <si>
    <t xml:space="preserve">   5911210  ค่าตอบแทน /งบสรก.</t>
  </si>
  <si>
    <t xml:space="preserve">   5911220  ค่าใช้สอย /งบสรก.</t>
  </si>
  <si>
    <t xml:space="preserve">   5911230  ค่าวัสดุ /งบสรก.</t>
  </si>
  <si>
    <t xml:space="preserve">   5911240  ค่าสาธารณูปโภค /งบสร</t>
  </si>
  <si>
    <t>*  1500425014110079  ครุภัณฑ์สำน</t>
  </si>
  <si>
    <t>*  1500425014110080  ครุภัณฑ์โฆษ</t>
  </si>
  <si>
    <t>*  1500425014110081  ครุภัณฑ์งาน</t>
  </si>
  <si>
    <t>*  1500425020700001  งบรายจ่ายอื</t>
  </si>
  <si>
    <t>ไตรมาสที่</t>
  </si>
  <si>
    <t>แผนการใช้จ่าย/ เป้าหมาย/ผลการเบิกจ่ายงบประมาณ</t>
  </si>
  <si>
    <t>ภาพรวม ( ร้อยละ)</t>
  </si>
  <si>
    <t>เบิกจ่ายได้</t>
  </si>
  <si>
    <t>งบลงทุน ( ร้อยละ)</t>
  </si>
  <si>
    <t>แผนฯ</t>
  </si>
  <si>
    <t>เป้าหมาย</t>
  </si>
  <si>
    <t>กรมฯ</t>
  </si>
  <si>
    <t>รัฐบาล</t>
  </si>
  <si>
    <t>ข้อมูลสะสม ตั้งแต่วันที่ 1 ตุลาคม 2558 - 30 กันยายน 2560</t>
  </si>
  <si>
    <t>แผนงานพื้นฐาน (1500431013000000)</t>
  </si>
  <si>
    <t>แผนงานบุคลากรภาครัฐ (1500453018000000)</t>
  </si>
  <si>
    <t>ผลผลิต เสริมสร้างขีดความสามารถของชุมชนในการบริหารจัดการข้อมูลเพื่อการพัฒนาชุมชน</t>
  </si>
  <si>
    <t>แผนงานบรูณาการ (1500432023000000)</t>
  </si>
  <si>
    <t>โครงการที่ 1 สร้างสัมมนาชีพชุมชนตามหลักปรัชญาของเศรษฐกิจพอเพียง</t>
  </si>
  <si>
    <t>โครงการที่ 2 ส่งเสริมการบริหารจัดการการเงินชุมชน</t>
  </si>
  <si>
    <t>แผนงานบรูณาการ (1500432024000000)</t>
  </si>
  <si>
    <t>แผนงานบรูณาการ (1500432025000000)</t>
  </si>
  <si>
    <t>แผนงานบรูณาการ (1500432026000000)</t>
  </si>
  <si>
    <t>โครงการที่ 3 เพิ่มประสิทธิภาพการบริหารจัดการและพัฒนาผลิตัณฑ์ชุมชน</t>
  </si>
  <si>
    <t>โครงการที่ 4 ส่งเสริมช่องทางการตลาดผลิดภัณฑ์ชุมชน</t>
  </si>
  <si>
    <t xml:space="preserve">รวม 3 แผนงาน </t>
  </si>
  <si>
    <t>.</t>
  </si>
  <si>
    <t xml:space="preserve"> "เป้าหมายการเบิกจ่าย ปี 2560 เป็นรายไตรมาส ดังนี้"</t>
  </si>
  <si>
    <t>รายงานผลการเบิกจ่ายงบประมาณรายจ่ายภาพรวม ประจำปีงบประมาณ พ.ศ. 2560</t>
  </si>
  <si>
    <t xml:space="preserve"> รัฐบาล/กรม (งบประจำ)    33.00  :  55.00  :  76.00  :   98.00</t>
  </si>
  <si>
    <t>รวมรายจ่ายประจำ (งบบุคลากร งบดำเนินงาน และงบรายจ่ายอื่น)</t>
  </si>
  <si>
    <t>งบประมาณ</t>
  </si>
  <si>
    <t>ณ วันที่</t>
  </si>
  <si>
    <t>ณวันที่</t>
  </si>
  <si>
    <t>วงเงิน</t>
  </si>
  <si>
    <t>ภาพรวม</t>
  </si>
  <si>
    <t>รายจ่ายประจำ</t>
  </si>
  <si>
    <t>รายจ่ายลงทุน</t>
  </si>
  <si>
    <t>เป้าหมายเบิกจ่าย
ไตรมาสที่ 1 
(ณ 31 ธ.ค.59)</t>
  </si>
  <si>
    <t>สถานะเบิก/
เทียบกับเป้าหมาย</t>
  </si>
  <si>
    <t>เปรียบเทียบกับครั้งก่อน
วันที่ (ร้อยละ)</t>
  </si>
  <si>
    <t>ผลการเบิกจ่ายงบประมาณรายจ่ายประจำปีงบประมาณ พ.ศ. 2560</t>
  </si>
  <si>
    <t>วงเงิน
งบประมาณ</t>
  </si>
  <si>
    <t xml:space="preserve"> รัฐบาล/กรม (งบลงทุน)     19.00  :  41.00  :  63.00  :   87.00</t>
  </si>
  <si>
    <t>กรมการพัฒนาชุมชน</t>
  </si>
  <si>
    <t>รายงานงบประมาณ</t>
  </si>
  <si>
    <t>เป้าหมายรัฐบาล
 ไตรมาส 2 (ร้อยละ)</t>
  </si>
  <si>
    <t>การคาดการณ์(รวม)</t>
  </si>
  <si>
    <t>เบิกจ่ายแล้ว
(ร้อยละ)</t>
  </si>
  <si>
    <t>งบประมาณเหลื่อมปี</t>
  </si>
  <si>
    <t>ตามงวดงาน</t>
  </si>
  <si>
    <t>งบกลาง (มาตรการกระตุ้นการลงทุน)</t>
  </si>
  <si>
    <t>ณ วันที่ 17 กุมภาพันธ์ 2560</t>
  </si>
  <si>
    <t>หน่วยงานรับผิดชอบ</t>
  </si>
  <si>
    <t>พระนครศรีอยุธยา</t>
  </si>
  <si>
    <t>ภาคกลางตอนล่าง 2 (เขต 5)</t>
  </si>
  <si>
    <t>1.โครงการชับเคลื่อนเศรษฐกิจและการท่องเที่ยวเพชรสมุทรคีรี</t>
  </si>
  <si>
    <t>เพชรบุรี</t>
  </si>
  <si>
    <t>ประจวบคีรีขันธ์</t>
  </si>
  <si>
    <t>สมุทรสาคร</t>
  </si>
  <si>
    <t>ภาคเหนือตอนบน 1 (เขต 10 )</t>
  </si>
  <si>
    <t>กลุ่มภาคกลางตอนบน 1 (เขต 1)</t>
  </si>
  <si>
    <t>เชียงใหม่</t>
  </si>
  <si>
    <t>หมายเหตุ</t>
  </si>
  <si>
    <t>โครงการเพิ่มศักยภาพการผลิต ตลาดและพัฒนาผลิตภัณฑ์ชุมชน</t>
  </si>
  <si>
    <t>1.1 เที่ยวเพชรสมุทรคีรีตามวิถีประชารัฐ ( รหัส 1500457031000000 )</t>
  </si>
  <si>
    <t>2. โครงการเพิ่มประสิทธิภาพสินค้าเกษตรและอาหารปลอดภัย</t>
  </si>
  <si>
    <t>งบประมาณ
จัดสรร</t>
  </si>
  <si>
    <t xml:space="preserve"> -  พัฒนากลุ่มสัมมาชีพชุมชนยกระดับเป็นผู้ประกอบการ ( รหัส 1500457032000000 )</t>
  </si>
  <si>
    <t>1.โครงการยกระดับการผลิตหัตถอุตสาหกรรมภาคเหนือตอนบน 1 สู่ฐานการผลิตเชิงสร้างสรรค์</t>
  </si>
  <si>
    <t>1.1 พัฒนาพื้นที่ชุมชนสร้างสรรค์ ( รหัส 1500457033000000 )</t>
  </si>
  <si>
    <t>2. ส่งเสริมการท่องเที่ยวชุมชนเชิงวัฒนธรรมตามแนวทางประชารัฐ ( รหัส 1500457034000000 )</t>
  </si>
  <si>
    <t>ลำพูน</t>
  </si>
  <si>
    <t>ลำปาง</t>
  </si>
  <si>
    <t>แม่ฮ่องสอน</t>
  </si>
  <si>
    <t>4 จังหวัด</t>
  </si>
  <si>
    <t>1. พัฒนาพื้นที่ชุมชนสร้างสรรค์ ( รหัส 1500457033000000 ) - 15004XXXXL2424</t>
  </si>
  <si>
    <t>โครงการยกระดับการผลิตหัตถอุตสาหกรรมภาคเหนือตอนบน 1 สู่ฐานการผลิตเชิงสร้างสรรค์</t>
  </si>
  <si>
    <t>"</t>
  </si>
  <si>
    <t>งบลทุน</t>
  </si>
  <si>
    <t>2. ยกระดับการผลิตอุตสาหกรรมเชิงสร้างสรรค์ ( รหัส 1500457033000000 )- 15004XXXXL2423</t>
  </si>
  <si>
    <t>3. เชื่อมโยงผลิตภัณฑ์หัตถอุตสาหกรรมสู่ตลาดที่มีศักยภาพ ( รหัส 1500457033000000 ) - 15004XXXXL2422</t>
  </si>
  <si>
    <t>5. ส่งเสริมการท่องเที่ยวชุมชนเชิงวัฒนธรรมตามแนวทางประชารัฐ ( รหัส 1500457034000000 ) - 15004XXXXL2425</t>
  </si>
  <si>
    <t>3 จังหวัด</t>
  </si>
  <si>
    <t>1.2 เที่ยวเพชรสมุทรคีรีตามวิถีประชารัฐ ( รหัส 1500457031000000 )</t>
  </si>
  <si>
    <t>1.3 เศรษฐกิจชุมชนครบวงจร "บ้านเพชรเพลินดิน"  ( รหัส 1500457031000000 )</t>
  </si>
  <si>
    <t>1.4 ส่งเสริมกิจกรรมหมู่บ้าน OTOP เพื่อการท่องเที่ยวกลุ่มจังหวัดเพชรสมุทรคีรี (รหัส 1500457031000000)</t>
  </si>
  <si>
    <t>1.5 ปรับปรุงศูนย์ OTOP ปราณบุรี (1500457031410001)</t>
  </si>
  <si>
    <t>1.6 พัฒนาผลิตภัณฑ์ OTOP กลุ่ม Quadrant B (เอกลักษณ์) สู่สากล ( รหัส 1500457031000000 )</t>
  </si>
  <si>
    <t>1.2 พัฒนาพื้นที่ชุมชนสร้างสรรค์ ( รหัส 1500457033000000 )</t>
  </si>
  <si>
    <t>1.3 ยกระดับการผลิตอุตสาหกรรมเชิงสร้างสรรค์ ( รหัส 1500457033000000 )</t>
  </si>
  <si>
    <t>ที่</t>
  </si>
  <si>
    <t xml:space="preserve">สรุปตามงบรายจ่าย </t>
  </si>
  <si>
    <t>ตรัง</t>
  </si>
  <si>
    <r>
      <t xml:space="preserve">เอกสาร </t>
    </r>
    <r>
      <rPr>
        <b/>
        <sz val="18"/>
        <color theme="0"/>
        <rFont val="TH SarabunPSK"/>
        <family val="2"/>
      </rPr>
      <t>10</t>
    </r>
  </si>
  <si>
    <t>สรุปการจัดสรรงบประมาณรายจ่ายเพิ่มเติม ประจำปีงบประมาณ พ.ศ. 2560 รายจังหวัด</t>
  </si>
  <si>
    <t>จังหวัด</t>
  </si>
  <si>
    <t>งบประมาณจัดสรร</t>
  </si>
  <si>
    <t>งบประจำ</t>
  </si>
  <si>
    <t xml:space="preserve"> - ก่อสร้างศูนย์จำหน่าย OTOP Outlet และศูนย์พัฒนาบรรจุภัณฑ์กลาง (รหัส 1500457030420001)</t>
  </si>
  <si>
    <t xml:space="preserve">                                                   1. งบดำเนินงาน</t>
  </si>
  <si>
    <t xml:space="preserve">                                                   2. งบลงทุน</t>
  </si>
  <si>
    <t xml:space="preserve">                                                   3. งบรายจ่ายอื่น</t>
  </si>
  <si>
    <t xml:space="preserve">        1.4 เชื่อมโยงผลิตภัณฑ์หัตถอุตสาหกรรมสู่ตลาดที่มีศักยภาพ ( รหัส 1500457033000000 )</t>
  </si>
  <si>
    <t xml:space="preserve">หมายเหตุ </t>
  </si>
  <si>
    <t>งบลงทุน จังหวัดเชียงใหม่ อยู่ระหว่างขอเปลี่ยนแปลง 3,180,000 บาท</t>
  </si>
  <si>
    <t xml:space="preserve">ข้อมูลสะสมผลการเบิกจ่ายตั้งแต่วันที่ 22 มีนาคม 2560   ถึงวันที่ 9 สิงหาคม  2560   </t>
  </si>
  <si>
    <t>เอกสาร 2</t>
  </si>
  <si>
    <t xml:space="preserve">     - จ้างที่ปรึกษา โครงการเศรษฐกิจชุมชนครบวงจร "บ้านเพชรเพลินดิน"  ( รหัส 1500457031700004 )</t>
  </si>
  <si>
    <t>L2419</t>
  </si>
  <si>
    <t>การสำรองเงิน</t>
  </si>
  <si>
    <t>เอกสารสำรองเงิน</t>
  </si>
  <si>
    <t>เพชร</t>
  </si>
  <si>
    <t>ประจวบ</t>
  </si>
  <si>
    <t>สมุทร</t>
  </si>
  <si>
    <t>ชม.</t>
  </si>
  <si>
    <t>แกม่</t>
  </si>
  <si>
    <t>ยังรวม</t>
  </si>
  <si>
    <t>รวมรายจังหวัด</t>
  </si>
  <si>
    <t>สำรองเงิน</t>
  </si>
  <si>
    <t>รายละเอียดเงินกันไว้เบิกเหลื่อมปีงบประมาณรายจ่ายเพิ่มเติม ประจำปีงบประมาณ พ.ศ. 2560  ภาคเหนือตอนบน 1 (เขต 10)</t>
  </si>
  <si>
    <t>ใบสั่งซื้อ/จ้าง</t>
  </si>
  <si>
    <t>สรุปเงินกันไว้เบิกเหลื่อมปีงบประมาณรายจ่ายเพิ่มเติม ประจำปีงบประมาณ พ.ศ. 2560 รายจังหวัด</t>
  </si>
  <si>
    <t>รายละเอียดการเงินกันไว้เบิกเหลื่อมปี งบประมาณรายจ่ายเพิ่มเติม ประจำปีงบประมาณ พ.ศ. 2560</t>
  </si>
  <si>
    <t>เอกสาร 5</t>
  </si>
  <si>
    <t>ข้อมูลสะสมตั้งแต่วันที่ 1 ตุลาคม 2560   ถึงวันที่ 14 พฤศจิกายน 2560</t>
  </si>
  <si>
    <t>บุคลากร</t>
  </si>
  <si>
    <t>ดำเนินงาน</t>
  </si>
  <si>
    <t>ลงทุน</t>
  </si>
  <si>
    <t>เบิกแทน</t>
  </si>
  <si>
    <t>แผน 1</t>
  </si>
  <si>
    <t>แผน 2</t>
  </si>
  <si>
    <t>แผน 3</t>
  </si>
  <si>
    <t>แผน 4</t>
  </si>
  <si>
    <t>รวมแผน</t>
  </si>
  <si>
    <t>เอกสาร ...</t>
  </si>
  <si>
    <t>รายละเอียดการเบิกจ่ายงบเพิ่มเติม รายการครุภัณฑ์สนับสนุนงาน OTOP นวัตวิถี   ประจำปีงบประมาณ พ.ศ.2561</t>
  </si>
  <si>
    <t>รายการค่าที่ดินและสิ่งก่อสร้าง</t>
  </si>
  <si>
    <t>ครุภัณฑ์สนับสนุนงาน OTOP นวัตวิถี</t>
  </si>
  <si>
    <t>วงเงินงบประมาณ</t>
  </si>
  <si>
    <t>รับโอน
งบดำเนินงาน
เป็นงบลงทุน</t>
  </si>
  <si>
    <t>โอนเปลี่ยนแปลง
เป็น
งบดำเนินงาน</t>
  </si>
  <si>
    <t>คงเหลือจัดสรร</t>
  </si>
  <si>
    <t>คืนส่วนกลาง</t>
  </si>
  <si>
    <t>ร้อยละ
(เบิกจ่าย)</t>
  </si>
  <si>
    <t>ใบสั่งซื้อ/จ้าง 
(PO)</t>
  </si>
  <si>
    <t>หน่วย
ดำเนินการ</t>
  </si>
  <si>
    <t xml:space="preserve">รับจัดสรร
</t>
  </si>
  <si>
    <t xml:space="preserve"> รวมทั้งสิ้น 97 รายการ</t>
  </si>
  <si>
    <t>รวมรายการก่อสร้าง   17    รายการ</t>
  </si>
  <si>
    <t>รายการที่ก่อหนี้ผูกพันและเบิกจ่ายแล้ว รวมทั้งสิ้น 93 รายการ</t>
  </si>
  <si>
    <t>สำนักงานพัฒนาชุมชนจังหวัดจันทบุรี ตำบลวัดใหม่ อำเภอเมืองจันทบุรี จังหวัดจันทบุรี</t>
  </si>
  <si>
    <t>1500441013410031</t>
  </si>
  <si>
    <t>สำนักงานพัฒนาชุมชนจังหวัดเชียงราย ตำบลริมกก อำเภอเมืองเชียงราย จังหวัดเชียงราย</t>
  </si>
  <si>
    <t>1500441013410063</t>
  </si>
  <si>
    <t>สำนักงานพัฒนาชุมชนจังหวัดสมุทรปราการ ตำบลปากน้ำ อำเภอเมืองสมุทรปราการ จังหวัดสมุทรปราการ</t>
  </si>
  <si>
    <t>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</si>
  <si>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สำนักงานพัฒนาชุมชนจังหวัดสมุทรสงคราม ตำบลแม่กลอง อำเภอเมืองสมุทรสงคราม จังหวัดสมุทรสงคราม</t>
  </si>
  <si>
    <t>สำนักงานพัฒนาชุมชนจังหวัดกาฬสินธุ์ ตำบลกาฬสินธุ์ อำเภอเมืองกาฬสินธุ์ จังหวัดกาฬสินธุ์</t>
  </si>
  <si>
    <t>สำนักงานพัฒนาชุมชนจังหวัดน่าน ตำบลในเวียง อำเภอเมืองน่าน จังหวัดน่าน</t>
  </si>
  <si>
    <t>สำนักงานพัฒนาชุมชนจังหวัดชลบุรี ตำบลบางปลาสร้อย อำเภอเมืองชลบุรี จังหวัดชลบุรี</t>
  </si>
  <si>
    <t>สำนักงานพัฒนาชุมชนจังหวัดนครนายก ตำบลท่าช้าง อำเภอเมืองนครนายก จังหวัดนครนายก</t>
  </si>
  <si>
    <t>สำนักงานพัฒนาชุมชนจังหวัดนครศรีธรรมราช ตำบลในเมือง อำเภอเมืองนครศรีธรรมราช จังหวัดนครศรีธรรมราช</t>
  </si>
  <si>
    <t>สำนักงานพัฒนาชุมชนจังหวัดปทุมธานี ตำบลบางปรอก อำเภอเมืองปทุมธานี จังหวัดปทุมธานี</t>
  </si>
  <si>
    <t>สำนักงานพัฒนาชุมชนจังหวัดแพร่ ตำบลในเวียง อำเภอเมืองแพร่ จังหวัดแพร่</t>
  </si>
  <si>
    <t>สำนักงานพัฒนาชุมชนจังหวัดมหาสารคาม ตำบลแวงน่าง อำเภอเมืองมหาสารคาม จังหวัดมหาสารคาม</t>
  </si>
  <si>
    <t>สำนักงานพัฒนาชุมชนจังหวัดยโสธร ตำบลในเมือง อำเภอเมืองยโสธร จังหวัดยโสธร</t>
  </si>
  <si>
    <t>สำนักงานพัฒนาชุมชนจังหวัดยะลา ตำบลสะเตง อำเภอเมืองยะลา จังหวัดยะลา</t>
  </si>
  <si>
    <t>สำนักงานพัฒนาชุมชนจังหวัดราชบุรี ตำบลหน้าเมือง อำเภอเมืองราชบุรี จังหวัดราชบุรี</t>
  </si>
  <si>
    <t>สำนักงานพัฒนาชุมชนจังหวัดอุตรดิตถ์ ตำบลท่าอิฐ อำเภอเมืองอุตรดิตถ์ จังหวัดอุตรดิตถ์</t>
  </si>
  <si>
    <t>สำนักงานพัฒนาชุมชนจังหวัดลำปาง ตำบลพระบาท อำเภอเมืองลำปาง จังหวัดลำปาง</t>
  </si>
  <si>
    <t>สำนักงานพัฒนาชุมชนจังหวัดนครพนม ตำบลในเมือง อำเภอเมืองนครพนม จังหวัดนครพนม</t>
  </si>
  <si>
    <t>สำนักงานพัฒนาชุมชนจังหวัดปัตตานี ตำบลสะบารัง อำเภอเมืองปัตตานี จังหวัดปัตตานี</t>
  </si>
  <si>
    <t>สำนักงานพัฒนาชุมชนจังหวัดตรัง ตำบลทับเที่ยง อำเภอเมืองตรัง จังหวัดตรัง</t>
  </si>
  <si>
    <t>สำนักงานพัฒนาชุมชนจังหวัดพะเยา ตำบลบ้านต๋อม อำเภอเมืองพะเยา จังหวัดพะเยา</t>
  </si>
  <si>
    <t>สำนักงานพัฒนาชุมชนจังหวัดเพชรบูรณ์ ตำบลในเมือง อำเภอเมืองเพชรบูรณ์ จังหวัดเพชรบูรณ์</t>
  </si>
  <si>
    <t>สำนักงานพัฒนาชุมชนจังหวัดหนองคาย ตำบลมีชัย อำเภอเมืองหนองคาย จังหวัดหนองคาย</t>
  </si>
  <si>
    <t>สำนักงานพัฒนาชุมชนจังหวัดนครปฐม ตำบลถนนขาด อำเภอเมืองนครปฐม จังหวัดนครปฐม</t>
  </si>
  <si>
    <t>สำนักงานพัฒนาชุมชนจังหวัดเพชรบุรี ตำบลคลองกระแชง อำเภอเมืองเพชรบุรี จังหวัดเพชรบุรี</t>
  </si>
  <si>
    <t>สำนักงานพัฒนาชุมชนจังหวัดเชียงใหม่ ตำบลช้างเผือก อำเภอเมืองเชียงใหม่ จังหวัดเชียงใหม่</t>
  </si>
  <si>
    <t>สำนักงานพัฒนาชุมชนจังหวัดนนทบุรี ตำบลบางกระสอ อำเภอเมืองนนทบุรี จังหวัดนนทบุรี</t>
  </si>
  <si>
    <t>สำนักงานพัฒนาชุมชนจังหวัดสตูล ตำบลพิมาน อำเภอเมืองสตูล จังหวัดสตูล</t>
  </si>
  <si>
    <t>สำนักงานพัฒนาชุมชนจังหวัดกาญจนบุรี ตำบลปากแพรก อำเภอเมืองกาญจนบุรี จังหวัดกาญจนบุรี</t>
  </si>
  <si>
    <t>สำนักงานพัฒนาชุมชนจังหวัดตราด ตำบลวังกระแจะ อำเภอเมืองตราด จังหวัดตราด</t>
  </si>
  <si>
    <t>สำนักงานพัฒนาชุมชนจังหวัดระนอง ตำบลเขานิเวศน์ อำเภอเมืองระนอง จังหวัดระนอง</t>
  </si>
  <si>
    <t>สำนักงานพัฒนาชุมชนจังหวัดสุรินทร์ ตำบลในเมือง อำเภอเมืองสุรินทร์ จังหวัดสุรินทร์</t>
  </si>
  <si>
    <t>สำนักงานพัฒนาชุมชนจังหวัดอุทัยธานี ตำบลอุทัยใหม่ อำเภอเมืองอุทัยธานี จังหวัดอุทัยธานี</t>
  </si>
  <si>
    <t>สำนักงานพัฒนาชุมชนจังหวัดกระบี่ ตำบลปากน้ำ อำเภอเมืองกระบี่ จังหวัดกระบี่</t>
  </si>
  <si>
    <t>สำนักงานพัฒนาชุมชนจังหวัดสุพรรณบุรี ตำบลสนามชัย อำเภอเมืองสุพรรณบุรี จังหวัดสุพรรณบุรี</t>
  </si>
  <si>
    <t>สำนักงานพัฒนาชุมชนจังหวัดพังงา ตำบลท้ายช้าง อำเภอเมืองพังงา จังหวัดพังงา</t>
  </si>
  <si>
    <t>สำนักงานพัฒนาชุมชนจังหวัดกำแพงเพชร ตำบลหนองปลิง อำเภอเมืองกำแพงเพชร จังหวัดกำแพงเพชร</t>
  </si>
  <si>
    <t>สำนักงานพัฒนาชุมชนจังหวัดขอนแก่น ตำบลในเมือง อำเภอเมืองขอนแก่น จังหวัดขอนแก่น</t>
  </si>
  <si>
    <t>สำนักงานพัฒนาชุมชนจังหวัดนราธิวาส ตำบลบางนาค อำเภอเมืองนราธิวาส จังหวัดนราธิวาส</t>
  </si>
  <si>
    <t>สำนักงานพัฒนาชุมชนจังหวัดสระบุรี ตำบลปากเพรียว อำเภอเมืองสระบุรี จังหวัดสระบุรี</t>
  </si>
  <si>
    <t>กรมการพัฒนาชุมชน แขวงทุ่งสองห้อง เขตหลักสี่ กรุงเทพมหานคร</t>
  </si>
  <si>
    <t>สำนักงานพัฒนาชุมชนจังหวัดประจวบคีรีขันธ์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</si>
  <si>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สำนักงานพัฒนาชุมชนจังหวัดภูเก็ต ตำบลตลาดใหญ่ อำเภอเมืองภูเก็ต จังหวัดภูเก็ต</t>
  </si>
  <si>
    <t>สำนักงานพัฒนาชุมชนจังหวัดแม่ฮ่องสอน ตำบลจองคำ อำเภอเมืองแม่ฮ่องสอน จังหวัดแม่ฮ่องสอน</t>
  </si>
  <si>
    <t>1500441013420006</t>
  </si>
  <si>
    <t>1500441013410002</t>
  </si>
  <si>
    <t>1500441013410004</t>
  </si>
  <si>
    <t>1500441013410003</t>
  </si>
  <si>
    <t>1500441013410001</t>
  </si>
  <si>
    <t>1500441013420005</t>
  </si>
  <si>
    <t>1500441013420001</t>
  </si>
  <si>
    <t>1500441013420003</t>
  </si>
  <si>
    <t>1500441013420004</t>
  </si>
  <si>
    <t>1500441013410043</t>
  </si>
  <si>
    <t>1500441013420002</t>
  </si>
  <si>
    <t>1500465078110001</t>
  </si>
  <si>
    <t>1500465078110002</t>
  </si>
  <si>
    <t>1500465078110003</t>
  </si>
  <si>
    <t>1500465078110004</t>
  </si>
  <si>
    <t>1500465078110005</t>
  </si>
  <si>
    <t>1500465078110006</t>
  </si>
  <si>
    <t>1500465078110007</t>
  </si>
  <si>
    <t>1500465078110008</t>
  </si>
  <si>
    <t>1500465078110009</t>
  </si>
  <si>
    <t>1500465078110010</t>
  </si>
  <si>
    <t>1500465078110011</t>
  </si>
  <si>
    <t>1500465078110012</t>
  </si>
  <si>
    <t>1500465078110013</t>
  </si>
  <si>
    <t>1500465078110014</t>
  </si>
  <si>
    <t>1500465078110015</t>
  </si>
  <si>
    <t>1500465078110016</t>
  </si>
  <si>
    <t>1500465078110017</t>
  </si>
  <si>
    <t>1500465078110018</t>
  </si>
  <si>
    <t>1500465078110019</t>
  </si>
  <si>
    <t>1500465078110020</t>
  </si>
  <si>
    <t>1500465078110021</t>
  </si>
  <si>
    <t>1500465078110022</t>
  </si>
  <si>
    <t>1500465078110023</t>
  </si>
  <si>
    <t>1500465078110024</t>
  </si>
  <si>
    <t>1500465078110025</t>
  </si>
  <si>
    <t>1500465078110026</t>
  </si>
  <si>
    <t>1500465078110027</t>
  </si>
  <si>
    <t>1500465078110028</t>
  </si>
  <si>
    <t>1500465078110029</t>
  </si>
  <si>
    <t>1500465078110030</t>
  </si>
  <si>
    <t>1500465078110031</t>
  </si>
  <si>
    <t>1500465078110032</t>
  </si>
  <si>
    <t>1500465078110033</t>
  </si>
  <si>
    <t>1500465078110034</t>
  </si>
  <si>
    <t>1500465078110035</t>
  </si>
  <si>
    <t>1500465078110036</t>
  </si>
  <si>
    <t>1500465078110037</t>
  </si>
  <si>
    <t>1500465078110038</t>
  </si>
  <si>
    <t>1500465078110039</t>
  </si>
  <si>
    <t>1500465078110040</t>
  </si>
  <si>
    <t>1500465078110041</t>
  </si>
  <si>
    <t>1500465078110042</t>
  </si>
  <si>
    <t>1500465078110043</t>
  </si>
  <si>
    <t>1500465078110044</t>
  </si>
  <si>
    <t>1500465078110045</t>
  </si>
  <si>
    <t xml:space="preserve">ข้อมูลสะสมตั้งแต่วันที่                     ถึงวันที่ 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</si>
  <si>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</si>
  <si>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</si>
  <si>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</si>
  <si>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</si>
  <si>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</si>
  <si>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</si>
  <si>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</si>
  <si>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</si>
  <si>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</si>
  <si>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</si>
  <si>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</si>
  <si>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</si>
  <si>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</si>
  <si>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</si>
  <si>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</si>
  <si>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</si>
  <si>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</si>
  <si>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</si>
  <si>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</si>
  <si>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</si>
  <si>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</si>
  <si>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</si>
  <si>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</si>
  <si>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</si>
  <si>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</si>
  <si>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</si>
  <si>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</si>
  <si>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</si>
  <si>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</si>
  <si>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</si>
  <si>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</si>
  <si>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</si>
  <si>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</si>
  <si>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</si>
  <si>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</si>
  <si>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</si>
  <si>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</si>
  <si>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</si>
  <si>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</si>
  <si>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</si>
  <si>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</si>
  <si>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</si>
  <si>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</si>
  <si>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</si>
  <si>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</si>
  <si>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</si>
  <si>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</si>
  <si>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รายงานสถานะการใช้จ่ายงบประมาณ ระดับหน่วยรับงบประมาณ                                                  หน้าที่</t>
  </si>
  <si>
    <t>รายงานสถานะการใช้จ่ายงบประมาณ</t>
  </si>
  <si>
    <t>*** รวมงบประมาณ</t>
  </si>
  <si>
    <t>**  1500400000  พช.</t>
  </si>
  <si>
    <t>*   1500465078110001  ครุภัณฑ์</t>
  </si>
  <si>
    <t xml:space="preserve">    6111310  ครุภัณฑ์ /งบสรก.</t>
  </si>
  <si>
    <t>*   1500465078110002  ครุภัณฑ์</t>
  </si>
  <si>
    <t>*   1500465078110003  ครุภัณฑ์</t>
  </si>
  <si>
    <t>*   1500465078110004  ครุภัณฑ์</t>
  </si>
  <si>
    <t>*   1500465078110005  ครุภัณฑ์</t>
  </si>
  <si>
    <t>*   1500465078110006  ครุภัณฑ์</t>
  </si>
  <si>
    <t>*   1500465078110007  ครุภัณฑ์</t>
  </si>
  <si>
    <t>*   1500465078110008  ครุภัณฑ์</t>
  </si>
  <si>
    <t>*   1500465078110009  ครุภัณฑ์</t>
  </si>
  <si>
    <t>*   1500465078110010  ครุภัณฑ์</t>
  </si>
  <si>
    <t>*   1500465078110011  ครุภัณฑ์</t>
  </si>
  <si>
    <t>*   1500465078110012  ครุภัณฑ์</t>
  </si>
  <si>
    <t>*   1500465078110013  ครุภัณฑ์</t>
  </si>
  <si>
    <t>*   1500465078110014  ครุภัณฑ์</t>
  </si>
  <si>
    <t>*   1500465078110015  ครุภัณฑ์</t>
  </si>
  <si>
    <t>*   1500465078110016  ครุภัณฑ์</t>
  </si>
  <si>
    <t>*   1500465078110017  ครุภัณฑ์</t>
  </si>
  <si>
    <t>*   1500465078110018  ครุภัณฑ์</t>
  </si>
  <si>
    <t>*   1500465078110019  ครุภัณฑ์</t>
  </si>
  <si>
    <t>*   1500465078110020  ครุภัณฑ์</t>
  </si>
  <si>
    <t>*   1500465078110021  ครุภัณฑ์</t>
  </si>
  <si>
    <t>*   1500465078110022  ครุภัณฑ์</t>
  </si>
  <si>
    <t>*   1500465078110023  ครุภัณฑ์</t>
  </si>
  <si>
    <t>*   1500465078110024  ครุภัณฑ์</t>
  </si>
  <si>
    <t>*   1500465078110025  ครุภัณฑ์</t>
  </si>
  <si>
    <t>*   1500465078110026  ครุภัณฑ์</t>
  </si>
  <si>
    <t>*   1500465078110027  ครุภัณฑ์</t>
  </si>
  <si>
    <t>*   1500465078110028  ครุภัณฑ์</t>
  </si>
  <si>
    <t>*   1500465078110029  ครุภัณฑ์</t>
  </si>
  <si>
    <t>*   1500465078110030  ครุภัณฑ์</t>
  </si>
  <si>
    <t>*   1500465078110031  ครุภัณฑ์</t>
  </si>
  <si>
    <t>*   1500465078110032  ครุภัณฑ์</t>
  </si>
  <si>
    <t>*   1500465078110033  ครุภัณฑ์</t>
  </si>
  <si>
    <t>*   1500465078110034  ครุภัณฑ์</t>
  </si>
  <si>
    <t>*   1500465078110035  ครุภัณฑ์</t>
  </si>
  <si>
    <t>*   1500465078110036  ครุภัณฑ์</t>
  </si>
  <si>
    <t>*   1500465078110037  ครุภัณฑ์</t>
  </si>
  <si>
    <t>*   1500465078110038  ครุภัณฑ์</t>
  </si>
  <si>
    <t>*   1500465078110039  ครุภัณฑ์</t>
  </si>
  <si>
    <t>*   1500465078110040  ครุภัณฑ์</t>
  </si>
  <si>
    <t>*   1500465078110041  ครุภัณฑ์</t>
  </si>
  <si>
    <t>*   1500465078110042  ครุภัณฑ์</t>
  </si>
  <si>
    <t>*   1500465078110043  ครุภัณฑ์</t>
  </si>
  <si>
    <t>*   1500465078110044  ครุภัณฑ์</t>
  </si>
  <si>
    <t>*   1500465078110045  ครุภัณฑ์</t>
  </si>
  <si>
    <t>**  1500400010  สภว.</t>
  </si>
  <si>
    <t>**  1500400024  สพจ. สมุทรปราก</t>
  </si>
  <si>
    <t>**  1500400025  สพจ. นนทบุรี</t>
  </si>
  <si>
    <t>**  1500400026  สพจ. ปทุมธานี</t>
  </si>
  <si>
    <t>**  1500400032  สพจ. สระบุรี</t>
  </si>
  <si>
    <t>**  1500400033  สพจ. ชลบุรี</t>
  </si>
  <si>
    <t>**  1500400035  สพจ. จันทบุรี</t>
  </si>
  <si>
    <t>**  1500400036  สพจ. ตราด</t>
  </si>
  <si>
    <t>**  1500400039  สพจ. นครนายก</t>
  </si>
  <si>
    <t>**  1500400043  สพจ. สุรินทร์</t>
  </si>
  <si>
    <t>**  1500400045  สพจ. อุบลราชธา</t>
  </si>
  <si>
    <t>**  1500400046  สพจ. ยโสธร</t>
  </si>
  <si>
    <t>**  1500400050  สพจ. ขอนแก่น</t>
  </si>
  <si>
    <t>**  1500400053  สพจ. หนองคาย</t>
  </si>
  <si>
    <t>**  1500400054  สพจ. มหาสารคาม</t>
  </si>
  <si>
    <t>**  1500400056  สพจ. กาฬสินธุ์</t>
  </si>
  <si>
    <t>**  1500400058  สพจ. นครพนม</t>
  </si>
  <si>
    <t>**  1500400060  สพจ. เชียงใหม่</t>
  </si>
  <si>
    <t>**  1500400062  สพจ. ลำปาง</t>
  </si>
  <si>
    <t>**  1500400063  สพจ. อุตรดิตถ์</t>
  </si>
  <si>
    <t>**  1500400064  สพจ. แพร่</t>
  </si>
  <si>
    <t>**  1500400065  สพจ. น่าน</t>
  </si>
  <si>
    <t>**  1500400066  สพจ. พะเยา</t>
  </si>
  <si>
    <t>**  1500400067  สพจ. เชียงราย</t>
  </si>
  <si>
    <t>**  1500400068  สพจ. แม่ฮ่องสอ</t>
  </si>
  <si>
    <t>**  1500400070  สพจ. อุทัยธานี</t>
  </si>
  <si>
    <t>**  1500400071  สพจ. กำแพงเพชร</t>
  </si>
  <si>
    <t>**  1500400076  สพจ. เพชรบูรณ์</t>
  </si>
  <si>
    <t>**  1500400077  สพจ. ราชบุรี</t>
  </si>
  <si>
    <t>**  1500400078  สพจ. กาญจนบุรี</t>
  </si>
  <si>
    <t>**  1500400079  สพจ. สุพรรณบุร</t>
  </si>
  <si>
    <t>**  1500400080  สพจ. นครปฐม</t>
  </si>
  <si>
    <t>**  1500400082  สพจ. สมุทรสงคร</t>
  </si>
  <si>
    <t>**  1500400083  สพจ. เพชรบุรี</t>
  </si>
  <si>
    <t>**  1500400084  สพจ. ประจวบคีร</t>
  </si>
  <si>
    <t>**  1500400085  สพจ. นครศรีธรร</t>
  </si>
  <si>
    <t>**  1500400086  สพจ. กระบี่</t>
  </si>
  <si>
    <t>**  1500400087  สพจ. พังงา</t>
  </si>
  <si>
    <t>**  1500400088  สพจ. ภูเก็ต</t>
  </si>
  <si>
    <t>**  1500400090  สพจ. ระนอง</t>
  </si>
  <si>
    <t>**  1500400093  สพจ. สตูล</t>
  </si>
  <si>
    <t>**  1500400094  สพจ. ตรัง</t>
  </si>
  <si>
    <t>**  1500400096  สพจ. ปัตตานี</t>
  </si>
  <si>
    <t>**  1500400097  สพจ. ยะลา</t>
  </si>
  <si>
    <t>**  1500400098  สพจ. นราธิวาส</t>
  </si>
  <si>
    <t>*   1500465078000000  รายการงบ</t>
  </si>
  <si>
    <t xml:space="preserve">    6111200  งบดำเนินงาน/งบสรก</t>
  </si>
  <si>
    <t>**  1500400006  ศสพ.</t>
  </si>
  <si>
    <t>**  1500400007  กองแผนงาน</t>
  </si>
  <si>
    <t>**  1500400009  สพช.</t>
  </si>
  <si>
    <t xml:space="preserve">    6111220  ค่าใช้สอย /งบสรก.</t>
  </si>
  <si>
    <t>**  1500400011  สสช.</t>
  </si>
  <si>
    <t>**  1500400027  สพจ. พระนครศรี</t>
  </si>
  <si>
    <t>**  1500400028  สพจ. อ่างทอง</t>
  </si>
  <si>
    <t>**  1500400029  สพจ. ลพบุรี</t>
  </si>
  <si>
    <t>**  1500400030  สพจ. สิงห์บุรี</t>
  </si>
  <si>
    <t>**  1500400031  สพจ. ชัยนาท</t>
  </si>
  <si>
    <t>**  1500400034  สพจ. ระยอง</t>
  </si>
  <si>
    <t>**  1500400037  สพจ. ฉะเชิงเทร</t>
  </si>
  <si>
    <t xml:space="preserve">    6111210  ค่าตอบแทน /งบสรก.</t>
  </si>
  <si>
    <t>**  1500400038  สพจ. ปราจีนบุร</t>
  </si>
  <si>
    <t>**  1500400040  สพจ. สระแก้ว</t>
  </si>
  <si>
    <t>**  1500400041  สพจ. นครราชสีม</t>
  </si>
  <si>
    <t>**  1500400042  สพจ. บุรีรัมย์</t>
  </si>
  <si>
    <t>**  1500400044  สพจ. ศรีสะเกษ</t>
  </si>
  <si>
    <t>**  1500400047  สพจ. ชัยภูมิ</t>
  </si>
  <si>
    <t>**  1500400048  สพจ. อำนาจเจริ</t>
  </si>
  <si>
    <t>**  1500400049  สพจ. หนองบัวลำ</t>
  </si>
  <si>
    <t>**  1500400051  สพจ. อุดรธานี</t>
  </si>
  <si>
    <t>**  1500400052  สพจ. เลย</t>
  </si>
  <si>
    <t>**  1500400055  สพจ. ร้อยเอ็ด</t>
  </si>
  <si>
    <t>**  1500400057  สพจ. สกลนคร</t>
  </si>
  <si>
    <t>**  1500400059  สพจ. มุกดาหาร</t>
  </si>
  <si>
    <t>**  1500400061  สพจ. ลำพูน</t>
  </si>
  <si>
    <t>**  1500400069  สพจ. นครสวรรค์</t>
  </si>
  <si>
    <t>**  1500400072  สพจ. ตาก</t>
  </si>
  <si>
    <t>**  1500400073  สพจ. สุโขทัย</t>
  </si>
  <si>
    <t>**  1500400074  สพจ. พิษณุโลก</t>
  </si>
  <si>
    <t>**  1500400075  สพจ. พิจิตร</t>
  </si>
  <si>
    <t>**  1500400081  สพจ. สมุทรสาคร</t>
  </si>
  <si>
    <t>**  1500400089  สพจ. สุราษฏร์ธ</t>
  </si>
  <si>
    <t>**  1500400091  สพจ. ชุมพร</t>
  </si>
  <si>
    <t>**  1500400092  สพจ. สงขลา</t>
  </si>
  <si>
    <t>**  1500400095  สพจ. พัทลุง</t>
  </si>
  <si>
    <t>**  1500400111  สทอ.</t>
  </si>
  <si>
    <t>**  1500400124  สพจ.บก.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</si>
  <si>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</si>
  <si>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</si>
  <si>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</si>
  <si>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</si>
  <si>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</si>
  <si>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</si>
  <si>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</si>
  <si>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</si>
  <si>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</si>
  <si>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</si>
  <si>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</si>
  <si>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</si>
  <si>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 xml:space="preserve">    6111230  ค่าวัสดุ /งบสรก.</t>
  </si>
  <si>
    <t>**  1500400113  ศสบ.</t>
  </si>
  <si>
    <t>**  1500400114  ศนย.</t>
  </si>
  <si>
    <t>**  1500400115  ศชบ.</t>
  </si>
  <si>
    <t>**  1500400116  ศนม.</t>
  </si>
  <si>
    <t>**  1500400117  ศอบ.</t>
  </si>
  <si>
    <t>**  1500400118  ศอด.</t>
  </si>
  <si>
    <t>**  1500400119  ศลป.</t>
  </si>
  <si>
    <t>**  1500400120  ศพล.</t>
  </si>
  <si>
    <t>**  1500400121  ศพบ.</t>
  </si>
  <si>
    <t>**  1500400122  ศนศ.</t>
  </si>
  <si>
    <t>**  1500400123  ศยล.</t>
  </si>
  <si>
    <t>*   1500465078700001  จ้างที่ป</t>
  </si>
  <si>
    <t xml:space="preserve">    6111500  งบรายจ่ายอื่น/งบส</t>
  </si>
  <si>
    <t xml:space="preserve">    6111240  ค่าสาธารณูปโภค /ง</t>
  </si>
  <si>
    <t>สำนักตรวจราชการ</t>
  </si>
  <si>
    <t>**  1500400112  สตร.</t>
  </si>
  <si>
    <t>**  1500400004  กองคลัง</t>
  </si>
  <si>
    <t>ใบสั่งซื้อ/จ้าง (PO)</t>
  </si>
  <si>
    <t>*   1500465078110048  ครุภัณฑ์</t>
  </si>
  <si>
    <t>*   1500465078110049  ครุภัณฑ์</t>
  </si>
  <si>
    <t>*   1500465078110046  ครุภัณฑ์</t>
  </si>
  <si>
    <t>*   1500465078110047  ครุภัณฑ์</t>
  </si>
  <si>
    <t>*   1500465078110051  ครุภัณฑ์</t>
  </si>
  <si>
    <t>*   1500465078110050  ครุภัณฑ์</t>
  </si>
  <si>
    <t>*   1500465078110052  ป้ายชื่อ</t>
  </si>
  <si>
    <t>*   1500465078110053  ป้ายสถาน</t>
  </si>
  <si>
    <t>*   1500465078110054  ป้ายบอกแ</t>
  </si>
  <si>
    <t>*   1500465078110055  ป้ายเส้น</t>
  </si>
  <si>
    <t>*   1500465078110056  ครุภัณฑ์</t>
  </si>
  <si>
    <t>*   1500465078110057  ครุภัณฑ์</t>
  </si>
  <si>
    <t>*   1500465078110058  ครุภัณฑ์</t>
  </si>
  <si>
    <t>กันเงิน/เบิกแทน</t>
  </si>
  <si>
    <t>ใบสั่งซื้อ/สัญญ</t>
  </si>
  <si>
    <t xml:space="preserve"> เบิกจ่ายสะสม</t>
  </si>
  <si>
    <t xml:space="preserve">   งบคงเหลือ</t>
  </si>
  <si>
    <t>*   1500465078110059  ครุภัณฑ์</t>
  </si>
  <si>
    <t xml:space="preserve">   งบหน่วยงบฯ สุทธิ</t>
  </si>
  <si>
    <t>*   1500465078110060  ครุภัณฑ์</t>
  </si>
  <si>
    <t>*   1500465078110061  ครุภัณฑ์</t>
  </si>
  <si>
    <t>*   1500465078110063  สร้าง Ap</t>
  </si>
  <si>
    <t>*   1500465078110062  ป้ายข้อม</t>
  </si>
  <si>
    <t>*   1500465078110064  ครุภัณฑ์</t>
  </si>
  <si>
    <t>*   1500465078110065  ครุภัณฑ์</t>
  </si>
  <si>
    <t>*   1500465078110066  ครุภัณฑ์</t>
  </si>
  <si>
    <t>29.09.2018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</si>
  <si>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</si>
  <si>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</si>
  <si>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</si>
  <si>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</si>
  <si>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</si>
  <si>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</si>
  <si>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</si>
  <si>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</si>
  <si>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</si>
  <si>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</si>
  <si>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</si>
  <si>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</si>
  <si>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</si>
  <si>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</si>
  <si>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</si>
  <si>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</si>
  <si>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</si>
  <si>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</si>
  <si>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</si>
  <si>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</si>
  <si>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</si>
  <si>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</si>
  <si>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</si>
  <si>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</si>
  <si>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</si>
  <si>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</si>
  <si>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ผลการเบิกจ่ายตามตัวชี้วัดฯ ไตรมาส 1 - 2</t>
  </si>
  <si>
    <t>คงเหลืองบประมาณ
เพื่อคำนวนผลเบิกจ่าย
ตามตัวชี้วัด</t>
  </si>
  <si>
    <t>คงเหลืองบประมาณ
ตามตัวชี้วัดฯ</t>
  </si>
  <si>
    <t>1500400002</t>
  </si>
  <si>
    <t>กลุ่มตรวจสอบภายใน</t>
  </si>
  <si>
    <t>1500400004</t>
  </si>
  <si>
    <t>กองคลัง</t>
  </si>
  <si>
    <t>1500400003</t>
  </si>
  <si>
    <t>สำนักงานเลขานุการกรม</t>
  </si>
  <si>
    <t>1500400009</t>
  </si>
  <si>
    <t>สถาบันการพัฒนาชุมชน (รวมศูนย์ศึกษา 11 ศูนย์)</t>
  </si>
  <si>
    <t>1500400005</t>
  </si>
  <si>
    <t>กองประชาสัมพันธ์</t>
  </si>
  <si>
    <t>กลุ่มงานคุ้มครองจริยธรรมข้าราชการ</t>
  </si>
  <si>
    <t>1500400006</t>
  </si>
  <si>
    <t>ศูนย์สารสนเทศเพื่อการพัฒนาชุมชน</t>
  </si>
  <si>
    <t>1500400001</t>
  </si>
  <si>
    <t>กลุ่มพัฒนาระบบบริหาร</t>
  </si>
  <si>
    <t>1500400111</t>
  </si>
  <si>
    <t>สำนักพัฒนาทุนและองค์กรการเงินชุมชน</t>
  </si>
  <si>
    <t>1500400112</t>
  </si>
  <si>
    <t>1500400010</t>
  </si>
  <si>
    <t>สำนักส่งเสริมภูมิปัญญาท้องถิ่นและวิสาหกิจชุมชน</t>
  </si>
  <si>
    <t>1500400007</t>
  </si>
  <si>
    <t>กองแผนงาน</t>
  </si>
  <si>
    <t>1500400011</t>
  </si>
  <si>
    <t>สำนักเสริมสร้างความเข้มแข็งชุมชน</t>
  </si>
  <si>
    <t>1500400008</t>
  </si>
  <si>
    <t>กองการเจ้าหน้าที่</t>
  </si>
  <si>
    <t>ศูนย์ศึกษาและพัฒนาชุมชน</t>
  </si>
  <si>
    <t>รับจัดสรร</t>
  </si>
  <si>
    <t xml:space="preserve">ศพช.อุดรธานี   </t>
  </si>
  <si>
    <t xml:space="preserve">ศพช.เพชรบุรี  </t>
  </si>
  <si>
    <t xml:space="preserve">ศพช.อุบลราชธานี  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</si>
  <si>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</si>
  <si>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</si>
  <si>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</si>
  <si>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</si>
  <si>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</si>
  <si>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เอกสาร 9</t>
  </si>
  <si>
    <t>ระดับจังหวัด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</si>
  <si>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</si>
  <si>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</si>
  <si>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</si>
  <si>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</si>
  <si>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</si>
  <si>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</si>
  <si>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</si>
  <si>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</si>
  <si>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</si>
  <si>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</si>
  <si>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</si>
  <si>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</si>
  <si>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>อันดับ</t>
  </si>
  <si>
    <t>เพิ่มขึ้น/
(ลดลง)
(ร้อยละ)</t>
  </si>
  <si>
    <t>ผลการใช้จ่าย 
(ผลการเบิกจ่าย + PO)
ณ วันที่ 23 พ.ค. 62</t>
  </si>
  <si>
    <t xml:space="preserve">ผลการใช้จ่ายงบประมาณ </t>
  </si>
  <si>
    <t>สทอ.</t>
  </si>
  <si>
    <t>เงินกันไว้เบิกเหลื่อมปี
(CX)</t>
  </si>
  <si>
    <t>สก.</t>
  </si>
  <si>
    <t>ศสท.</t>
  </si>
  <si>
    <t>กองนิติการ</t>
  </si>
  <si>
    <t>ผลการใช้จ่าย 
(ผลการเบิกจ่าย + PO)</t>
  </si>
  <si>
    <t>เขตตรวจ
ราชการ</t>
  </si>
  <si>
    <t>ผู้ตรวจ</t>
  </si>
  <si>
    <t>2</t>
  </si>
  <si>
    <t>นางวิไลวรรณ  ไกรโสดา</t>
  </si>
  <si>
    <t>1</t>
  </si>
  <si>
    <t>นายสินชัย ถนอมสิน</t>
  </si>
  <si>
    <t>4</t>
  </si>
  <si>
    <t>นางปราณี  รัตนประยูร</t>
  </si>
  <si>
    <t>นายอาจณรงค์ สัตยพานิช</t>
  </si>
  <si>
    <t>5</t>
  </si>
  <si>
    <t>6</t>
  </si>
  <si>
    <t>8</t>
  </si>
  <si>
    <t>7</t>
  </si>
  <si>
    <t>9</t>
  </si>
  <si>
    <t>3</t>
  </si>
  <si>
    <t>นางสาวอรษา  โพธิ์ทอง</t>
  </si>
  <si>
    <t>10</t>
  </si>
  <si>
    <t>11</t>
  </si>
  <si>
    <t>นายก่อพงษ์  โกมลรัตน์</t>
  </si>
  <si>
    <t>12</t>
  </si>
  <si>
    <t>14</t>
  </si>
  <si>
    <t>13</t>
  </si>
  <si>
    <t>15</t>
  </si>
  <si>
    <t>16</t>
  </si>
  <si>
    <t>17</t>
  </si>
  <si>
    <t>18</t>
  </si>
  <si>
    <t>โอนเปลี่ยนแปลง
ระหว่างปี</t>
  </si>
  <si>
    <t>งบประมาณถือจ่าย
หลังโอนเปลี่ยนแปลง</t>
  </si>
  <si>
    <t>ส่วนกลาง (ค่าใช้จ่ายในการบริหาร+กิจกรรมตามยุทธศาสตร์)</t>
  </si>
  <si>
    <t>โครงการ</t>
  </si>
  <si>
    <t>โอนเปลี่ยนแปลง
เป็นงบดำเนินงาน</t>
  </si>
  <si>
    <t>สิ่งก่อสร้าง</t>
  </si>
  <si>
    <t>ครุภัณฑ์</t>
  </si>
  <si>
    <t>กค.</t>
  </si>
  <si>
    <t>ศพช.อุบลราชธานี</t>
  </si>
  <si>
    <t>สพจ.อ่างทอง</t>
  </si>
  <si>
    <t>สพจ.เชียงใหม่</t>
  </si>
  <si>
    <t>สพจ.แพร่</t>
  </si>
  <si>
    <t>สพจ.ชัยนาท</t>
  </si>
  <si>
    <t>สพจ.ชุมพร</t>
  </si>
  <si>
    <t>สพจ.ตาก</t>
  </si>
  <si>
    <t>สพจ.นครพนม</t>
  </si>
  <si>
    <t>สพจ.น่าน</t>
  </si>
  <si>
    <t>สพจ.บึงกาฬ</t>
  </si>
  <si>
    <t>สพจ.พังงา</t>
  </si>
  <si>
    <t>สพจ.ยโสธร</t>
  </si>
  <si>
    <t>สพจ.สกลนคร</t>
  </si>
  <si>
    <t>สพจ.สตูล</t>
  </si>
  <si>
    <t>สพจ.สุโขทัย</t>
  </si>
  <si>
    <t>สพจ.อำนาจเจริญ</t>
  </si>
  <si>
    <t>สพจ.หนองบัวลำภู</t>
  </si>
  <si>
    <t>สพจ.ชลบุรี</t>
  </si>
  <si>
    <t>จำนวน</t>
  </si>
  <si>
    <t>โอนเปลี่ยนแปลง/
เงินเหลือจ่าย</t>
  </si>
  <si>
    <t>เบิกครุภัณ</t>
  </si>
  <si>
    <t>เบิก ก่อสร้าง</t>
  </si>
  <si>
    <t>ใบสั่งซื้อ/จ้าง P/Oครุภัณ</t>
  </si>
  <si>
    <t>ใบสั่งซื้อ/จ้าง P/O ก่อสร้าง</t>
  </si>
  <si>
    <t>รวมยอด PO</t>
  </si>
  <si>
    <t>รับคืนส่วนกลาง</t>
  </si>
  <si>
    <t>งบประมาณตาม พรบ.</t>
  </si>
  <si>
    <t>สพจ.สิงห์บุรี</t>
  </si>
  <si>
    <t>สพจ.สมุทรปราการ</t>
  </si>
  <si>
    <t>สพจ.ปทุมธานี</t>
  </si>
  <si>
    <t>สพจ.นครนายก</t>
  </si>
  <si>
    <t>สพจ.ศรีสะเกษ</t>
  </si>
  <si>
    <t>สพจ.ชัยภูมิ</t>
  </si>
  <si>
    <t>สพจ.อุดรธานี</t>
  </si>
  <si>
    <t>สพจ.เชียงราย</t>
  </si>
  <si>
    <t>สพจ.นครสวรรค์</t>
  </si>
  <si>
    <t>สพจ.พิจิตร</t>
  </si>
  <si>
    <t>สพจ.ราชบุรี</t>
  </si>
  <si>
    <t>สพจ.ตรัง</t>
  </si>
  <si>
    <t>สพจ.ประจวบคีรีขันธ์</t>
  </si>
  <si>
    <t>สพจ.ระนอง</t>
  </si>
  <si>
    <t>สพจ.ปัตตานี</t>
  </si>
  <si>
    <t>ItemAdd</t>
  </si>
  <si>
    <t>สพจ.กระบี่</t>
  </si>
  <si>
    <t>สพจ.สงขลา</t>
  </si>
  <si>
    <t>เอกสาร 8</t>
  </si>
  <si>
    <t xml:space="preserve">งบประมาณ
ทั้งสิ้น
</t>
  </si>
  <si>
    <t>ผลการใช้จ่าย 
(ผลการเบิกจ่าย+ PO)
ณ วันที่ 27 พ.ค. 62</t>
  </si>
  <si>
    <t>หักค่าจ้างฯ 
(ไตรมาส 3 -4)</t>
  </si>
  <si>
    <t>หักค่าจ้างเอกชนฯ
ไตรมาส 3-4</t>
  </si>
  <si>
    <t>สพจ.มุกดาหาร</t>
  </si>
  <si>
    <t>ยอดจัดสรรเพื่อคำนวนหลังหักค่าจ้างเอกชนดำเนินงาน</t>
  </si>
  <si>
    <t>หักค่าจ้างฯ    (ไตรมาส 3 -4)</t>
  </si>
  <si>
    <t>ทะเบียนคุมตา</t>
  </si>
  <si>
    <t>ยอด GF</t>
  </si>
  <si>
    <t>ผลต่างBPM/คุม</t>
  </si>
  <si>
    <t>ผลต่าง GF/คุม</t>
  </si>
  <si>
    <t>ผลต่าง GF/BPM</t>
  </si>
  <si>
    <t>ร้อยละจัดสรร</t>
  </si>
  <si>
    <t>หักค่าจ้างเอกชน ฯ
ไตรมาส 3-4</t>
  </si>
  <si>
    <t>จัดสรรค่าครุภัณฑ์/สิ่งก่อสร้าง</t>
  </si>
  <si>
    <t>สพจ.เลย</t>
  </si>
  <si>
    <t>สพจ.สระบุรี</t>
  </si>
  <si>
    <t>สพจ.นครราชสีมา</t>
  </si>
  <si>
    <t>สพจ.สุรินทร์</t>
  </si>
  <si>
    <t>สพจ.กาญจนบุรี</t>
  </si>
  <si>
    <t>สพจ.อุบลราชธานี</t>
  </si>
  <si>
    <t>อยู่ระหว่างโอนเงิน
กลับส่วนกลาง</t>
  </si>
  <si>
    <t xml:space="preserve">อยู่ระหว่างโอนเงิน
กลับส่วนกลาง
</t>
  </si>
  <si>
    <t>เบอร์โทร
พัฒนาการ
จังหวัด</t>
  </si>
  <si>
    <t>เบอร์โทร
อำนวยการ
จังหวัด</t>
  </si>
  <si>
    <t>ค่าจ้างไตรมาส -3-4</t>
  </si>
  <si>
    <t>084-8740570</t>
  </si>
  <si>
    <t>081-8202936</t>
  </si>
  <si>
    <t>นายปรีชา  กิจติสันจกุล</t>
  </si>
  <si>
    <t>084-8740620</t>
  </si>
  <si>
    <t>081-8218761</t>
  </si>
  <si>
    <t>084-8740563</t>
  </si>
  <si>
    <t>081-8200367</t>
  </si>
  <si>
    <t>นายไพศาล  สุขปัญญา</t>
  </si>
  <si>
    <t>084-8740589</t>
  </si>
  <si>
    <t>081-8232776</t>
  </si>
  <si>
    <t>นางอัจฉราวรรณ มณีขัติย์</t>
  </si>
  <si>
    <t>084-8740617</t>
  </si>
  <si>
    <t>081-8229361</t>
  </si>
  <si>
    <t>084-8740605</t>
  </si>
  <si>
    <t>081-8223481</t>
  </si>
  <si>
    <t>084-8740634</t>
  </si>
  <si>
    <t>081-8212826</t>
  </si>
  <si>
    <t>084-8740623</t>
  </si>
  <si>
    <t>081-8230742</t>
  </si>
  <si>
    <t>นางสาวศันสนีย์ ทาสม</t>
  </si>
  <si>
    <t>084-8740575</t>
  </si>
  <si>
    <t>081-8224319</t>
  </si>
  <si>
    <t>084-8740616</t>
  </si>
  <si>
    <t>081-8209924</t>
  </si>
  <si>
    <t>084-8740591</t>
  </si>
  <si>
    <t>081-8211871</t>
  </si>
  <si>
    <t>084-8740580</t>
  </si>
  <si>
    <t>081-8232557</t>
  </si>
  <si>
    <t>084-8740614</t>
  </si>
  <si>
    <t>081-8216746</t>
  </si>
  <si>
    <t>084-8740632</t>
  </si>
  <si>
    <t>081-8198794</t>
  </si>
  <si>
    <t>084-8740565</t>
  </si>
  <si>
    <t>081-8199643</t>
  </si>
  <si>
    <t>นายวิฑูรย์  นวลนุกุล</t>
  </si>
  <si>
    <t>084-8740609</t>
  </si>
  <si>
    <t>081-8201291</t>
  </si>
  <si>
    <t>084-8740590</t>
  </si>
  <si>
    <t>081-8223069</t>
  </si>
  <si>
    <t>084-8740618</t>
  </si>
  <si>
    <t>081-8209504</t>
  </si>
  <si>
    <t>084-8740559</t>
  </si>
  <si>
    <t>081-8224961</t>
  </si>
  <si>
    <t>084-8740600</t>
  </si>
  <si>
    <t>081-8221675</t>
  </si>
  <si>
    <t>084-8740584</t>
  </si>
  <si>
    <t>081-8225798</t>
  </si>
  <si>
    <t>084-8740631</t>
  </si>
  <si>
    <t>081-8230021</t>
  </si>
  <si>
    <t>084-8740587</t>
  </si>
  <si>
    <t>081-8201489</t>
  </si>
  <si>
    <t>084-8740611</t>
  </si>
  <si>
    <t>081-8229240</t>
  </si>
  <si>
    <t>084-8740629</t>
  </si>
  <si>
    <t>081-8123354</t>
  </si>
  <si>
    <t>นายไพบูลย์  บูรณสันติ</t>
  </si>
  <si>
    <t>084-8740564</t>
  </si>
  <si>
    <t>081-8230175</t>
  </si>
  <si>
    <t>084-8740610</t>
  </si>
  <si>
    <t>081-8227109</t>
  </si>
  <si>
    <t>084-8740622</t>
  </si>
  <si>
    <t>081-8205963</t>
  </si>
  <si>
    <t>084-8740627</t>
  </si>
  <si>
    <t>081-8209176</t>
  </si>
  <si>
    <t>084-8740571</t>
  </si>
  <si>
    <t>081-8234018</t>
  </si>
  <si>
    <t>084-8740613</t>
  </si>
  <si>
    <t>081-8220831</t>
  </si>
  <si>
    <t>084-8740579</t>
  </si>
  <si>
    <t>081-8197149</t>
  </si>
  <si>
    <t>084-8740573</t>
  </si>
  <si>
    <t>081-8232403</t>
  </si>
  <si>
    <t>084-8740597</t>
  </si>
  <si>
    <t>081-8203586</t>
  </si>
  <si>
    <t>084-8740601</t>
  </si>
  <si>
    <t>081-8214916</t>
  </si>
  <si>
    <t>084-8740630</t>
  </si>
  <si>
    <t>081-8203138</t>
  </si>
  <si>
    <t>084-8740608</t>
  </si>
  <si>
    <t>081-8224652</t>
  </si>
  <si>
    <t>084-8740569</t>
  </si>
  <si>
    <t>081-8198547</t>
  </si>
  <si>
    <t>084-8740561</t>
  </si>
  <si>
    <t>081-8229685</t>
  </si>
  <si>
    <t>084-8740598</t>
  </si>
  <si>
    <t>081-8229573</t>
  </si>
  <si>
    <t>084-8740595</t>
  </si>
  <si>
    <t>081-8224865</t>
  </si>
  <si>
    <t>084-8740624</t>
  </si>
  <si>
    <t>081-8200641</t>
  </si>
  <si>
    <t>084-8740583</t>
  </si>
  <si>
    <t>081-8201864</t>
  </si>
  <si>
    <t>084-8740619</t>
  </si>
  <si>
    <t>081-8214023</t>
  </si>
  <si>
    <t>084-8740596</t>
  </si>
  <si>
    <t>081-7551824</t>
  </si>
  <si>
    <t>084-8740574</t>
  </si>
  <si>
    <t>081-8021017</t>
  </si>
  <si>
    <t>084-8740603</t>
  </si>
  <si>
    <t>081-7539352</t>
  </si>
  <si>
    <t>084-8740592</t>
  </si>
  <si>
    <t>081-8221482</t>
  </si>
  <si>
    <t>084-8740615</t>
  </si>
  <si>
    <t>081-8224258</t>
  </si>
  <si>
    <t>084-8740566</t>
  </si>
  <si>
    <t>081-8224698</t>
  </si>
  <si>
    <t>084-8740568</t>
  </si>
  <si>
    <t>081-8229624</t>
  </si>
  <si>
    <t>084-8740588</t>
  </si>
  <si>
    <t>081-8224085</t>
  </si>
  <si>
    <t>084-8740626</t>
  </si>
  <si>
    <t>081-8225870</t>
  </si>
  <si>
    <t>084-8740633</t>
  </si>
  <si>
    <t>081-8225054</t>
  </si>
  <si>
    <t>084-8740593</t>
  </si>
  <si>
    <t>081-8220924</t>
  </si>
  <si>
    <t>084-8740576</t>
  </si>
  <si>
    <t>081-8223967</t>
  </si>
  <si>
    <t>084-8740621</t>
  </si>
  <si>
    <t>081-8232085</t>
  </si>
  <si>
    <t>084-8740607</t>
  </si>
  <si>
    <t>081-8230356</t>
  </si>
  <si>
    <t>084-8740599</t>
  </si>
  <si>
    <t>081-8229504</t>
  </si>
  <si>
    <t>084-8740602</t>
  </si>
  <si>
    <t>081-8208351</t>
  </si>
  <si>
    <t>084-8740628</t>
  </si>
  <si>
    <t>081-8233415</t>
  </si>
  <si>
    <t>084-8740604</t>
  </si>
  <si>
    <t>081-8220583</t>
  </si>
  <si>
    <t>084-8740578</t>
  </si>
  <si>
    <t>081-8231797</t>
  </si>
  <si>
    <t>084-8740625</t>
  </si>
  <si>
    <t>081-8223712</t>
  </si>
  <si>
    <t>084-8740585</t>
  </si>
  <si>
    <t>081-8225624</t>
  </si>
  <si>
    <t>084-8740581</t>
  </si>
  <si>
    <t>081-8230969</t>
  </si>
  <si>
    <t>084-8740562</t>
  </si>
  <si>
    <t>081-8203317</t>
  </si>
  <si>
    <t>084-8740567</t>
  </si>
  <si>
    <t>081-8215983</t>
  </si>
  <si>
    <t>084-8740577</t>
  </si>
  <si>
    <t>081-8204003</t>
  </si>
  <si>
    <t>084-8740560</t>
  </si>
  <si>
    <t>081-8229830</t>
  </si>
  <si>
    <t>084-8740586</t>
  </si>
  <si>
    <t>081-8220368</t>
  </si>
  <si>
    <t>081-3713976</t>
  </si>
  <si>
    <t>081-8234758</t>
  </si>
  <si>
    <t>084-8740582</t>
  </si>
  <si>
    <t>081-8226728</t>
  </si>
  <si>
    <t>084-8740612</t>
  </si>
  <si>
    <t>081-8202716</t>
  </si>
  <si>
    <t>084-8740594</t>
  </si>
  <si>
    <t>081-8221893</t>
  </si>
  <si>
    <t>084-8740572</t>
  </si>
  <si>
    <t>081-8224170</t>
  </si>
  <si>
    <t>สพจ.สระแก้ว</t>
  </si>
  <si>
    <t>สพจ.พะเยา</t>
  </si>
  <si>
    <t>สำรองเงิน
(CX)</t>
  </si>
  <si>
    <t xml:space="preserve">รวมทั้งสิ้น </t>
  </si>
  <si>
    <t>สพจ.กำแพงเพชร</t>
  </si>
  <si>
    <t>สพจ.เพชรบูรณ์</t>
  </si>
  <si>
    <t>สพจ.ภูเก็ต</t>
  </si>
  <si>
    <t>สพจ.ยะลา</t>
  </si>
  <si>
    <t>สพจ.ฉะเชิงเทรา</t>
  </si>
  <si>
    <t>ร่าง พรบ.โอนงบประมาณรายจ่าย 
พ.ศ. ….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</si>
  <si>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</si>
  <si>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</si>
  <si>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</si>
  <si>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รายละเอียดการใช้จ่ายงบลงทุน ประจำปีงบประมาณ พ.ศ. 2564</t>
  </si>
  <si>
    <t>หน่วยงาน
ดำเนินการ</t>
  </si>
  <si>
    <t>สพจ.พระนครศรีอยุธยา</t>
  </si>
  <si>
    <t>สพจ.ระยอง</t>
  </si>
  <si>
    <t>สพจ.แม่ฮ่องสอน</t>
  </si>
  <si>
    <t>สพจ.สมุทรสงคราม</t>
  </si>
  <si>
    <t>สพจ.นครศรีธรรมราช</t>
  </si>
  <si>
    <t>สพจ.สุราษฎร์ธานี</t>
  </si>
  <si>
    <t>สพจ.กาฬสินธุ์</t>
  </si>
  <si>
    <t>สพจ.ขอนแก่น</t>
  </si>
  <si>
    <t>สพจ.จันทบุรี</t>
  </si>
  <si>
    <t>สพจ.ตราด</t>
  </si>
  <si>
    <t>สพจ.นครปฐม</t>
  </si>
  <si>
    <t>สพจ.นนทบุรี</t>
  </si>
  <si>
    <t>สพจ.นราธิวาส</t>
  </si>
  <si>
    <t>สพจ.บุรีรัมย์</t>
  </si>
  <si>
    <t>สพจ.ปราจีนบุรี</t>
  </si>
  <si>
    <t>สพจ.พัทลุง</t>
  </si>
  <si>
    <t>สพจ.พิษณุโลก</t>
  </si>
  <si>
    <t>สพจ.เพชรบุรี</t>
  </si>
  <si>
    <t>สพจ.มหาสารคาม</t>
  </si>
  <si>
    <t>สพจ.ร้อยเอ็ด</t>
  </si>
  <si>
    <t>สพจ.ลพบุรี</t>
  </si>
  <si>
    <t>สพจ.ลำปาง</t>
  </si>
  <si>
    <t>สพจ.ลำพูน</t>
  </si>
  <si>
    <t>สพจ.สมุทรสาคร</t>
  </si>
  <si>
    <t>สพจ.สุพรรณบุรี</t>
  </si>
  <si>
    <t>สพจ.หนองคาย</t>
  </si>
  <si>
    <t>สพจ.อุตรดิตถ์</t>
  </si>
  <si>
    <t>สพจ.อุทัยธานี</t>
  </si>
  <si>
    <t>รหัสพื้นที่</t>
  </si>
  <si>
    <t>ปทุมธานี</t>
  </si>
  <si>
    <t>สระบุรี</t>
  </si>
  <si>
    <t>ชลบุรี</t>
  </si>
  <si>
    <t>ปราจีนบุรี</t>
  </si>
  <si>
    <t>ชัยภูมิ</t>
  </si>
  <si>
    <t>หนองบัวลำภู</t>
  </si>
  <si>
    <t>อุดรธานี</t>
  </si>
  <si>
    <t>แพร่</t>
  </si>
  <si>
    <t>ราชบุรี</t>
  </si>
  <si>
    <t>สุราษฎร์ธานี</t>
  </si>
  <si>
    <t>ปัตตานี</t>
  </si>
  <si>
    <t>ส่วนต่าง</t>
  </si>
  <si>
    <t>ผลต่าง</t>
  </si>
  <si>
    <t>ทบ.คุม ตา</t>
  </si>
  <si>
    <t>เอกสาร 7</t>
  </si>
  <si>
    <t>เขตตรวจราชการ</t>
  </si>
  <si>
    <t>เขตตรวจราชการที่</t>
  </si>
  <si>
    <t>คงเหลือสุทธิ</t>
  </si>
  <si>
    <t>จัดสรร</t>
  </si>
  <si>
    <t>กลุ่มจังหวัดภาคกลางตอนบน</t>
  </si>
  <si>
    <t>นางสาวสุนีย์  สิทธิวานิช</t>
  </si>
  <si>
    <t>นางสาวเพ็ญศรี  เจริญสุทธิพันธ์</t>
  </si>
  <si>
    <t>นายเส่ง สิงห์โตทอง</t>
  </si>
  <si>
    <t>กลุ่มจังหวัดภาคกลางปริมณฑล</t>
  </si>
  <si>
    <t>กลุ่มจังหวัดภาคกลางตอนล่าง 1</t>
  </si>
  <si>
    <t>นางไพเราะ รอยตะกูล</t>
  </si>
  <si>
    <t>กลุ่มจังหวัดภาคกลางตอนล่าง 2</t>
  </si>
  <si>
    <t>กลุ่มจังหวัดภาคใต้ฝั่งอ่าวไทย</t>
  </si>
  <si>
    <t>กลุ่มจังหวัดภาคใต้ฝั่งอันดามัน</t>
  </si>
  <si>
    <t>กลุ่มจังหวัดภาคใต้ชายแดน</t>
  </si>
  <si>
    <t>นางคำแข ธรรมนิยาย</t>
  </si>
  <si>
    <t>กลุ่มจังหวัดภาคตะวันออก 1</t>
  </si>
  <si>
    <t>กลุ่มจังหวัดภาคตะวันออก 2</t>
  </si>
  <si>
    <t>กลุ่มจังหวัดภาคตะวันออกเฉียงเหนือตอนบน 1</t>
  </si>
  <si>
    <t>นายสมเดช ไพจิตรกุญชร</t>
  </si>
  <si>
    <t>กลุ่มจังหวัดภาคตะวันออกเฉียงเหนือตอนบน 2</t>
  </si>
  <si>
    <t>กลุ่มจังหวัดภาคตะวันออกเฉียงเหนือ
ตอนกลาง</t>
  </si>
  <si>
    <t>นายกิจจา  กาญจนะวีระ</t>
  </si>
  <si>
    <t>กลุ่มจังหวัดภาคตะวันออกเฉียงเหนือตอนล่าง 1</t>
  </si>
  <si>
    <t>กลุ่มจังหวัดภาคตะวันออกเฉียงเหนือตอนล่าง 2</t>
  </si>
  <si>
    <t>กลุ่มจังหวัดภาคเหนือตอนบน 1</t>
  </si>
  <si>
    <t>กลุ่มจังหวัดภาคเหนือตอนล่าง 1</t>
  </si>
  <si>
    <t>นางสาวเพ็ญแข ศรีสุทธิกุล</t>
  </si>
  <si>
    <t>กลุ่มจังหวัดภาคเหนือตอนล่าง 2</t>
  </si>
  <si>
    <t>ทบ</t>
  </si>
  <si>
    <t>GF</t>
  </si>
  <si>
    <t>งบประมาณทั้งสิ้น</t>
  </si>
  <si>
    <t>งบประมาณ ไตรมาส 1-4</t>
  </si>
  <si>
    <t xml:space="preserve">หน่วยงาน
</t>
  </si>
  <si>
    <t>ผลการใช้จ่าย
(ผลการเบิกจ่าย+PO)</t>
  </si>
  <si>
    <t>เอกสาร 4</t>
  </si>
  <si>
    <t>เอกสาร...</t>
  </si>
  <si>
    <t>เอกสาร ....</t>
  </si>
  <si>
    <t>ในการกำกับดูแลของ
รองอธิบดี</t>
  </si>
  <si>
    <t>คงเหลือส่วนกลาง</t>
  </si>
  <si>
    <t>โอนเปลี่ยนแปลงระหว่างปี</t>
  </si>
  <si>
    <t xml:space="preserve">                                                                </t>
  </si>
  <si>
    <t>กลุ่มจังหวัดภาคเหนือตอนบน 2</t>
  </si>
  <si>
    <t>ผลการใช้จ่ายงบประมาณ</t>
  </si>
  <si>
    <t>ลำดับที่</t>
  </si>
  <si>
    <t>เบิกจ่าย</t>
  </si>
  <si>
    <t>PO</t>
  </si>
  <si>
    <t xml:space="preserve">โอนกลับส่วนกลาง </t>
  </si>
  <si>
    <t>รับจัดสรรหลังโอนกลับส่วนกลาง</t>
  </si>
  <si>
    <t>ข้อมูลสะสมตั้งแต่วันที่ 1 ตุลาคม 2563 ถึงวันที่ 15 กันยายน  2564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</si>
  <si>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</si>
  <si>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</si>
  <si>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รายงานผลการใช้จ่ายงบลงทุน ประจำปีงบประมาณ พ.ศ. 2565</t>
  </si>
  <si>
    <t>โอนเปลี่ยนแปลง
จากงบดำเนินงาน
เป็นงบลงทุน</t>
  </si>
  <si>
    <t>โอนเปลี่ยนแปลงเป็นงบดำเนินงาน</t>
  </si>
  <si>
    <t>โอนเปลี่ยนแปลงรายการในงบลงทุน</t>
  </si>
  <si>
    <t>คงเหลือโอนกลับส่วนกลาง</t>
  </si>
  <si>
    <t>รถนั่งส่วนกลาง ปริมาตรกระบอกสูบ 1,600-1,800 ซีซี หรือกำลัง
เครื่องยนต์สูงสุดไม่ต่ำกว่า 90 กิโลวัตต์ จำนวน 18 คัน</t>
  </si>
  <si>
    <t>1500437013110001</t>
  </si>
  <si>
    <t>โปรแกรมระบบการวิเคราะห์และจัดการข้อมูลเพื่อการพัฒนาชุมชน</t>
  </si>
  <si>
    <t>1500437013120001</t>
  </si>
  <si>
    <t>พัฒนาระบบศูนย์ปฏิบัติการข้อมูลสารสนเทศระดับจังหวัด</t>
  </si>
  <si>
    <t>1500437013120002</t>
  </si>
  <si>
    <t>ก่อสร้างบ้านพักพัฒนาการจังหวัดร้อยเอ็ด สำนักงานพัฒนาชุมชนจังหวัดร้อยเอ็ด</t>
  </si>
  <si>
    <t>1500437013410001</t>
  </si>
  <si>
    <t>1500437013410002</t>
  </si>
  <si>
    <t>1500437013410003</t>
  </si>
  <si>
    <t>ก่อสร้างอาคารอเนกประสงค์สำนักงานพัฒนาชุมชนอำเภอบ้านดุง จังหวัดอุดรธานี</t>
  </si>
  <si>
    <t>1500437013410004</t>
  </si>
  <si>
    <t xml:space="preserve">ก่อสร้างรั้วคอนกรีตบล็อคทึบ ศูนย์ศึกษาและพัฒนาชุมชนยะลา  </t>
  </si>
  <si>
    <t>1500437013410005</t>
  </si>
  <si>
    <t>ก่อสร้างโรงเก็บพัสดุสำนักงานพัฒนาชุมชนจังหวัดร้อยเอ็ด</t>
  </si>
  <si>
    <t>1500437013410006</t>
  </si>
  <si>
    <t>ก่อสร้างโรงจอดรถ สำนักงานพัฒนาชุมชนจังหวัดร้อยเอ็ด</t>
  </si>
  <si>
    <t>1500437013410007</t>
  </si>
  <si>
    <t>1500437013410008</t>
  </si>
  <si>
    <t>ก่อสร้างถนนคอนกรีตเสริมเหล็กเชื่อมโรงอาหาร ศูนย์ศึกษาและพัฒนาชุมชนนครราชสีมา</t>
  </si>
  <si>
    <t>1500437013410009</t>
  </si>
  <si>
    <t>ก่อสร้างโรงจอดรถ หอพักดอกบัวงาม ศูนย์ศึกษาและพัฒนาชุมชนอุบลราชธานี</t>
  </si>
  <si>
    <t>1500437013410010</t>
  </si>
  <si>
    <t>1500437013410011</t>
  </si>
  <si>
    <t>ปรับปรุงห้องประชุมสำนักงานพัฒนาชุมชนจังหวัดชัยนาท</t>
  </si>
  <si>
    <t>1500437013410012</t>
  </si>
  <si>
    <t>ปรับปรุงสำนักงานพัฒนาชุมชนอำเภอสุไหงโกลก จังหวัดนราธิวาส</t>
  </si>
  <si>
    <t>1500437013410013</t>
  </si>
  <si>
    <t>ปรับปรุงสำนักงานพัฒนาชุมชนจังหวัดปัตตานี</t>
  </si>
  <si>
    <t>1500437013410014</t>
  </si>
  <si>
    <t>ปรับปรุงสำนักงานพัฒนาชุมชนอำเภอปง จังหวัดพะเยา</t>
  </si>
  <si>
    <t>1500437013410015</t>
  </si>
  <si>
    <t>ปรับปรุงสำนักงานพัฒนาชุมชนอำเภอวังชิ้น จังหวัดแพร่</t>
  </si>
  <si>
    <t>1500437013410016</t>
  </si>
  <si>
    <t>ปรับปรุงสำนักงานพัฒนาชุมชนอำเภอหนองม่วงไข่ จังหวัดแพร่</t>
  </si>
  <si>
    <t>1500437013410017</t>
  </si>
  <si>
    <t>ปรับปรุงสำนักงานพัฒนาชุมชนจังหวัดศรีสะเกษ</t>
  </si>
  <si>
    <t>1500437013410020</t>
  </si>
  <si>
    <t>ปรับปรุงสำนักงานพัฒนาชุมชนอำเภอมะนัง จังหวัดสตูล</t>
  </si>
  <si>
    <t>1500437013410021</t>
  </si>
  <si>
    <t>ปรับปรุงสำนักงานพัฒนาชุมชนจังหวัดสตูล</t>
  </si>
  <si>
    <t>1500437013410022</t>
  </si>
  <si>
    <t>ปรับปรุงสำนักงานพัฒนาชุมชนอำเภอเมืองสุราษฎร์ธานี 
จังหวัดสุราษฎร์ธานี</t>
  </si>
  <si>
    <t>1500437013410023</t>
  </si>
  <si>
    <t>ปรับปรุงสำนักงานพัฒนาชุมชนจังหวัดสุรินทร์</t>
  </si>
  <si>
    <t>1500437013410024</t>
  </si>
  <si>
    <t>ปรับปรุงสำนักงานพัฒนาชุมชนอำเภอกุมภวาปี จังหวัดอุดรธานี</t>
  </si>
  <si>
    <t>1500437013410025</t>
  </si>
  <si>
    <t>ปรับปรุงสำนักงานพัฒนาชุมชนจังหวัดอุดรธานี</t>
  </si>
  <si>
    <t>1500437013410026</t>
  </si>
  <si>
    <t xml:space="preserve">ปรับปรุงอาคารอำนวยการ ศูนย์ศึกษาและพัฒนาชุมชนพิษณุโลก  </t>
  </si>
  <si>
    <t>1500437013410027</t>
  </si>
  <si>
    <t>ปรับปรุงบ้านพักข้าราชการระดับ 1-2 สำนักงานพัฒนาชุมชนอำเภอ
แก่งหางแมว จังหวัดจันทบุรี</t>
  </si>
  <si>
    <t>1500437013410028</t>
  </si>
  <si>
    <t>ปรับปรุงบ้านพักพัฒนาการจังหวัดตาก สำนักงานพัฒนาชุมชนจังหวัดตาก</t>
  </si>
  <si>
    <t>1500437013410029</t>
  </si>
  <si>
    <t>ปรับปรุงบ้านพักข้าราชการระดับ 3-4 เลขที่ 11/12 สำนักงานพัฒนาชุมชนจังหวัดปัตตานี</t>
  </si>
  <si>
    <t>1500437013410030</t>
  </si>
  <si>
    <t>ปรับปรุงบ้านพักข้าราชการระดับ 3-4 เลขที่ 11/13 สำนักงานพัฒนาชุมชนจังหวัดปัตตานี</t>
  </si>
  <si>
    <t>1500437013410031</t>
  </si>
  <si>
    <t>ปรับปรุงบ้านพักข้าราชการระดับ 7-8 เลขที่ 11 สำนักงานพัฒนาชุมชนจังหวัดปัตตานี</t>
  </si>
  <si>
    <t>1500437013410032</t>
  </si>
  <si>
    <t>ปรับปรุงบ้านพักข้าราชการสำนักงานพัฒนาชุมชนจังหวัดพะเยา</t>
  </si>
  <si>
    <t>1500437013410033</t>
  </si>
  <si>
    <t>ปรับปรุงบ้านพักข้าราชการสำนักงานพัฒนาชุมชนอำเภอนิคมคำสร้อย จังหวัดมุกดาหาร</t>
  </si>
  <si>
    <t>1500437013410034</t>
  </si>
  <si>
    <t>ปรับปรุงบ้านพักผู้อำนวยการศูนย์ศึกษาและพัฒนาชุมชนอุบลราชธานี</t>
  </si>
  <si>
    <t>1500437013410035</t>
  </si>
  <si>
    <t>ปรับปรุงบ้านพักข้าราชการระดับ 7-8 ศูนย์ศึกษาและพัฒนาชุมชนสระบุรี</t>
  </si>
  <si>
    <t>1500437013410036</t>
  </si>
  <si>
    <t xml:space="preserve">ปรับปรุงอาคารฝึกอบรม  ศูนย์ศึกษาและพัฒนาชุมชนเพชรบุรี </t>
  </si>
  <si>
    <t>1500437013410037</t>
  </si>
  <si>
    <t xml:space="preserve">ปรับปรุงอาคารอเนกประสงค์  ศูนย์ศึกษาและพัฒนาชุมชนอุดรธานี  </t>
  </si>
  <si>
    <t>1500437013410038</t>
  </si>
  <si>
    <t>ปรับปรุงห้องประชุมสำนักงานพัฒนาชุมชนจังหวัดศรีสะเกษ</t>
  </si>
  <si>
    <t>1500437013410039</t>
  </si>
  <si>
    <t xml:space="preserve">ปรับปรุงรั้วคอนกรีตเสริมเหล็กภายใน ศูนย์ศึกษาและพัฒนาชุมชนเพชรบุรี  </t>
  </si>
  <si>
    <t>1500437013410040</t>
  </si>
  <si>
    <t>1500437013410041</t>
  </si>
  <si>
    <t xml:space="preserve">ปรับปรุงโรงอาหาร ศูนย์ศึกษาและพัฒนาชุมชนอุบลราชธานี  </t>
  </si>
  <si>
    <t>1500437013410042</t>
  </si>
  <si>
    <t>ปรับปรุงรั้วด้านหลัง ศูนย์ศึกษาและพัฒนาชุมชนอุบลราชธานี</t>
  </si>
  <si>
    <t>1500437013410043</t>
  </si>
  <si>
    <t>ปรับปรุงโรงจอดรถพร้อมรางระบายน้ำคอนกรีตเสริมเหล็ก
ฝาตะแกรงเหล็ก ศูนย์ศึกษาและพัฒนาชุมชนพิษณุโลก</t>
  </si>
  <si>
    <t>1500437013410044</t>
  </si>
  <si>
    <t>ปรับปรุงอาคารโรงฝึกงานศูนย์ศึกษาและพัฒนาชุมชนนครศรีธรรมราช</t>
  </si>
  <si>
    <t>1500437013410045</t>
  </si>
  <si>
    <t xml:space="preserve">ก่อสร้างถนนคอนกรีตเสริมเหล็กภายใน ศูนย์ศึกษาและพัฒนาชุมชนอุดรธานี  </t>
  </si>
  <si>
    <t>1500437013410046</t>
  </si>
  <si>
    <t xml:space="preserve">ก่อสร้างรั้วคอนกรีตบล็อคทึบ ศูนย์ศึกษาและพัฒนาชุมชนอุดรธานี  </t>
  </si>
  <si>
    <t>1500437013410047</t>
  </si>
  <si>
    <t>ปรับปรุงห้องน้ำอาคารอำนวยการ ศูนย์ศึกษาและพัฒนาชุมชนอุดรธานี</t>
  </si>
  <si>
    <t>1500437013410048</t>
  </si>
  <si>
    <t>ปรับปรุงพื้นคอนกรีตพิมพ์ลาย อาคารอำนวยการ ศูนย์ศึกษาและพัฒนาชุมชนลำปาง</t>
  </si>
  <si>
    <t>1500437013410049</t>
  </si>
  <si>
    <t>ปรับปรุงพื้นคอนกรีตพิมพ์ลาย อาคารอาลัมภางค์ ศูนย์ศึกษาและพัฒนาชุมชนลำปาง</t>
  </si>
  <si>
    <t>1500437013410050</t>
  </si>
  <si>
    <t>ปรับปรุงพื้นคอนกรีตพิมพ์ลาย อาคารลีลาวดี ศูนย์ศึกษาและพัฒนาชุมชนลำปาง</t>
  </si>
  <si>
    <t>1500437013410051</t>
  </si>
  <si>
    <t>ปรับปรุงระบบกรองน้ำประปาบาดาล ศูนย์ศึกษาและพัฒนาชุมชนสระบุรี</t>
  </si>
  <si>
    <t>1500437013410054</t>
  </si>
  <si>
    <t>ปรับปรุงระบบประปา (ระบบออโตเมชั่น) ศูนย์ศึกษาและพัฒนาชุมชนสระบุรี</t>
  </si>
  <si>
    <t>1500437013410055</t>
  </si>
  <si>
    <t>ปรับปรุงอาคารเรือนรับรองศูนย์ศึกษาและพัฒนาชุมชนนครราชสีมา</t>
  </si>
  <si>
    <t>1500437013410056</t>
  </si>
  <si>
    <t>ก่อสร้างอาคารเก็บพัสดุสำนักงานพัฒนาชุมชนจังหวัดศรีสะเกษ</t>
  </si>
  <si>
    <t>1500437013410057</t>
  </si>
  <si>
    <t>ปรับปรุงบ้านพักข้าราชการระดับ 5-6 เลขที่ 22/16 สำนักงานพัฒนาชุมชนจังหวัดปัตตานี</t>
  </si>
  <si>
    <t>1500437013410058</t>
  </si>
  <si>
    <t>ปรับปรุงหลังคาส่วนต่อเติมด้านข้างโรงอาหารก๋าสลองศูนย์ศึกษาและพัฒนาชุมชนลำปาง</t>
  </si>
  <si>
    <t>1500437013410059</t>
  </si>
  <si>
    <t>ต่อเติมหลังคาทางขึ้นหอประชุมทิพย์ช้าง ศูนย์ศึกษาและพัฒนาชุมชนลำปาง</t>
  </si>
  <si>
    <t>1500437013410060</t>
  </si>
  <si>
    <t>1500437013410061</t>
  </si>
  <si>
    <t>ปรับปรุงระบบสัญญาณเตือนภัยภายในหอพักดอกบัวงาม
ศูนย์ศึกษาและพัฒนาชุมชนอุบลราชธานี</t>
  </si>
  <si>
    <t>1500437013410062</t>
  </si>
  <si>
    <t>ปรับปรุงบ้านพักข้าราชการ ระดับ 3-4 เลขที่ 69/11 ศูนย์ศึกษาและพัฒนาชุมชนนครศรีธรรมราช</t>
  </si>
  <si>
    <t>1500437013410063</t>
  </si>
  <si>
    <t>ปรับปรุงบ้านพักข้าราชการ ระดับ 5-6 เลขที่ 69/9 ศูนย์ศึกษาและพัฒนาชุมชนนครศรีธรรมราช</t>
  </si>
  <si>
    <t>1500437013410064</t>
  </si>
  <si>
    <t xml:space="preserve">ก่อสร้างอาคารพักอาศัยข้าราชการ 3 ชั้น 12 ยูนิต พร้อมงานภายนอก ศูนย์ศึกษาและพัฒนาชุมชนนครราชสีมา </t>
  </si>
  <si>
    <t>1500437013420001</t>
  </si>
  <si>
    <t xml:space="preserve">ก่อสร้างอาคารหอประชุมขนาด 250 ที่นั่ง วิทยาลัยการพัฒนาชุมชน อำเภอบางละมุง จังหวัดชลบุรี </t>
  </si>
  <si>
    <t>1500437013420002</t>
  </si>
  <si>
    <t xml:space="preserve">ปรับปรุงอาคารอำนวยการ ศูนย์ศึกษาและพัฒนาชุมชนนครนายก </t>
  </si>
  <si>
    <t>1500437013420003</t>
  </si>
  <si>
    <t>งานปรับปรุงพื้นที่ ตามแบบมาตรฐาน โคก หนอง นาขนาด 1 ไร่ สำนักงานพัฒนาชุมชนอำเภอเกาะลันตาตำบลเกาะลันตาน้อย อำเภอเกาะลันตา จังหวัดกระบี่</t>
  </si>
  <si>
    <t>1500437056410001</t>
  </si>
  <si>
    <t>กระบี่</t>
  </si>
  <si>
    <t>งานปรับปรุงพื้นที่ ตามแบบมาตรฐาน โคก หนอง นาขนาด 1 ไร่ สำนักงานพัฒนาชุมชนอำเภอเขาพนม ตำบลเขาพนม อำเภอเขาพนมจังหวัดกระบี่</t>
  </si>
  <si>
    <t>1500437056410002</t>
  </si>
  <si>
    <t>งานปรับปรุงพื้นที่ ตามแบบมาตรฐาน โคก หนอง นาขนาด 1 ไร่ สำนักงานพัฒนาชุมชนอำเภออ่าวลึก ตำบลอ่าวลึกใต้ อำเภออ่าวลึกจังหวัดกระบี่</t>
  </si>
  <si>
    <t>1500437056410003</t>
  </si>
  <si>
    <t>งานปรับปรุงพื้นที่ ตามแบบมาตรฐาน โคก หนอง นาขนาด 1 ไร่ สำนักงานพัฒนาชุมชนอำเภอท่ามะกา ตำบลท่ามะกา อำเภอท่ามะกาจังหวัดกาญจนบุรี</t>
  </si>
  <si>
    <t>1500437056410004</t>
  </si>
  <si>
    <t>กาญจนบุรี</t>
  </si>
  <si>
    <t>งานปรับปรุงพื้นที่ ตามแบบมาตรฐาน โคก หนอง นาขนาด 1 ไร่ สำนักงานพัฒนาชุมชนอำเภอเมืองกาฬสินธุ์ตำบลกาฬสินธุ์ อำเภอเมืองกาฬสินธุ์ จังหวัดกาฬสินธุ์</t>
  </si>
  <si>
    <t>1500437056410006</t>
  </si>
  <si>
    <t>งานปรับปรุงพื้นที่ ตามแบบมาตรฐาน โคก หนอง นาขนาด 1 ไร่ สำนักงานพัฒนาชุมชนอำเภอร่องคำ ตำบลร่องคำ อำเภอร่องคำ จังหวัดกาฬสินธุ์</t>
  </si>
  <si>
    <t>1500437056410007</t>
  </si>
  <si>
    <t>งานปรับปรุงพื้นที่ ตามแบบมาตรฐาน โคก หนอง นาขนาด 1 ไร่ สำนักงานพัฒนาชุมชนอำเภอสหัสขันธ์ ตำบลโนนบุรี อำเภอสหัสขันธ์จังหวัดกาฬสินธุ์</t>
  </si>
  <si>
    <t>1500437056410008</t>
  </si>
  <si>
    <t>งานปรับปรุงพื้นที่ ตามแบบมาตรฐาน โคก หนอง นาขนาด 1 ไร่ สำนักงานพัฒนาชุมชนอำเภอขาณุวรลักษบุรีตำบลแสนตอ อำเภอขาณุวรลักษบุรี จังหวัดกำแพงเพชร</t>
  </si>
  <si>
    <t>งานปรับปรุงพื้นที่ ตามแบบมาตรฐาน โคก หนอง นาขนาด 1 ไร่ สำนักงานพัฒนาชุมชนอำเภอคลองขลุงตำบลคลองขลุง อำเภอคลองขลุง จังหวัดกำแพงเพชร</t>
  </si>
  <si>
    <t>1500437056410010</t>
  </si>
  <si>
    <t>งานปรับปรุงพื้นที่ ตามแบบมาตรฐาน โคก หนอง นาขนาด 1 ไร่ สำนักงานพัฒนาชุมชนอำเภอกระนวน ตำบลหนองโก อำเภอกระนวนจังหวัดขอนแก่น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</si>
  <si>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สำนักงานพัฒนาชุมชนอำเภอชนบท ตำบลชนบท อำเภอชนบท 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</si>
  <si>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สำนักงานพัฒนาชุมชนอำเภอชุมแพ ตำบลหนองไผ่ อำเภอชุมแพจังหวัดขอนแก่น</t>
  </si>
  <si>
    <t>1500437056410014</t>
  </si>
  <si>
    <t>งานปรับปรุงพื้นที่ ตามแบบมาตรฐาน โคก หนอง นาขนาด 1 ไร่ สำนักงานพัฒนาชุมชนอำเภอน้ำพอง ตำบลวังชัย อำเภอน้ำพอง จังหวัดขอนแก่น</t>
  </si>
  <si>
    <t>1500437056410015</t>
  </si>
  <si>
    <t>งานปรับปรุงพื้นที่ ตามแบบมาตรฐาน โคก หนอง นาขนาด 1 ไร่ สำนักงานพัฒนาชุมชนอำเภอบ้านฝาง ตำบลบ้านฝาง อำเภอบ้านฝางจังหวัดขอนแก่น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</si>
  <si>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สำนักงานพัฒนาชุมชนอำเภอพระยืน ตำบลพระยืน อำเภอพระยืน จังหวัดขอนแก่น</t>
  </si>
  <si>
    <t>1500437056410017</t>
  </si>
  <si>
    <t>งานปรับปรุงพื้นที่ ตามแบบมาตรฐาน โคก หนอง นาขนาด 1 ไร่ สำนักงานพัฒนาชุมชนอำเภอพล ตำบลเมืองพล อำเภอพล จังหวัดขอนแก่น</t>
  </si>
  <si>
    <t>1500437056410018</t>
  </si>
  <si>
    <t>งานปรับปรุงพื้นที่ ตามแบบมาตรฐาน โคก หนอง นาขนาด 1 ไร่ สำนักงานพัฒนาชุมชนอำเภอภูเวียง ตำบลภูเวียง อำเภอภูเวียง จังหวัดขอนแก่น</t>
  </si>
  <si>
    <t>1500437056410020</t>
  </si>
  <si>
    <t>งานปรับปรุงพื้นที่ ตามแบบมาตรฐาน โคก หนอง นาขนาด 1 ไร่ สำนักงานพัฒนาชุมชนอำเภอเมืองขอนแก่นตำบลในเมือง อำเภอเมืองขอนแก่น จังหวัดขอนแก่น</t>
  </si>
  <si>
    <t>1500437056410021</t>
  </si>
  <si>
    <t>งานปรับปรุงพื้นที่ ตามแบบมาตรฐาน โคก หนอง นาขนาด 1 ไร่ สำนักงานพัฒนาชุมชนอำเภอสีชมพู ตำบลวังเพิ่ม อำเภอสีชมพู จังหวัดขอนแก่น</t>
  </si>
  <si>
    <t>1500437056410022</t>
  </si>
  <si>
    <t>งานปรับปรุงพื้นที่ ตามแบบมาตรฐาน โคก หนอง นาขนาด 1 ไร่ สำนักงานพัฒนาชุมชนอำเภอหนองนาคำตำบลบ้านโคก อำเภอหนองนาคำ จังหวัดขอนแก่น</t>
  </si>
  <si>
    <t>1500437056410023</t>
  </si>
  <si>
    <t>1500437056410024</t>
  </si>
  <si>
    <t>งานปรับปรุงพื้นที่ ตามแบบมาตรฐาน โคก หนอง นาขนาด 1 ไร่ สำนักงานพัฒนาชุมชนอำเภอหนองสองห้องตำบลหนองสองห้อง อำเภอหนองสองห้อง จังหวัดขอนแก่น</t>
  </si>
  <si>
    <t>1500437056410025</t>
  </si>
  <si>
    <t>งานปรับปรุงพื้นที่ ตามแบบมาตรฐาน โคก หนอง นาขนาด 1 ไร่ สำนักงานพัฒนาชุมชนอำเภอพนมสารคามตำบลพนมสารคาม อำเภอพนมสารคาม จังหวัดฉะเชิงเทรา</t>
  </si>
  <si>
    <t>1500437056410028</t>
  </si>
  <si>
    <t>1500437056410029</t>
  </si>
  <si>
    <t>1500437056410031</t>
  </si>
  <si>
    <t>งานปรับปรุงพื้นที่ ตามแบบมาตรฐาน โคก หนอง นาขนาด 1 ไร่ สำนักงานพัฒนาชุมชนอำเภอเมืองชลบุรีตำบลบางปลาสร้อย อำเภอเมืองชลบุรี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</si>
  <si>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สำนักงานพัฒนาชุมชนอำเภอหนองใหญ่ตำบลหนองใหญ่ อำเภอหนองใหญ่ จังหวัดชลบุรี</t>
  </si>
  <si>
    <t>1500437056410036</t>
  </si>
  <si>
    <t>งานปรับปรุงพื้นที่ ตามแบบมาตรฐาน โคก หนอง นาขนาด 1 ไร่ สำนักงานพัฒนาชุมชนอำเภอหนองมะโมงตำบลหนองมะโมง อำเภอหนองมะโมง จังหวัดชัยนาท</t>
  </si>
  <si>
    <t>1500437056410037</t>
  </si>
  <si>
    <t>งานปรับปรุงพื้นที่ ตามแบบมาตรฐาน โคก หนอง นาขนาด 1 ไร่ สำนักงานพัฒนาชุมชนอำเภอเกษตรสมบูรณ์ตำบลบ้านยาง อำเภอเกษตรสมบูรณ์ จังหวัดชัยภูมิ</t>
  </si>
  <si>
    <t>1500437056410038</t>
  </si>
  <si>
    <t>งานปรับปรุงพื้นที่ ตามแบบมาตรฐาน โคก หนอง นาขนาด 1 ไร่ สำนักงานพัฒนาชุมชนอำเภอคอนสวรรค์ตำบลคอนสวรรค์ อำเภอคอนสวรรค์ จังหวัดชัยภูมิ</t>
  </si>
  <si>
    <t>1500437056410039</t>
  </si>
  <si>
    <t>งานปรับปรุงพื้นที่ ตามแบบมาตรฐาน โคก หนอง นาขนาด 1 ไร่ สำนักงานพัฒนาชุมชนอำเภอคอนสาร ตำบลคอนสาร อำเภอคอนสารจังหวัดชัยภูมิ</t>
  </si>
  <si>
    <t>งานปรับปรุงพื้นที่ ตามแบบมาตรฐาน โคก หนอง นาขนาด 1 ไร่ สำนักงานพัฒนาชุมชนอำเภอจัตุรัส ตำบลบ้านกอก อำเภอจัตุรัสจังหวัดชัยภูมิ</t>
  </si>
  <si>
    <t>1500437056410041</t>
  </si>
  <si>
    <t>งานปรับปรุงพื้นที่ ตามแบบมาตรฐาน โคก หนอง นาขนาด 1 ไร่ สำนักงานพัฒนาชุมชนอำเภอเมืองชัยภูมิตำบลในเมือง อำเภอเมืองชัยภูมิ จังหวัดชัยภูมิ</t>
  </si>
  <si>
    <t>1500437056410042</t>
  </si>
  <si>
    <t>งานปรับปรุงพื้นที่ ตามแบบมาตรฐาน โคก หนอง นาขนาด 1 ไร่ สำนักงานพัฒนาชุมชนอำเภอหนองบัวระเหวตำบลหนองบัวระเหว อำเภอหนองบัวระเหว จังหวัดชัยภูมิ</t>
  </si>
  <si>
    <t>1500437056410043</t>
  </si>
  <si>
    <t>งานปรับปรุงพื้นที่ ตามแบบมาตรฐาน โคก หนอง นาขนาด 1 ไร่ สำนักงานพัฒนาชุมชนอำเภอปะทิว ตำบลบางสน อำเภอปะทิว จังหวัดชุมพร</t>
  </si>
  <si>
    <t>1500437056410044</t>
  </si>
  <si>
    <t>งานปรับปรุงพื้นที่ ตามแบบมาตรฐาน โคก หนอง นาขนาด 1 ไร่ สำนักงานพัฒนาชุมชนอำเภอเมืองชุมพรตำบลท่าตะเภา อำเภอเมืองชุมพร จังหวัดชุมพร</t>
  </si>
  <si>
    <t>1500437056410045</t>
  </si>
  <si>
    <t>งานปรับปรุงพื้นที่ ตามแบบมาตรฐาน โคก หนอง นาขนาด 1 ไร่ สำนักงานพัฒนาชุมชนอำเภอหลังสวน ตำบลขันเงิน อำเภอหลังสวนจังหวัดชุมพร</t>
  </si>
  <si>
    <t>1500437056410046</t>
  </si>
  <si>
    <t>งานปรับปรุงพื้นที่ ตามแบบมาตรฐาน โคก หนอง นาขนาด 1 ไร่ สำนักงานพัฒนาชุมชนอำเภอขุนตาล ตำบลป่าตาล อำเภอขุนตาลจังหวัดเชียงราย</t>
  </si>
  <si>
    <t>1500437056410047</t>
  </si>
  <si>
    <t>งานปรับปรุงพื้นที่ ตามแบบมาตรฐาน โคก หนอง นาขนาด 1 ไร่ สำนักงานพัฒนาชุมชนอำเภอเชียงของ ตำบลเวียง อำเภอเชียงของจังหวัดเชียงราย</t>
  </si>
  <si>
    <t>1500437056410048</t>
  </si>
  <si>
    <t>งานปรับปรุงพื้นที่ ตามแบบมาตรฐาน โคก หนอง นาขนาด 1 ไร่ สำนักงานพัฒนาชุมชนอำเภอเทิง ตำบลเวียงอำเภอเทิง 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</si>
  <si>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สำนักงานพัฒนาชุมชนอำเภอป่าแดด ตำบลป่าแดด อำเภอป่าแดดจังหวัดเชียงราย</t>
  </si>
  <si>
    <t>1500437056410050</t>
  </si>
  <si>
    <t>งานปรับปรุงพื้นที่ ตามแบบมาตรฐาน โคก หนอง นาขนาด 1 ไร่ สำนักงานพัฒนาชุมชนอำเภอพญาเม็งรายตำบลเม็งราย อำเภอพญาเม็งราย จังหวัดเชียงราย</t>
  </si>
  <si>
    <t>1500437056410051</t>
  </si>
  <si>
    <t>งานปรับปรุงพื้นที่ ตามแบบมาตรฐาน โคก หนอง นาขนาด 1 ไร่ สำนักงานพัฒนาชุมชนอำเภอพาน ตำบลเมืองพาน อำเภอพาน จังหวัดเชียงราย</t>
  </si>
  <si>
    <t>1500437056410052</t>
  </si>
  <si>
    <t>งานปรับปรุงพื้นที่ ตามแบบมาตรฐาน โคก หนอง นาขนาด 1 ไร่ สำนักงานพัฒนาชุมชนอำเภอเมืองเชียงรายตำบลเวียง อำเภอเมืองเชียงราย จังหวัดเชียงราย</t>
  </si>
  <si>
    <t>1500437056410053</t>
  </si>
  <si>
    <t>งานปรับปรุงพื้นที่ ตามแบบมาตรฐาน โคก หนอง นาขนาด 1 ไร่ สำนักงานพัฒนาชุมชนอำเภอแม่ลาว ตำบลป่าก่อดำ อำเภอแม่ลาว 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</si>
  <si>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สำนักงานพัฒนาชุมชนอำเภอแม่สาย ตำบลเวียงพางคำ อำเภอแม่สายจังหวัดเชียงราย</t>
  </si>
  <si>
    <t>1500437056410055</t>
  </si>
  <si>
    <t>งานปรับปรุงพื้นที่ ตามแบบมาตรฐาน โคก หนอง นาขนาด 1 ไร่ สำนักงานพัฒนาชุมชนอำเภอเวียงชัย ตำบลเวียงชัย อำเภอเวียงชัยจังหวัดเชียงราย</t>
  </si>
  <si>
    <t>1500437056410056</t>
  </si>
  <si>
    <t>งานปรับปรุงพื้นที่ ตามแบบมาตรฐาน โคก หนอง นาขนาด 1 ไร่ สำนักงานพัฒนาชุมชนอำเภอเวียงเชียงรุ้งตำบลทุ่งก่อ อำเภอเวียงเชียงรุ้ง จังหวัดเชียงราย</t>
  </si>
  <si>
    <t>1500437056410057</t>
  </si>
  <si>
    <t>งานปรับปรุงพื้นที่ ตามแบบมาตรฐาน โคก หนอง นาขนาด 1 ไร่ สำนักงานพัฒนาชุมชนอำเภอเวียงป่าเป้าตำบลเวียง อำเภอเวียงป่าเป้าจังหวัดเชียงราย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</si>
  <si>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สำนักงานพัฒนาชุมชนอำเภอจอมทอง ตำบลบ้านหลวง อำเภอจอมทองจังหวัดเชียงใหม่</t>
  </si>
  <si>
    <t>1500437056410059</t>
  </si>
  <si>
    <t>งานปรับปรุงพื้นที่ ตามแบบมาตรฐาน โคก หนอง นาขนาด 1 ไร่ สำนักงานพัฒนาชุมชนอำเภอเชียงดาว ตำบลเชียงดาว อำเภอเชียงดาวจังหวัดเชียงใหม่</t>
  </si>
  <si>
    <t>งานปรับปรุงพื้นที่ ตามแบบมาตรฐาน โคก หนอง นาขนาด 1 ไร่ สำนักงานพัฒนาชุมชนอำเภอไชยปราการตำบลปงตำ อำเภอไชยปราการ จังหวัดเชียงใหม่</t>
  </si>
  <si>
    <t>1500437056410061</t>
  </si>
  <si>
    <t>งานปรับปรุงพื้นที่ ตามแบบมาตรฐาน โคก หนอง นาขนาด 1 ไร่ สำนักงานพัฒนาชุมชนอำเภอดอยสะเก็ดตำบลเชิงดอย อำเภอดอยสะเก็ด จังหวัดเชียงใหม่</t>
  </si>
  <si>
    <t>งานปรับปรุงพื้นที่ ตามแบบมาตรฐาน โคก หนอง นาขนาด 1 ไร่ สำนักงานพัฒนาชุมชนอำเภอฝาง ตำบลเวียงอำเภอฝาง จังหวัดเชียงใหม่</t>
  </si>
  <si>
    <t>1500437056410063</t>
  </si>
  <si>
    <t>งานปรับปรุงพื้นที่ ตามแบบมาตรฐาน โคก หนอง นาขนาด 1 ไร่ สำนักงานพัฒนาชุมชนอำเภอพร้าว ตำบลเวียง อำเภอพร้าว จังหวัดเชียงใหม่</t>
  </si>
  <si>
    <t>งานปรับปรุงพื้นที่ ตามแบบมาตรฐาน โคก หนอง นาขนาด 1 ไร่ สำนักงานพัฒนาชุมชนอำเภอแม่ริม ตำบลริมใต้ อำเภอแม่ริม จังหวัดเชียงใหม่</t>
  </si>
  <si>
    <t>1500437056410066</t>
  </si>
  <si>
    <t>งานปรับปรุงพื้นที่ ตามแบบมาตรฐาน โคก หนอง นาขนาด 1 ไร่ สำนักงานพัฒนาชุมชนอำเภอแม่อาย ตำบลแม่อาย อำเภอแม่อายจังหวัดเชียงใหม่</t>
  </si>
  <si>
    <t>1500437056410067</t>
  </si>
  <si>
    <t>งานปรับปรุงพื้นที่ ตามแบบมาตรฐาน โคก หนอง นาขนาด 1 ไร่ สำนักงานพัฒนาชุมชนอำเภอสะเมิง ตำบลสะเมิงใต้ อำเภอสะเมิง จังหวัดเชียงใหม่</t>
  </si>
  <si>
    <t>งานปรับปรุงพื้นที่ ตามแบบมาตรฐาน โคก หนอง นาขนาด 1 ไร่ สำนักงานพัฒนาชุมชนอำเภอสันกำแพงตำบลทรายมูล อำเภอสันกำแพง จังหวัดเชียงใหม่</t>
  </si>
  <si>
    <t>1500437056410069</t>
  </si>
  <si>
    <t>งานปรับปรุงพื้นที่ ตามแบบมาตรฐาน โคก หนอง นาขนาด 1 ไร่ สำนักงานพัฒนาชุมชนอำเภอสันทราย ตำบลสันทรายหลวง อำเภอสันทราย จังหวัดเชียงใหม่</t>
  </si>
  <si>
    <t>1500437056410070</t>
  </si>
  <si>
    <t>งานปรับปรุงพื้นที่ ตามแบบมาตรฐาน โคก หนอง นาขนาด 1 ไร่ สำนักงานพัฒนาชุมชนอำเภอสันป่าตองตำบลยุหว่า อำเภอสันป่าตองจังหวัดเชียงใหม่</t>
  </si>
  <si>
    <t>1500437056410071</t>
  </si>
  <si>
    <t>งานปรับปรุงพื้นที่ ตามแบบมาตรฐาน โคก หนอง นาขนาด 1 ไร่ สำนักงานพัฒนาชุมชนอำเภอนาโยง ตำบลนาโยงเหนือ อำเภอนาโยงจังหวัดตรัง</t>
  </si>
  <si>
    <t>1500437056410072</t>
  </si>
  <si>
    <t>งานปรับปรุงพื้นที่ ตามแบบมาตรฐาน โคก หนอง นาขนาด 1 ไร่ สำนักงานพัฒนาชุมชนอำเภอเมืองตรัง ตำบลทับเที่ยง อำเภอเมืองตรังจังหวัดตรัง</t>
  </si>
  <si>
    <t>1500437056410073</t>
  </si>
  <si>
    <t>งานปรับปรุงพื้นที่ ตามแบบมาตรฐาน โคก หนอง นาขนาด 1 ไร่ สำนักงานพัฒนาชุมชนอำเภอย่านตาขาวตำบลย่านตาขาว อำเภอย่านตาขาว จังหวัดตรัง</t>
  </si>
  <si>
    <t>1500437056410074</t>
  </si>
  <si>
    <t>งานปรับปรุงพื้นที่ ตามแบบมาตรฐาน โคก หนอง นาขนาด 1 ไร่ สำนักงานพัฒนาชุมชนอำเภอเขาสมิง ตำบลเขาสมิง อำเภอเขาสมิงจังหวัดตราด</t>
  </si>
  <si>
    <t>1500437056410075</t>
  </si>
  <si>
    <t>งานปรับปรุงพื้นที่ ตามแบบมาตรฐาน โคก หนอง นาขนาด 1 ไร่ สำนักงานพัฒนาชุมชนอำเภอคลองใหญ่ตำบลคลองใหญ่ อำเภอคลองใหญ่ จังหวัดตราด</t>
  </si>
  <si>
    <t>1500437056410076</t>
  </si>
  <si>
    <t>งานปรับปรุงพื้นที่ ตามแบบมาตรฐาน โคก หนอง นาขนาด 1 ไร่ สำนักงานพัฒนาชุมชนอำเภอเมืองตราดตำบลหนองเสม็ด อำเภอเมืองตราด จังหวัดตราด</t>
  </si>
  <si>
    <t>1500437056410077</t>
  </si>
  <si>
    <t>งานปรับปรุงพื้นที่ ตามแบบมาตรฐาน โคก หนอง นาขนาด 1 ไร่ สำนักงานพัฒนาชุมชนอำเภอบ้านตาก ตำบลตากออก อำเภอบ้านตากจังหวัดตาก</t>
  </si>
  <si>
    <t>งานปรับปรุงพื้นที่ ตามแบบมาตรฐาน โคก หนอง นาขนาด 1 ไร่ สำนักงานพัฒนาชุมชนอำเภอแม่สอด ตำบลแม่สอด อำเภอแม่สอดจังหวัดตาก</t>
  </si>
  <si>
    <t>1500437056410079</t>
  </si>
  <si>
    <t>งานปรับปรุงพื้นที่ ตามแบบมาตรฐาน โคก หนอง นาขนาด 1 ไร่ สำนักงานพัฒนาชุมชนอำเภอวังเจ้า ตำบลเชียงทอง อำเภอวังเจ้าจังหวัดตาก</t>
  </si>
  <si>
    <t>1500437056410080</t>
  </si>
  <si>
    <t>งานปรับปรุงพื้นที่ ตามแบบมาตรฐาน โคก หนอง นาขนาด 1 ไร่ สำนักงานพัฒนาชุมชนอำเภออุ้มผาง ตำบลอุ้มผาง อำเภออุ้มผางจังหวัดตาก</t>
  </si>
  <si>
    <t>1500437056410081</t>
  </si>
  <si>
    <t>งานปรับปรุงพื้นที่ ตามแบบมาตรฐาน โคก หนอง นาขนาด 1 ไร่ สำนักงานพัฒนาชุมชนอำเภอปากพลี ตำบลเกาะหวาย อำเภอปากพลีจังหวัดนครนายก</t>
  </si>
  <si>
    <t>1500437056410082</t>
  </si>
  <si>
    <t>งานปรับปรุงพื้นที่ ตามแบบมาตรฐาน โคก หนอง นาขนาด 1 ไร่ สำนักงานพัฒนาชุมชนอำเภอดอนตูม ตำบลสามง่าม อำเภอดอนตูมจังหวัดนครปฐม</t>
  </si>
  <si>
    <t>1500437056410083</t>
  </si>
  <si>
    <t>งานปรับปรุงพื้นที่ ตามแบบมาตรฐาน โคก หนอง นาขนาด 1 ไร่ สำนักงานพัฒนาชุมชนอำเภอนครชัยศรี ตำบลนครชัยศรี อำเภอนครชัยศรีจังหวัดนครปฐม</t>
  </si>
  <si>
    <t>1500437056410084</t>
  </si>
  <si>
    <t>งานปรับปรุงพื้นที่ ตามแบบมาตรฐาน โคก หนอง นาขนาด 1 ไร่ สำนักงานพัฒนาชุมชนอำเภอเมืองนครปฐมตำบลพระปฐมเจดีย์ อำเภอเมืองนครปฐม จังหวัดนครปฐม</t>
  </si>
  <si>
    <t>1500437056410085</t>
  </si>
  <si>
    <t>งานปรับปรุงพื้นที่ ตามแบบมาตรฐาน โคก หนอง นาขนาด 1 ไร่ สำนักงานพัฒนาชุมชนอำเภอสามพรานตำบลสามพราน อำเภอสามพราน จังหวัดนครปฐม</t>
  </si>
  <si>
    <t>1500437056410086</t>
  </si>
  <si>
    <t>งานปรับปรุงพื้นที่ ตามแบบมาตรฐาน โคก หนอง นาขนาด 1 ไร่ สำนักงานพัฒนาชุมชนอำเภอท่าอุเทน ตำบลโนนตาล อำเภอท่าอุเทนจังหวัดนครพนม</t>
  </si>
  <si>
    <t>1500437056410087</t>
  </si>
  <si>
    <t>งานปรับปรุงพื้นที่ ตามแบบมาตรฐาน โคก หนอง นาขนาด 1 ไร่ สำนักงานพัฒนาชุมชนอำเภอธาตุพนม ตำบลธาตุพนม อำเภอธาตุพนมจังหวัดนครพนม</t>
  </si>
  <si>
    <t>1500437056410088</t>
  </si>
  <si>
    <t>งานปรับปรุงพื้นที่ ตามแบบมาตรฐาน โคก หนอง นาขนาด 1 ไร่ สำนักงานพัฒนาชุมชนอำเภอนาแก ตำบลนาแก อำเภอนาแก จังหวัดนครพนม</t>
  </si>
  <si>
    <t>1500437056410089</t>
  </si>
  <si>
    <t>งานปรับปรุงพื้นที่ ตามแบบมาตรฐาน โคก หนอง นาขนาด 1 ไร่ สำนักงานพัฒนาชุมชนอำเภอนาทม ตำบลดอนเตย อำเภอนาทมจังหวัดนครพนม</t>
  </si>
  <si>
    <t>1500437056410090</t>
  </si>
  <si>
    <t>งานปรับปรุงพื้นที่ ตามแบบมาตรฐาน โคก หนอง นาขนาด 1 ไร่ สำนักงานพัฒนาชุมชนอำเภอนาหว้า ตำบลนาหว้า อำเภอนาหว้า จังหวัดนครพนม</t>
  </si>
  <si>
    <t>1500437056410091</t>
  </si>
  <si>
    <t>งานปรับปรุงพื้นที่ ตามแบบมาตรฐาน โคก หนอง นาขนาด 1 ไร่ สำนักงานพัฒนาชุมชนอำเภอเมืองนครพนมตำบลหนองญาติ อำเภอเมืองนครพนม จังหวัดนครพนม</t>
  </si>
  <si>
    <t>1500437056410092</t>
  </si>
  <si>
    <t>งานปรับปรุงพื้นที่ ตามแบบมาตรฐาน โคก หนอง นาขนาด 1 ไร่ สำนักงานพัฒนาชุมชนอำเภอเรณูนคร ตำบลโพนทอง อำเภอเรณูนครจังหวัดนครพนม</t>
  </si>
  <si>
    <t>1500437056410093</t>
  </si>
  <si>
    <t>งานปรับปรุงพื้นที่ ตามแบบมาตรฐาน โคก หนอง นาขนาด 1 ไร่ สำนักงานพัฒนาชุมชนอำเภอวังยาง ตำบลวังยาง อำเภอวังยาง จังหวัดนครพนม</t>
  </si>
  <si>
    <t>1500437056410094</t>
  </si>
  <si>
    <t>งานปรับปรุงพื้นที่ ตามแบบมาตรฐาน โคก หนอง นาขนาด 1 ไร่ สำนักงานพัฒนาชุมชนอำเภอศรีสงครามตำบลศรีสงคราม อำเภอศรีสงคราม จังหวัดนครพนม</t>
  </si>
  <si>
    <t>1500437056410095</t>
  </si>
  <si>
    <t>งานปรับปรุงพื้นที่ ตามแบบมาตรฐาน โคก หนอง นาขนาด 1 ไร่ สำนักงานพัฒนาชุมชนอำเภอแก้งสนามนางตำบลแก้งสนามนาง อำเภอแก้งสนามนาง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</si>
  <si>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สำนักงานพัฒนาชุมชนอำเภอขามทะเลสอตำบลขามทะเลสอ อำเภอขามทะเลสอ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</si>
  <si>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สำนักงานพัฒนาชุมชนอำเภอขามสะแกแสงตำบลขามสะแกแสง อำเภอขามสะแกแสง จังหวัดนครราชสีมา</t>
  </si>
  <si>
    <t>1500437056410098</t>
  </si>
  <si>
    <t>งานปรับปรุงพื้นที่ ตามแบบมาตรฐาน โคก หนอง นาขนาด 1 ไร่ สำนักงานพัฒนาชุมชนอำเภอคง ตำบลเมืองคง อำเภอคง จังหวัดนครราชสีมา</t>
  </si>
  <si>
    <t>1500437056410099</t>
  </si>
  <si>
    <t>งานปรับปรุงพื้นที่ ตามแบบมาตรฐาน โคก หนอง นาขนาด 1 ไร่ สำนักงานพัฒนาชุมชนอำเภอครบุรี ตำบลแชะอำเภอครบุรี จังหวัดนครราชสีมา</t>
  </si>
  <si>
    <t>1500437056410100</t>
  </si>
  <si>
    <t>งานปรับปรุงพื้นที่ ตามแบบมาตรฐาน โคก หนอง นาขนาด 1 ไร่ สำนักงานพัฒนาชุมชนอำเภอจักราช ตำบลจักราช อำเภอจักราช จังหวัดนครราชสีมา</t>
  </si>
  <si>
    <t>1500437056410101</t>
  </si>
  <si>
    <t>งานปรับปรุงพื้นที่ ตามแบบมาตรฐาน โคก หนอง นาขนาด 1 ไร่ สำนักงานพัฒนาชุมชนอำเภอเฉลิมพระเกียรติตำบลท่าช้าง อำเภอเฉลิมพระเกียรติ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</si>
  <si>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สำนักงานพัฒนาชุมชนอำเภอชุมพวง ตำบลชุมพวง อำเภอชุมพวงจังหวัดนครราชสีมา</t>
  </si>
  <si>
    <t>1500437056410103</t>
  </si>
  <si>
    <t>งานปรับปรุงพื้นที่ ตามแบบมาตรฐาน โคก หนอง นาขนาด 1 ไร่ สำนักงานพัฒนาชุมชนอำเภอโชคชัย ตำบลโชคชัย อำเภอโชคชัยจังหวัดนครราชสีมา</t>
  </si>
  <si>
    <t>1500437056410104</t>
  </si>
  <si>
    <t>งานปรับปรุงพื้นที่ ตามแบบมาตรฐาน โคก หนอง นาขนาด 1 ไร่ สำนักงานพัฒนาชุมชนอำเภอด่านขุนทดตำบลด่านขุนทด อำเภอด่านขุนทด จังหวัดนครราชสีมา</t>
  </si>
  <si>
    <t>1500437056410105</t>
  </si>
  <si>
    <t>งานปรับปรุงพื้นที่ ตามแบบมาตรฐาน โคก หนอง นาขนาด 1 ไร่ สำนักงานพัฒนาชุมชนอำเภอเทพารักษ์ตำบลสำนักตะคร้อ อำเภอเทพารักษ์ จังหวัดนครราชสีมา</t>
  </si>
  <si>
    <t>1500437056410106</t>
  </si>
  <si>
    <t>1500437056410107</t>
  </si>
  <si>
    <t>งานปรับปรุงพื้นที่ ตามแบบมาตรฐาน โคก หนอง นาขนาด 1 ไร่ สำนักงานพัฒนาชุมชนอำเภอโนนไทย ตำบลโนนไทย อำเภอโนนไทยจังหวัดนครราชสีมา</t>
  </si>
  <si>
    <t>1500437056410108</t>
  </si>
  <si>
    <t>1500437056410109</t>
  </si>
  <si>
    <t>1500437056410110</t>
  </si>
  <si>
    <t>งานปรับปรุงพื้นที่ ตามแบบมาตรฐาน โคก หนอง นาขนาด 1 ไร่ สำนักงานพัฒนาชุมชนอำเภอบัวใหญ่ ตำบลหนองแจ้งใหญ่ อำเภอบัวใหญ่ จังหวัดนครราชสีมา</t>
  </si>
  <si>
    <t>1500437056410111</t>
  </si>
  <si>
    <t>งานปรับปรุงพื้นที่ ตามแบบมาตรฐาน โคก หนอง นาขนาด 1 ไร่ สำนักงานพัฒนาชุมชนอำเภอบ้านเหลื่อมตำบลบ้านเหลื่อม อำเภอบ้านเหลื่อม จังหวัดนครราชสีมา</t>
  </si>
  <si>
    <t>1500437056410112</t>
  </si>
  <si>
    <t>1500437056410113</t>
  </si>
  <si>
    <t>งานปรับปรุงพื้นที่ ตามแบบมาตรฐาน โคก หนอง นาขนาด 1 ไร่ สำนักงานพัฒนาชุมชนอำเภอปักธงชัย ตำบลเมืองปัก อำเภอปักธงชัยจังหวัดนครราชสีมา</t>
  </si>
  <si>
    <t>1500437056410114</t>
  </si>
  <si>
    <t>งานปรับปรุงพื้นที่ ตามแบบมาตรฐาน โคก หนอง นาขนาด 1 ไร่ สำนักงานพัฒนาชุมชนอำเภอพระทองคำตำบลสระพระ อำเภอพระทองคำ จังหวัดนครราชสีมา</t>
  </si>
  <si>
    <t>1500437056410115</t>
  </si>
  <si>
    <t>งานปรับปรุงพื้นที่ ตามแบบมาตรฐาน โคก หนอง นาขนาด 1 ไร่ สำนักงานพัฒนาชุมชนอำเภอพิมาย ตำบลในเมือง อำเภอพิมาย จังหวัดนครราชสีมา</t>
  </si>
  <si>
    <t>1500437056410116</t>
  </si>
  <si>
    <t>1500437056410117</t>
  </si>
  <si>
    <t>1500437056410118</t>
  </si>
  <si>
    <t>1500437056410119</t>
  </si>
  <si>
    <t>งานปรับปรุงพื้นที่ ตามแบบมาตรฐาน โคก หนอง นาขนาด 1 ไร่ สำนักงานพัฒนาชุมชนอำเภอสีคิ้ว ตำบลสีคิ้วอำเภอสีคิ้ว จังหวัดนครราชสีมา</t>
  </si>
  <si>
    <t>1500437056410120</t>
  </si>
  <si>
    <t>งานปรับปรุงพื้นที่ ตามแบบมาตรฐาน โคก หนอง นาขนาด 1 ไร่ สำนักงานพัฒนาชุมชนอำเภอสีดา ตำบลโพนทอง อำเภอสีดา จังหวัดนครราชสีมา</t>
  </si>
  <si>
    <t>1500437056410121</t>
  </si>
  <si>
    <t>งานปรับปรุงพื้นที่ ตามแบบมาตรฐาน โคก หนอง นาขนาด 1 ไร่ สำนักงานพัฒนาชุมชนอำเภอสูงเนิน ตำบลสูงเนิน อำเภอสูงเนิน จังหวัดนครราชสีมา</t>
  </si>
  <si>
    <t>1500437056410122</t>
  </si>
  <si>
    <t>1500437056410123</t>
  </si>
  <si>
    <t>งานปรับปรุงพื้นที่ ตามแบบมาตรฐาน โคก หนอง นาขนาด 1 ไร่ สำนักงานพัฒนาชุมชนอำเภอห้วยแถลงตำบลทับสวาย อำเภอห้วยแถลง จังหวัดนครราชสีมา</t>
  </si>
  <si>
    <t>1500437056410124</t>
  </si>
  <si>
    <t>งานปรับปรุงพื้นที่ ตามแบบมาตรฐาน โคก หนอง นาขนาด 1 ไร่ สำนักงานพัฒนาชุมชนอำเภอขนอม ตำบลขนอม อำเภอขนอม จังหวัดนครศรีธรรมราช</t>
  </si>
  <si>
    <t>1500437056410125</t>
  </si>
  <si>
    <t>งานปรับปรุงพื้นที่ ตามแบบมาตรฐาน โคก หนอง นาขนาด 1 ไร่ สำนักงานพัฒนาชุมชนอำเภอเฉลิมพระเกียรติตำบลสวนหลวง อำเภอเฉลิมพระเกียรติ จังหวัดนครศรีธรรมราช</t>
  </si>
  <si>
    <t>1500437056410126</t>
  </si>
  <si>
    <t>งานปรับปรุงพื้นที่ ตามแบบมาตรฐาน โคก หนอง นาขนาด 1 ไร่ สำนักงานพัฒนาชุมชนอำเภอชะอวด ตำบลชะอวด อำเภอชะอวด จังหวัดนครศรีธรรมราช</t>
  </si>
  <si>
    <t>1500437056410127</t>
  </si>
  <si>
    <t>1500437056410128</t>
  </si>
  <si>
    <t>1500437056410129</t>
  </si>
  <si>
    <t>1500437056410130</t>
  </si>
  <si>
    <t>1500437056410131</t>
  </si>
  <si>
    <t>1500437056410132</t>
  </si>
  <si>
    <t>1500437056410133</t>
  </si>
  <si>
    <t>1500437056410134</t>
  </si>
  <si>
    <t>1500437056410135</t>
  </si>
  <si>
    <t>1500437056410136</t>
  </si>
  <si>
    <t>1500437056410137</t>
  </si>
  <si>
    <t>งานปรับปรุงพื้นที่ ตามแบบมาตรฐาน โคก หนอง นาขนาด 1 ไร่ สำนักงานพัฒนาชุมชนอำเภอร่อนพิบูลย์ตำบลร่อนพิบูลย์ อำเภอร่อนพิบูลย์ จังหวัดนครศรีธรรมราช</t>
  </si>
  <si>
    <t>1500437056410138</t>
  </si>
  <si>
    <t>1500437056410139</t>
  </si>
  <si>
    <t>งานปรับปรุงพื้นที่ ตามแบบมาตรฐาน โคก หนอง นาขนาด 1 ไร่ สำนักงานพัฒนาชุมชนอำเภอตาคลี ตำบลตาคลี อำเภอตาคลี จังหวัดนครสวรรค์</t>
  </si>
  <si>
    <t>1500437056410146</t>
  </si>
  <si>
    <t>งานปรับปรุงพื้นที่ ตามแบบมาตรฐาน โคก หนอง นาขนาด 1 ไร่ สำนักงานพัฒนาชุมชนอำเภอเมืองนครสวรรค์ตำบลปากน้ำโพ อำเภอเมืองนครสวรรค์ 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</si>
  <si>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สำนักงานพัฒนาชุมชนอำเภอด่านมะขามเตี้ยตำบลด่านมะขามเตี้ย อำเภอด่านมะขามเตี้ย จังหวัดกาญจนบุรี</t>
  </si>
  <si>
    <t>1500437056410154</t>
  </si>
  <si>
    <t>1500437056410155</t>
  </si>
  <si>
    <t>งานปรับปรุงพื้นที่ ตามแบบมาตรฐาน โคก หนอง นาขนาด 3 ไร่ สำนักงานพัฒนาชุมชนอำเภอกมลาไสยตำบลกมลาไสย อำเภอกมลาไสย จังหวัดกาฬสินธุ์</t>
  </si>
  <si>
    <t>1500437056410156</t>
  </si>
  <si>
    <t>งานปรับปรุงพื้นที่ ตามแบบมาตรฐาน โคก หนอง นาขนาด 3 ไร่ สำนักงานพัฒนาชุมชนอำเภอเขาวง ตำบลคุ้มเก่า อำเภอเขาวง จังหวัดกาฬสินธุ์</t>
  </si>
  <si>
    <t>1500437056410157</t>
  </si>
  <si>
    <t>1500437056410158</t>
  </si>
  <si>
    <t>งานปรับปรุงพื้นที่ ตามแบบมาตรฐาน โคก หนอง นาขนาด 3 ไร่ สำนักงานพัฒนาชุมชนอำเภอเมืองกาฬสินธุ์ตำบลกาฬสินธุ์ อำเภอเมืองกาฬสินธุ์ จังหวัดกาฬสินธุ์</t>
  </si>
  <si>
    <t>1500437056410159</t>
  </si>
  <si>
    <t>งานปรับปรุงพื้นที่ ตามแบบมาตรฐาน โคก หนอง นาขนาด 3 ไร่ สำนักงานพัฒนาชุมชนอำเภอร่องคำ ตำบลร่องคำ อำเภอร่องคำ จังหวัดกาฬสินธุ์</t>
  </si>
  <si>
    <t>1500437056410160</t>
  </si>
  <si>
    <t>1500437056410161</t>
  </si>
  <si>
    <t>งานปรับปรุงพื้นที่ ตามแบบมาตรฐาน โคก หนอง นาขนาด 3 ไร่ สำนักงานพัฒนาชุมชนอำเภอหนองกุงศรีตำบลหนองกุงศรี อำเภอหนองกุงศรี จังหวัดกาฬสินธุ์</t>
  </si>
  <si>
    <t>1500437056410162</t>
  </si>
  <si>
    <t>งานปรับปรุงพื้นที่ ตามแบบมาตรฐาน โคก หนอง นาขนาด 3 ไร่ สำนักงานพัฒนาชุมชนอำเภอห้วยผึ้ง ตำบลนิคมห้วยผึ้ง อำเภอห้วยผึ้งจังหวัดกาฬสินธุ์</t>
  </si>
  <si>
    <t>1500437056410163</t>
  </si>
  <si>
    <t>1500437056410164</t>
  </si>
  <si>
    <t>งานปรับปรุงพื้นที่ ตามแบบมาตรฐาน โคก หนอง นาขนาด 3 ไร่ สำนักงานพัฒนาชุมชนอำเภอขาณุวรลักษบุรีตำบลแสนตอ อำเภอขาณุวรลักษบุรี จังหวัดกำแพงเพชร</t>
  </si>
  <si>
    <t>1500437056410166</t>
  </si>
  <si>
    <t>งานปรับปรุงพื้นที่ ตามแบบมาตรฐาน โคก หนอง นาขนาด 3 ไร่ สำนักงานพัฒนาชุมชนอำเภอคลองขลุงตำบลคลองขลุง อำเภอคลองขลุง จังหวัดกำแพงเพชร</t>
  </si>
  <si>
    <t>1500437056410167</t>
  </si>
  <si>
    <t>งานปรับปรุงพื้นที่ ตามแบบมาตรฐาน โคก หนอง นาขนาด 3 ไร่ สำนักงานพัฒนาชุมชนอำเภอบึงสามัคคีตำบลวังชะโอน อำเภอบึงสามัคคี จังหวัดกำแพงเพชร</t>
  </si>
  <si>
    <t>1500437056410169</t>
  </si>
  <si>
    <t>งานปรับปรุงพื้นที่ ตามแบบมาตรฐาน โคก หนอง นาขนาด 3 ไร่ สำนักงานพัฒนาชุมชนอำเภอเขาสวนกวางตำบลคำม่วง อำเภอเขาสวนกวาง จังหวัดขอนแก่น</t>
  </si>
  <si>
    <t>1500437056410171</t>
  </si>
  <si>
    <t>งานปรับปรุงพื้นที่ ตามแบบมาตรฐาน โคก หนอง นาขนาด 3 ไร่ สำนักงานพัฒนาชุมชนอำเภอโคกโพธิ์ไชยตำบลบ้านโคก อำเภอโคกโพธิ์ไชย จังหวัดขอนแก่น</t>
  </si>
  <si>
    <t>1500437056410172</t>
  </si>
  <si>
    <t>งานปรับปรุงพื้นที่ ตามแบบมาตรฐาน โคก หนอง นาขนาด 3 ไร่ สำนักงานพัฒนาชุมชนอำเภอชนบท ตำบลชนบท อำเภอชนบท จังหวัดขอนแก่น</t>
  </si>
  <si>
    <t>1500437056410174</t>
  </si>
  <si>
    <t>งานปรับปรุงพื้นที่ ตามแบบมาตรฐาน โคก หนอง นาขนาด 3 ไร่ สำนักงานพัฒนาชุมชนอำเภอซำสูง ตำบลกระนวน อำเภอซำสูง จังหวัดขอนแก่น</t>
  </si>
  <si>
    <t>1500437056410175</t>
  </si>
  <si>
    <t>งานปรับปรุงพื้นที่ ตามแบบมาตรฐาน โคก หนอง นาขนาด 3 ไร่ สำนักงานพัฒนาชุมชนอำเภอน้ำพอง ตำบลวังชัย อำเภอน้ำพอง จังหวัดขอนแก่น</t>
  </si>
  <si>
    <t>1500437056410176</t>
  </si>
  <si>
    <t>1500437056410177</t>
  </si>
  <si>
    <t>1500437056410178</t>
  </si>
  <si>
    <t>1500437056410180</t>
  </si>
  <si>
    <t>งานปรับปรุงพื้นที่ ตามแบบมาตรฐาน โคก หนอง นาขนาด 3 ไร่ สำนักงานพัฒนาชุมชนอำเภอพล ตำบลเมืองพล อำเภอพล จังหวัดขอนแก่น</t>
  </si>
  <si>
    <t>1500437056410181</t>
  </si>
  <si>
    <t>1500437056410182</t>
  </si>
  <si>
    <t>งานปรับปรุงพื้นที่ ตามแบบมาตรฐาน โคก หนอง นาขนาด 3 ไร่ สำนักงานพัฒนาชุมชนอำเภอภูเวียง ตำบลภูเวียง อำเภอภูเวียง จังหวัดขอนแก่น</t>
  </si>
  <si>
    <t>1500437056410184</t>
  </si>
  <si>
    <t>งานปรับปรุงพื้นที่ ตามแบบมาตรฐาน โคก หนอง นาขนาด 3 ไร่ สำนักงานพัฒนาชุมชนอำเภอเมืองขอนแก่นตำบลในเมือง อำเภอเมืองขอนแก่น จังหวัดขอนแก่น</t>
  </si>
  <si>
    <t>1500437056410185</t>
  </si>
  <si>
    <t>1500437056410186</t>
  </si>
  <si>
    <t>1500437056410187</t>
  </si>
  <si>
    <t>1500437056410188</t>
  </si>
  <si>
    <t>งานปรับปรุงพื้นที่ ตามแบบมาตรฐาน โคก หนอง นาขนาด 3 ไร่ สำนักงานพัฒนาชุมชนอำเภอสีชมพู ตำบลวังเพิ่ม อำเภอสีชมพู จังหวัดขอนแก่น</t>
  </si>
  <si>
    <t>1500437056410189</t>
  </si>
  <si>
    <t>1500437056410190</t>
  </si>
  <si>
    <t>งานปรับปรุงพื้นที่ ตามแบบมาตรฐาน โคก หนอง นาขนาด 3 ไร่ สำนักงานพัฒนาชุมชนอำเภอหนองสองห้องตำบลหนองสองห้อง อำเภอหนองสองห้อง จังหวัดขอนแก่น</t>
  </si>
  <si>
    <t>1500437056410191</t>
  </si>
  <si>
    <t>งานปรับปรุงพื้นที่ ตามแบบมาตรฐาน โคก หนอง นาขนาด 1 ไร่ สำนักงานพัฒนาชุมชนอำเภอศรีสาคร ตำบลซากอ อำเภอศรีสาคร จังหวัดนราธิวาส</t>
  </si>
  <si>
    <t>งานปรับปรุงพื้นที่ ตามแบบมาตรฐาน โคก หนอง นาขนาด 1 ไร่ สำนักงานพัฒนาชุมชนอำเภอนาน้อย ตำบลนาน้อย อำเภอนาน้อยจังหวัดน่าน</t>
  </si>
  <si>
    <t>1500437056410195</t>
  </si>
  <si>
    <t>งานปรับปรุงพื้นที่ ตามแบบมาตรฐาน โคก หนอง นาขนาด 1 ไร่ สำนักงานพัฒนาชุมชนอำเภอบ้านหลวงตำบลป่าคาหลวง อำเภอบ้านหลวง จังหวัดน่าน</t>
  </si>
  <si>
    <t>1500437056410196</t>
  </si>
  <si>
    <t>งานปรับปรุงพื้นที่ ตามแบบมาตรฐาน โคก หนอง นาขนาด 1 ไร่ สำนักงานพัฒนาชุมชนอำเภอปัว ตำบลวรนครอำเภอปัว จังหวัดน่าน</t>
  </si>
  <si>
    <t>1500437056410197</t>
  </si>
  <si>
    <t>1500437056410199</t>
  </si>
  <si>
    <t>1500437056410200</t>
  </si>
  <si>
    <t>งานปรับปรุงพื้นที่ ตามแบบมาตรฐาน โคก หนอง นาขนาด 1 ไร่ สำนักงานพัฒนาชุมชนอำเภอเมืองบึงกาฬตำบลบึงกาฬ อำเภอเมืองบึงกาฬ จังหวัดบึงกาฬ</t>
  </si>
  <si>
    <t>1500437056410201</t>
  </si>
  <si>
    <t>งานปรับปรุงพื้นที่ ตามแบบมาตรฐาน โคก หนอง นาขนาด 1 ไร่ สำนักงานพัฒนาชุมชนอำเภอกระสัง ตำบลกระสัง อำเภอกระสัง จังหวัดบุรีรัมย์</t>
  </si>
  <si>
    <t>1500437056410202</t>
  </si>
  <si>
    <t>งานปรับปรุงพื้นที่ ตามแบบมาตรฐาน โคก หนอง นาขนาด 1 ไร่ สำนักงานพัฒนาชุมชนอำเภอคูเมือง ตำบลคูเมือง อำเภอคูเมือง จังหวัดบุรีรัมย์</t>
  </si>
  <si>
    <t>1500437056410203</t>
  </si>
  <si>
    <t>1500437056410204</t>
  </si>
  <si>
    <t>งานปรับปรุงพื้นที่ ตามแบบมาตรฐาน โคก หนอง นาขนาด 1 ไร่ สำนักงานพัฒนาชุมชนอำเภอเฉลิมพระเกียรติตำบลตาเป๊ก อำเภอเฉลิมพระเกียรติ จังหวัดบุรีรัมย์</t>
  </si>
  <si>
    <t>1500437056410205</t>
  </si>
  <si>
    <t>1500437056410206</t>
  </si>
  <si>
    <t>1500437056410207</t>
  </si>
  <si>
    <t>1500437056410208</t>
  </si>
  <si>
    <t>1500437056410209</t>
  </si>
  <si>
    <t>งานปรับปรุงพื้นที่ ตามแบบมาตรฐาน โคก หนอง นาขนาด 1 ไร่ สำนักงานพัฒนาชุมชนอำเภอประโคนชัยตำบลประโคนชัย อำเภอประโคนชัย จังหวัดบุรีรัมย์</t>
  </si>
  <si>
    <t>1500437056410210</t>
  </si>
  <si>
    <t>งานปรับปรุงพื้นที่ ตามแบบมาตรฐาน โคก หนอง นาขนาด 1 ไร่ สำนักงานพัฒนาชุมชนอำเภอพลับพลาชัยตำบลสะเดา อำเภอพลับพลาชัย จังหวัดบุรีรัมย์</t>
  </si>
  <si>
    <t>1500437056410211</t>
  </si>
  <si>
    <t>1500437056410212</t>
  </si>
  <si>
    <t>งานปรับปรุงพื้นที่ ตามแบบมาตรฐาน โคก หนอง นาขนาด 1 ไร่ สำนักงานพัฒนาชุมชนอำเภอเมืองบุรีรัมย์ตำบลในเมือง อำเภอเมืองบุรีรัมย์ จังหวัดบุรีรัมย์</t>
  </si>
  <si>
    <t>1500437056410213</t>
  </si>
  <si>
    <t>งานปรับปรุงพื้นที่ ตามแบบมาตรฐาน โคก หนอง นาขนาด 1 ไร่ สำนักงานพัฒนาชุมชนอำเภอละหานทรายตำบลละหานทราย อำเภอละหานทราย จังหวัดบุรีรัมย์</t>
  </si>
  <si>
    <t>1500437056410214</t>
  </si>
  <si>
    <t>งานปรับปรุงพื้นที่ ตามแบบมาตรฐาน โคก หนอง นาขนาด 1 ไร่ สำนักงานพัฒนาชุมชนอำเภอลำปลายมาศตำบลลำปลายมาศ อำเภอลำปลายมาศ จังหวัดบุรีรัมย์</t>
  </si>
  <si>
    <t>1500437056410215</t>
  </si>
  <si>
    <t>งานปรับปรุงพื้นที่ ตามแบบมาตรฐาน โคก หนอง นาขนาด 1 ไร่ สำนักงานพัฒนาชุมชนอำเภอสตึก ตำบลสตึกอำเภอสตึก จังหวัดบุรีรัมย์</t>
  </si>
  <si>
    <t>1500437056410216</t>
  </si>
  <si>
    <t>งานปรับปรุงพื้นที่ ตามแบบมาตรฐาน โคก หนอง นาขนาด 1 ไร่ สำนักงานพัฒนาชุมชนอำเภอหนองกี่ ตำบลทุ่งกระตาดพัฒนา อำเภอหนองกี่ จังหวัดบุรีรัมย์</t>
  </si>
  <si>
    <t>1500437056410217</t>
  </si>
  <si>
    <t>1500437056410218</t>
  </si>
  <si>
    <t>1500437056410219</t>
  </si>
  <si>
    <t>1500437056410220</t>
  </si>
  <si>
    <t>งานปรับปรุงพื้นที่ ตามแบบมาตรฐาน โคก หนอง นาขนาด 1 ไร่ สำนักงานพัฒนาชุมชนอำเภอเมืองประจวบคีรีขันธ์ ตำบลประจวบคีรีขันธ์ อำเภอเมืองประจวบคีรีขันธ์ จังหวัดประจวบคีรีขันธ์</t>
  </si>
  <si>
    <t>งานปรับปรุงพื้นที่ ตามแบบมาตรฐาน โคก หนอง นาขนาด 1 ไร่ สำนักงานพัฒนาชุมชนอำเภอหัวหิน ตำบลทับใต้ อำเภอหัวหิน จังหวัดประจวบคีรีขันธ์</t>
  </si>
  <si>
    <t>งานปรับปรุงพื้นที่ ตามแบบมาตรฐาน โคก หนอง นาขนาด 1 ไร่ สำนักงานพัฒนาชุมชนอำเภอกบินทร์บุรีตำบลกบินทร์ อำเภอกบินทร์บุรี จังหวัดปราจีนบุรี</t>
  </si>
  <si>
    <t>1500437056410224</t>
  </si>
  <si>
    <t>1500437056410225</t>
  </si>
  <si>
    <t>งานปรับปรุงพื้นที่ ตามแบบมาตรฐาน โคก หนอง นาขนาด 1 ไร่ สำนักงานพัฒนาชุมชนอำเภอประจันตคามตำบลประจันตคาม อำเภอประจันตคาม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</si>
  <si>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สำนักงานพัฒนาชุมชนอำเภอเมืองปราจีนบุรีตำบลหน้าเมือง อำเภอเมืองปราจีนบุรี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</si>
  <si>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สำนักงานพัฒนาชุมชนอำเภอศรีมหาโพธิตำบลศรีมหาโพธิ อำเภอศรีมหาโพธิ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</si>
  <si>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สำนักงานพัฒนาชุมชนอำเภอศรีมโหสถตำบลโคกปีบ อำเภอศรีมโหสถ จังหวัดปราจีนบุรี</t>
  </si>
  <si>
    <t>1500437056410229</t>
  </si>
  <si>
    <t>งานปรับปรุงพื้นที่ ตามแบบมาตรฐาน โคก หนอง นาขนาด 1 ไร่ สำนักงานพัฒนาชุมชนอำเภอกะพ้อ ตำบลกะรุบี อำเภอกะพ้อ จังหวัดปัตตานี</t>
  </si>
  <si>
    <t>1500437056410230</t>
  </si>
  <si>
    <t>งานปรับปรุงพื้นที่ ตามแบบมาตรฐาน โคก หนอง นาขนาด 1 ไร่ สำนักงานพัฒนาชุมชนอำเภอมายอ ตำบลมายอ อำเภอมายอ จังหวัดปัตตานี</t>
  </si>
  <si>
    <t>1500437056410231</t>
  </si>
  <si>
    <t>งานปรับปรุงพื้นที่ ตามแบบมาตรฐาน โคก หนอง นาขนาด 1 ไร่ สำนักงานพัฒนาชุมชนอำเภอเมืองปัตตานีตำบลสะบารัง อำเภอเมืองปัตตานี จังหวัดปัตตานี</t>
  </si>
  <si>
    <t>1500437056410232</t>
  </si>
  <si>
    <t>1500437056410234</t>
  </si>
  <si>
    <t>งานปรับปรุงพื้นที่ ตามแบบมาตรฐาน โคก หนอง นาขนาด 1 ไร่ สำนักงานพัฒนาชุมชนอำเภอยะรัง ตำบลยะรังอำเภอยะรัง จังหวัดปัตตานี</t>
  </si>
  <si>
    <t>1500437056410235</t>
  </si>
  <si>
    <t>งานปรับปรุงพื้นที่ ตามแบบมาตรฐาน โคก หนอง นาขนาด 3 ไร่ สำนักงานพัฒนาชุมชนอำเภอมะขาม ตำบลมะขาม อำเภอมะขาม จังหวัดจันทบุรี</t>
  </si>
  <si>
    <t>1500437056410236</t>
  </si>
  <si>
    <t>งานปรับปรุงพื้นที่ ตามแบบมาตรฐาน โคก หนอง นาขนาด 1 ไร่ สำนักงานพัฒนาชุมชนอำเภอยะหริ่ง ตำบลยามู อำเภอยะหริ่ง จังหวัดปัตตานี</t>
  </si>
  <si>
    <t>1500437056410238</t>
  </si>
  <si>
    <t>งานปรับปรุงพื้นที่ ตามแบบมาตรฐาน โคก หนอง นาขนาด 1 ไร่ สำนักงานพัฒนาชุมชนอำเภอสายบุรี ตำบลตะลุบัน อำเภอสายบุรี จังหวัดปัตตานี</t>
  </si>
  <si>
    <t>1500437056410239</t>
  </si>
  <si>
    <t>งานปรับปรุงพื้นที่ ตามแบบมาตรฐาน โคก หนอง นาขนาด 1 ไร่ สำนักงานพัฒนาชุมชนอำเภอหนองจิก ตำบลตุยง อำเภอหนองจิก จังหวัดปัตตานี</t>
  </si>
  <si>
    <t>1500437056410240</t>
  </si>
  <si>
    <t>งานปรับปรุงพื้นที่ ตามแบบมาตรฐาน โคก หนอง นาขนาด 1 ไร่ สำนักงานพัฒนาชุมชนอำเภอบางบาล ตำบลมหาพราหมณ์ อำเภอบางบาล จังหวัดพระนครศรีอยุธยา</t>
  </si>
  <si>
    <t>งานปรับปรุงพื้นที่ ตามแบบมาตรฐาน โคก หนอง นาขนาด 1 ไร่ สำนักงานพัฒนาชุมชนอำเภอเสนา ตำบลเสนา อำเภอเสนา จังหวัดพระนครศรีอยุธยา</t>
  </si>
  <si>
    <t>งานปรับปรุงพื้นที่ ตามแบบมาตรฐาน โคก หนอง นาขนาด 1 ไร่ สำนักงานพัฒนาชุมชนอำเภอจุน ตำบลห้วยข้าวก่ำ อำเภอจุน จังหวัดพะเยา</t>
  </si>
  <si>
    <t>1500437056410245</t>
  </si>
  <si>
    <t>งานปรับปรุงพื้นที่ ตามแบบมาตรฐาน โคก หนอง นาขนาด 1 ไร่ สำนักงานพัฒนาชุมชนอำเภอเชียงคำ ตำบลหย่วน อำเภอเชียงคำ จังหวัดพะเยา</t>
  </si>
  <si>
    <t>1500437056410246</t>
  </si>
  <si>
    <t>1500437056410247</t>
  </si>
  <si>
    <t>งานปรับปรุงพื้นที่ ตามแบบมาตรฐาน โคก หนอง นาขนาด 1 ไร่ สำนักงานพัฒนาชุมชนอำเภอดอกคำใต้ตำบลดอนศรีชุม อำเภอดอกคำใต้ จังหวัดพะเยา</t>
  </si>
  <si>
    <t>1500437056410248</t>
  </si>
  <si>
    <t>งานปรับปรุงพื้นที่ ตามแบบมาตรฐาน โคก หนอง นาขนาด 1 ไร่ สำนักงานพัฒนาชุมชนอำเภอปง ตำบลปงอำเภอปง จังหวัดพะเยา</t>
  </si>
  <si>
    <t>1500437056410249</t>
  </si>
  <si>
    <t>1500437056410250</t>
  </si>
  <si>
    <t>งานปรับปรุงพื้นที่ ตามแบบมาตรฐาน โคก หนอง นาขนาด 1 ไร่ สำนักงานพัฒนาชุมชนอำเภอภูซาง ตำบลป่าสัก อำเภอภูซาง จังหวัดพะเยา</t>
  </si>
  <si>
    <t>1500437056410251</t>
  </si>
  <si>
    <t>งานปรับปรุงพื้นที่ ตามแบบมาตรฐาน โคก หนอง นาขนาด 1 ไร่ สำนักงานพัฒนาชุมชนอำเภอคุระบุรี ตำบลคุระ อำเภอคุระบุรี จังหวัดพังงา</t>
  </si>
  <si>
    <t>1500437056410254</t>
  </si>
  <si>
    <t>งานปรับปรุงพื้นที่ ตามแบบมาตรฐาน โคก หนอง นาขนาด 1 ไร่ สำนักงานพัฒนาชุมชนอำเภอทับปุด ตำบลทับปุด อำเภอทับปุด จังหวัดพังงา</t>
  </si>
  <si>
    <t>1500437056410255</t>
  </si>
  <si>
    <t>งานปรับปรุงพื้นที่ ตามแบบมาตรฐาน โคก หนอง นาขนาด 1 ไร่ สำนักงานพัฒนาชุมชนอำเภอเมืองพังงาตำบลท้ายช้าง อำเภอเมืองพังงา จังหวัดพังงา</t>
  </si>
  <si>
    <t>1500437056410256</t>
  </si>
  <si>
    <t>1500437056410257</t>
  </si>
  <si>
    <t>งานปรับปรุงพื้นที่ ตามแบบมาตรฐาน โคก หนอง นาขนาด 3 ไร่ สำนักงานพัฒนาชุมชนอำเภอคลองเขื่อนตำบลคลองเขื่อน อำเภอคลองเขื่อน จังหวัดฉะเชิงเทรา</t>
  </si>
  <si>
    <t>1500437056410258</t>
  </si>
  <si>
    <t>งานปรับปรุงพื้นที่ ตามแบบมาตรฐาน โคก หนอง นาขนาด 1 ไร่ สำนักงานพัฒนาชุมชนอำเภอป่าพะยอมตำบลป่าพะยอม อำเภอป่าพะยอม จังหวัดพัทลุง</t>
  </si>
  <si>
    <t>1500437056410259</t>
  </si>
  <si>
    <t>1500437056410260</t>
  </si>
  <si>
    <t>1500437056410261</t>
  </si>
  <si>
    <t>งานปรับปรุงพื้นที่ ตามแบบมาตรฐาน โคก หนอง นาขนาด 1 ไร่ สำนักงานพัฒนาชุมชนอำเภอตะพานหินตำบลตะพานหิน อำเภอตะพานหิน จังหวัดพิจิตร</t>
  </si>
  <si>
    <t>1500437056410262</t>
  </si>
  <si>
    <t>1500437056410263</t>
  </si>
  <si>
    <t>1500437056410265</t>
  </si>
  <si>
    <t>1500437056410266</t>
  </si>
  <si>
    <t>งานปรับปรุงพื้นที่ ตามแบบมาตรฐาน โคก หนอง นาขนาด 1 ไร่ สำนักงานพัฒนาชุมชนอำเภอเมืองพิจิตรตำบลในเมือง อำเภอเมืองพิจิตร จังหวัดพิจิตร</t>
  </si>
  <si>
    <t>1500437056410267</t>
  </si>
  <si>
    <t>1500437056410268</t>
  </si>
  <si>
    <t>งานปรับปรุงพื้นที่ ตามแบบมาตรฐาน โคก หนอง นาขนาด 1 ไร่ สำนักงานพัฒนาชุมชนอำเภอชาติตระการตำบลป่าแดง อำเภอชาติตระการ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</si>
  <si>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สำนักงานพัฒนาชุมชนอำเภอเนินมะปรางตำบลเนินมะปราง อำเภอเนินมะปราง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</si>
  <si>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สำนักงานพัฒนาชุมชนอำเภอบางกระทุ่มตำบลบางกระทุ่ม อำเภอบางกระทุ่ม จังหวัดพิษณุโลก</t>
  </si>
  <si>
    <t>1500437056410271</t>
  </si>
  <si>
    <t>งานปรับปรุงพื้นที่ ตามแบบมาตรฐาน โคก หนอง นาขนาด 1 ไร่ สำนักงานพัฒนาชุมชนอำเภอพรหมพิรามตำบลพรหมพิราม อำเภอพรหมพิราม จังหวัดพิษณุโลก</t>
  </si>
  <si>
    <t>1500437056410273</t>
  </si>
  <si>
    <t>งานปรับปรุงพื้นที่ ตามแบบมาตรฐาน โคก หนอง นาขนาด 1 ไร่ สำนักงานพัฒนาชุมชนอำเภอเมืองพิษณุโลกตำบลในเมือง อำเภอเมืองพิษณุโลก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</si>
  <si>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สำนักงานพัฒนาชุมชนอำเภอแก่งกระจานตำบลแก่งกระจาน อำเภอแก่งกระจาน จังหวัดเพชรบุรี</t>
  </si>
  <si>
    <t>1500437056410275</t>
  </si>
  <si>
    <t>1500437056410276</t>
  </si>
  <si>
    <t>งานปรับปรุงพื้นที่ ตามแบบมาตรฐาน โคก หนอง นาขนาด 1 ไร่ สำนักงานพัฒนาชุมชนอำเภอบ้านแหลมตำบลบ้านแหลม อำเภอบ้านแหลม จังหวัดเพชรบุรี</t>
  </si>
  <si>
    <t>1500437056410277</t>
  </si>
  <si>
    <t>งานปรับปรุงพื้นที่ ตามแบบมาตรฐาน โคก หนอง นาขนาด 1 ไร่ สำนักงานพัฒนาชุมชนอำเภอเมืองเพชรบุรีตำบลคลองกระแชง อำเภอเมืองเพชรบุรี จังหวัดเพชรบุรี</t>
  </si>
  <si>
    <t>1500437056410278</t>
  </si>
  <si>
    <t>งานปรับปรุงพื้นที่ ตามแบบมาตรฐาน โคก หนอง นาขนาด 1 ไร่ สำนักงานพัฒนาชุมชนอำเภอหนองหญ้าปล้อง ตำบลหนองหญ้าปล้อง อำเภอหนองหญ้าปล้อง จังหวัดเพชรบุรี</t>
  </si>
  <si>
    <t>1500437056410279</t>
  </si>
  <si>
    <t>งานปรับปรุงพื้นที่ ตามแบบมาตรฐาน โคก หนอง นาขนาด 1 ไร่ สำนักงานพัฒนาชุมชนอำเภอวังชิ้น ตำบลวังชิ้น อำเภอวังชิ้น จังหวัดแพร่</t>
  </si>
  <si>
    <t>1500437056410281</t>
  </si>
  <si>
    <t>งานปรับปรุงพื้นที่ ตามแบบมาตรฐาน โคก หนอง นาขนาด 3 ไร่ สำนักงานพัฒนาชุมชนอำเภอพนมสารคามตำบลพนมสารคาม อำเภอพนมสารคาม จังหวัดฉะเชิงเทรา</t>
  </si>
  <si>
    <t>งานปรับปรุงพื้นที่ ตามแบบมาตรฐาน โคก หนอง นาขนาด 3 ไร่ สำนักงานพัฒนาชุมชนอำเภอเกาะจันทร์ตำบลเกาะจันทร์ อำเภอเกาะจันทร์ จังหวัดชลบุรี</t>
  </si>
  <si>
    <t>1500437056410285</t>
  </si>
  <si>
    <t>งานปรับปรุงพื้นที่ ตามแบบมาตรฐาน โคก หนอง นาขนาด 1 ไร่ สำนักงานพัฒนาชุมชนอำเภอกันทรวิชัยตำบลโคกพระ อำเภอกันทรวิชัย จังหวัดมหาสารคาม</t>
  </si>
  <si>
    <t>1500437056410288</t>
  </si>
  <si>
    <t>งานปรับปรุงพื้นที่ ตามแบบมาตรฐาน โคก หนอง นาขนาด 1 ไร่ สำนักงานพัฒนาชุมชนอำเภอกุดรัง ตำบลกุดรัง อำเภอกุดรัง จังหวัดมหาสารคาม</t>
  </si>
  <si>
    <t>1500437056410289</t>
  </si>
  <si>
    <t>งานปรับปรุงพื้นที่ ตามแบบมาตรฐาน โคก หนอง นาขนาด 1 ไร่ สำนักงานพัฒนาชุมชนอำเภอแกดำ ตำบลแกดำ อำเภอแกดำ จังหวัดมหาสารคาม</t>
  </si>
  <si>
    <t>1500437056410291</t>
  </si>
  <si>
    <t>งานปรับปรุงพื้นที่ ตามแบบมาตรฐาน โคก หนอง นาขนาด 1 ไร่ สำนักงานพัฒนาชุมชนอำเภอโกสุมพิสัยตำบลหัวขวาง อำเภอโกสุมพิสัย จังหวัดมหาสารคาม</t>
  </si>
  <si>
    <t>1500437056410293</t>
  </si>
  <si>
    <t>งานปรับปรุงพื้นที่ ตามแบบมาตรฐาน โคก หนอง นาขนาด 1 ไร่ สำนักงานพัฒนาชุมชนอำเภอชื่นชม ตำบลชื่นชม อำเภอชื่นชม จังหวัดมหาสารคาม</t>
  </si>
  <si>
    <t>1500437056410294</t>
  </si>
  <si>
    <t>1500437056410296</t>
  </si>
  <si>
    <t>1500437056410297</t>
  </si>
  <si>
    <t>1500437056410298</t>
  </si>
  <si>
    <t>งานปรับปรุงพื้นที่ ตามแบบมาตรฐาน โคก หนอง นาขนาด 1 ไร่ สำนักงานพัฒนาชุมชนอำเภอพยัคฆภูมิพิสัยตำบลปะหลาน อำเภอพยัคฆภูมิพิสัย จังหวัดมหาสารคาม</t>
  </si>
  <si>
    <t>1500437056410299</t>
  </si>
  <si>
    <t>งานปรับปรุงพื้นที่ ตามแบบมาตรฐาน โคก หนอง นาขนาด 3 ไร่ สำนักงานพัฒนาชุมชนอำเภอสัตหีบ ตำบลสัตหีบ อำเภอสัตหีบ จังหวัดชลบุรี</t>
  </si>
  <si>
    <t>1500437056410301</t>
  </si>
  <si>
    <t>งานปรับปรุงพื้นที่ ตามแบบมาตรฐาน โคก หนอง นาขนาด 1 ไร่ สำนักงานพัฒนาชุมชนอำเภอยางสีสุราชตำบลยางสีสุราช อำเภอยางสีสุราช จังหวัดมหาสารคาม</t>
  </si>
  <si>
    <t>1500437056410302</t>
  </si>
  <si>
    <t>1500437056410303</t>
  </si>
  <si>
    <t>1500437056410304</t>
  </si>
  <si>
    <t>งานปรับปรุงพื้นที่ ตามแบบมาตรฐาน โคก หนอง นาขนาด 3 ไร่ สำนักงานพัฒนาชุมชนอำเภอหนองมะโมงตำบลหนองมะโมง อำเภอหนองมะโมง จังหวัดชัยนาท</t>
  </si>
  <si>
    <t>1500437056410305</t>
  </si>
  <si>
    <t>1500437056410306</t>
  </si>
  <si>
    <t>งานปรับปรุงพื้นที่ ตามแบบมาตรฐาน โคก หนอง นาขนาด 3 ไร่ สำนักงานพัฒนาชุมชนอำเภอเกษตรสมบูรณ์ตำบลบ้านยาง อำเภอเกษตรสมบูรณ์ จังหวัดชัยภูมิ</t>
  </si>
  <si>
    <t>1500437056410307</t>
  </si>
  <si>
    <t>1500437056410308</t>
  </si>
  <si>
    <t>งานปรับปรุงพื้นที่ ตามแบบมาตรฐาน โคก หนอง นาขนาด 1 ไร่ สำนักงานพัฒนาชุมชนอำเภอคำชะอี ตำบลน้ำเที่ยง อำเภอคำชะอี จังหวัดมุกดาหาร</t>
  </si>
  <si>
    <t>1500437056410309</t>
  </si>
  <si>
    <t>1500437056410310</t>
  </si>
  <si>
    <t>งานปรับปรุงพื้นที่ ตามแบบมาตรฐาน โคก หนอง นาขนาด 3 ไร่ สำนักงานพัฒนาชุมชนอำเภอคอนสวรรค์ตำบลคอนสวรรค์ อำเภอคอนสวรรค์ จังหวัดชัยภูมิ</t>
  </si>
  <si>
    <t>งานปรับปรุงพื้นที่ ตามแบบมาตรฐาน โคก หนอง นาขนาด 1 ไร่ สำนักงานพัฒนาชุมชนอำเภอเมืองมุกดาหารตำบลมุกดาหาร อำเภอเมืองมุกดาหาร จังหวัดมุกดาหาร</t>
  </si>
  <si>
    <t>1500437056410312</t>
  </si>
  <si>
    <t>งานปรับปรุงพื้นที่ ตามแบบมาตรฐาน โคก หนอง นาขนาด 1 ไร่ สำนักงานพัฒนาชุมชนอำเภอหว้านใหญ่ตำบลหว้านใหญ่ อำเภอหว้านใหญ่ จังหวัดมุกดาหาร</t>
  </si>
  <si>
    <t>1500437056410313</t>
  </si>
  <si>
    <t>1500437056410315</t>
  </si>
  <si>
    <t>งานปรับปรุงพื้นที่ ตามแบบมาตรฐาน โคก หนอง นาขนาด 3 ไร่ สำนักงานพัฒนาชุมชนอำเภอจัตุรัส ตำบลบ้านกอก อำเภอจัตุรัสจังหวัดชัยภูมิ</t>
  </si>
  <si>
    <t>1500437056410316</t>
  </si>
  <si>
    <t>งานปรับปรุงพื้นที่ ตามแบบมาตรฐาน โคก หนอง นาขนาด 1 ไร่ สำนักงานพัฒนาชุมชนอำเภอปาย ตำบลเวียงใต้ อำเภอปาย จังหวัดแม่ฮ่องสอน</t>
  </si>
  <si>
    <t>1500437056410317</t>
  </si>
  <si>
    <t>งานปรับปรุงพื้นที่ ตามแบบมาตรฐาน โคก หนอง นาขนาด 3 ไร่ สำนักงานพัฒนาชุมชนอำเภอบ้านเขว้า ตำบลบ้านเขว้า อำเภอบ้านเขว้าจังหวัดชัยภูมิ</t>
  </si>
  <si>
    <t>1500437056410318</t>
  </si>
  <si>
    <t>งานปรับปรุงพื้นที่ ตามแบบมาตรฐาน โคก หนอง นาขนาด 3 ไร่ สำนักงานพัฒนาชุมชนอำเภอภูเขียว ตำบลผักปัง อำเภอภูเขียว จังหวัดชัยภูมิ</t>
  </si>
  <si>
    <t>1500437056410319</t>
  </si>
  <si>
    <t>งานปรับปรุงพื้นที่ ตามแบบมาตรฐาน โคก หนอง นาขนาด 1 ไร่ สำนักงานพัฒนาชุมชนอำเภอกุดชุม ตำบลกุดชุม อำเภอกุดชุม จังหวัดยโสธร</t>
  </si>
  <si>
    <t>1500437056410320</t>
  </si>
  <si>
    <t>งานปรับปรุงพื้นที่ ตามแบบมาตรฐาน โคก หนอง นาขนาด 1 ไร่ สำนักงานพัฒนาชุมชนอำเภอคำเขื่อนแก้วตำบลลุมพุก อำเภอคำเขื่อนแก้ว จังหวัดยโสธร</t>
  </si>
  <si>
    <t>1500437056410321</t>
  </si>
  <si>
    <t>งานปรับปรุงพื้นที่ ตามแบบมาตรฐาน โคก หนอง นาขนาด 3 ไร่ สำนักงานพัฒนาชุมชนอำเภอเมืองชัยภูมิตำบลในเมือง อำเภอเมืองชัยภูมิ จังหวัดชัยภูมิ</t>
  </si>
  <si>
    <t>1500437056410322</t>
  </si>
  <si>
    <t>งานปรับปรุงพื้นที่ ตามแบบมาตรฐาน โคก หนอง นาขนาด 1 ไร่ สำนักงานพัฒนาชุมชนอำเภอไทยเจริญตำบลไทยเจริญ อำเภอไทยเจริญ จังหวัดยโสธร</t>
  </si>
  <si>
    <t>1500437056410323</t>
  </si>
  <si>
    <t>งานปรับปรุงพื้นที่ ตามแบบมาตรฐาน โคก หนอง นาขนาด 1 ไร่ สำนักงานพัฒนาชุมชนอำเภอป่าติ้ว ตำบลโพธิ์ไทร อำเภอป่าติ้วจังหวัดยโสธร</t>
  </si>
  <si>
    <t>1500437056410325</t>
  </si>
  <si>
    <t>งานปรับปรุงพื้นที่ ตามแบบมาตรฐาน โคก หนอง นาขนาด 3 ไร่ สำนักงานพัฒนาชุมชนอำเภอพะโต๊ะ ตำบลพะโต๊ะ อำเภอพะโต๊ะ จังหวัดชุมพร</t>
  </si>
  <si>
    <t>1500437056410326</t>
  </si>
  <si>
    <t>งานปรับปรุงพื้นที่ ตามแบบมาตรฐาน โคก หนอง นาขนาด 1 ไร่ สำนักงานพัฒนาชุมชนอำเภอเมืองยโสธรตำบลในเมือง อำเภอเมืองยโสธร จังหวัดยโสธร</t>
  </si>
  <si>
    <t>1500437056410327</t>
  </si>
  <si>
    <t>งานปรับปรุงพื้นที่ ตามแบบมาตรฐาน โคก หนอง นาขนาด 1 ไร่ สำนักงานพัฒนาชุมชนอำเภอเลิงนกทา ตำบลสามแยก อำเภอเลิงนกทาจังหวัดยโสธร</t>
  </si>
  <si>
    <t>1500437056410328</t>
  </si>
  <si>
    <t>งานปรับปรุงพื้นที่ ตามแบบมาตรฐาน โคก หนอง นาขนาด 3 ไร่ สำนักงานพัฒนาชุมชนอำเภอเมืองชุมพรตำบลท่าตะเภา อำเภอเมืองชุมพร จังหวัดชุมพร</t>
  </si>
  <si>
    <t>งานปรับปรุงพื้นที่ ตามแบบมาตรฐาน โคก หนอง นาขนาด 1 ไร่ สำนักงานพัฒนาชุมชนอำเภอบันนังสตาตำบลบันนังสตา อำเภอบันนังสตา จังหวัดยะลา</t>
  </si>
  <si>
    <t>งานปรับปรุงพื้นที่ ตามแบบมาตรฐาน โคก หนอง นาขนาด 1 ไร่ สำนักงานพัฒนาชุมชนอำเภอเมืองยะลาตำบลสะเตง อำเภอเมืองยะลา จังหวัดยะลา</t>
  </si>
  <si>
    <t>งานปรับปรุงพื้นที่ ตามแบบมาตรฐาน โคก หนอง นาขนาด 1 ไร่ สำนักงานพัฒนาชุมชนอำเภอยะหา ตำบลยะหา อำเภอยะหา จังหวัดยะลา</t>
  </si>
  <si>
    <t>งานปรับปรุงพื้นที่ ตามแบบมาตรฐาน โคก หนอง นาขนาด 3 ไร่ สำนักงานพัฒนาชุมชนอำเภอขุนตาล ตำบลป่าตาล อำเภอขุนตาลจังหวัดเชียงราย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</si>
  <si>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สำนักงานพัฒนาชุมชนอำเภอรามัน ตำบลกายูบอเกาะ อำเภอรามัน จังหวัดยะลา</t>
  </si>
  <si>
    <t>งานปรับปรุงพื้นที่ ตามแบบมาตรฐาน โคก หนอง นาขนาด 3 ไร่ สำนักงานพัฒนาชุมชนอำเภอเชียงของ ตำบลเวียง อำเภอเชียงของจังหวัดเชียงราย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</si>
  <si>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สำนักงานพัฒนาชุมชนอำเภอเชียงแสน ตำบลเวียง อำเภอเชียงแสนจังหวัดเชียงราย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</si>
  <si>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สำนักงานพัฒนาชุมชนอำเภอเทิง ตำบลเวียงอำเภอเทิง 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</si>
  <si>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สำนักงานพัฒนาชุมชนอำเภอพญาเม็งรายตำบลเม็งราย อำเภอพญาเม็งราย 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</si>
  <si>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สำนักงานพัฒนาชุมชนอำเภอพาน ตำบลเมืองพาน อำเภอพาน 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</si>
  <si>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สำนักงานพัฒนาชุมชนอำเภอเมืองเชียงรายตำบลเวียง อำเภอเมืองเชียงราย จังหวัดเชียงราย</t>
  </si>
  <si>
    <t>1500437056410341</t>
  </si>
  <si>
    <t>งานปรับปรุงพื้นที่ ตามแบบมาตรฐาน โคก หนอง นาขนาด 1 ไร่ สำนักงานพัฒนาชุมชนอำเภอเกษตรวิสัยตำบลเกษตรวิสัย อำเภอเกษตรวิสัย จังหวัดร้อยเอ็ด</t>
  </si>
  <si>
    <t>งานปรับปรุงพื้นที่ ตามแบบมาตรฐาน โคก หนอง นาขนาด 1 ไร่ สำนักงานพัฒนาชุมชนอำเภอจังหาร ตำบลจังหาร อำเภอจังหาร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</si>
  <si>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สำนักงานพัฒนาชุมชนอำเภอแม่จัน ตำบลป่าตึง อำเภอแม่จัน 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</si>
  <si>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สำนักงานพัฒนาชุมชนอำเภอเชียงขวัญตำบลพระธาตุ อำเภอเชียงขวัญ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</si>
  <si>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สำนักงานพัฒนาชุมชนอำเภอแม่ลาว ตำบลป่าก่อดำ อำเภอแม่ลาว 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</si>
  <si>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สำนักงานพัฒนาชุมชนอำเภอธวัชบุรี ตำบลนิเวศน์ อำเภอธวัชบุรี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</si>
  <si>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สำนักงานพัฒนาชุมชนอำเภอแม่สรวย ตำบลแม่สรวย อำเภอแม่สรวยจังหวัดเชียงราย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</si>
  <si>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สำนักงานพัฒนาชุมชนอำเภอแม่สาย ตำบลเวียงพางคำ อำเภอแม่สายจังหวัดเชียงราย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</si>
  <si>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สำนักงานพัฒนาชุมชนอำเภอปทุมรัตต์ ตำบลบัวแดง อำเภอปทุมรัตต์จังหวัดร้อยเอ็ด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</si>
  <si>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สำนักงานพัฒนาชุมชนอำเภอเวียงแก่น ตำบลม่วงยาย อำเภอเวียงแก่นจังหวัดเชียงราย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</si>
  <si>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สำนักงานพัฒนาชุมชนอำเภอโพนทอง ตำบลแวง อำเภอโพนทอง จังหวัดร้อยเอ็ด</t>
  </si>
  <si>
    <t>1500437056410353</t>
  </si>
  <si>
    <t>งานปรับปรุงพื้นที่ ตามแบบมาตรฐาน โคก หนอง นาขนาด 3 ไร่ สำนักงานพัฒนาชุมชนอำเภอเวียงชัย ตำบลเวียงชัย อำเภอเวียงชัยจังหวัดเชียงราย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</si>
  <si>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สำนักงานพัฒนาชุมชนอำเภอเมืองร้อยเอ็ดตำบลในเมือง อำเภอเมืองร้อยเอ็ด จังหวัดร้อยเอ็ด</t>
  </si>
  <si>
    <t>1500437056410355</t>
  </si>
  <si>
    <t>งานปรับปรุงพื้นที่ ตามแบบมาตรฐาน โคก หนอง นาขนาด 1 ไร่ สำนักงานพัฒนาชุมชนอำเภอเมืองสรวงตำบลหนองผือ อำเภอเมืองสรวง จังหวัดร้อยเอ็ด</t>
  </si>
  <si>
    <t>1500437056410356</t>
  </si>
  <si>
    <t>งานปรับปรุงพื้นที่ ตามแบบมาตรฐาน โคก หนอง นาขนาด 1 ไร่ สำนักงานพัฒนาชุมชนอำเภอศรีสมเด็จ ตำบลบ้านบาก อำเภอศรีสมเด็จจังหวัดร้อยเอ็ด</t>
  </si>
  <si>
    <t>1500437056410357</t>
  </si>
  <si>
    <t>งานปรับปรุงพื้นที่ ตามแบบมาตรฐาน โคก หนอง นาขนาด 1 ไร่ สำนักงานพัฒนาชุมชนอำเภอสุวรรณภูมิตำบลสระคู อำเภอสุวรรณภูมิจังหวัดร้อยเอ็ด</t>
  </si>
  <si>
    <t>1500437056410358</t>
  </si>
  <si>
    <t>งานปรับปรุงพื้นที่ ตามแบบมาตรฐาน โคก หนอง นาขนาด 1 ไร่ สำนักงานพัฒนาชุมชนอำเภออาจสามารถตำบลอาจสามารถ อำเภออาจสามารถ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</si>
  <si>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สำนักงานพัฒนาชุมชนอำเภอเวียงเชียงรุ้งตำบลทุ่งก่อ อำเภอเวียงเชียงรุ้ง จังหวัดเชียงราย</t>
  </si>
  <si>
    <t>งานปรับปรุงพื้นที่ ตามแบบมาตรฐาน โคก หนอง นาขนาด 3 ไร่ สำนักงานพัฒนาชุมชนอำเภอเวียงป่าเป้าตำบลเวียง อำเภอเวียงป่าเป้าจังหวัดเชียงราย</t>
  </si>
  <si>
    <t>งานปรับปรุงพื้นที่ ตามแบบมาตรฐาน โคก หนอง นาขนาด 1 ไร่ สำนักงานพัฒนาชุมชนอำเภอสุขสำราญตำบลกำพวน อำเภอสุขสำราญ จังหวัดระนอง</t>
  </si>
  <si>
    <t>1500437056410362</t>
  </si>
  <si>
    <t>งานปรับปรุงพื้นที่ ตามแบบมาตรฐาน โคก หนอง นาขนาด 1 ไร่ สำนักงานพัฒนาชุมชนอำเภอแกลง ตำบลทางเกวียน อำเภอแกลงจังหวัดระยอง</t>
  </si>
  <si>
    <t>งานปรับปรุงพื้นที่ ตามแบบมาตรฐาน โคก หนอง นาขนาด 3 ไร่ สำนักงานพัฒนาชุมชนอำเภอจอมทอง ตำบลบ้านหลวง อำเภอจอมทองจังหวัดเชียงใหม่</t>
  </si>
  <si>
    <t>1500437056410364</t>
  </si>
  <si>
    <t>งานปรับปรุงพื้นที่ ตามแบบมาตรฐาน โคก หนอง นาขนาด 3 ไร่ สำนักงานพัฒนาชุมชนอำเภอสะเมิง ตำบลสะเมิงใต้ อำเภอสะเมิง จังหวัดเชียงใหม่</t>
  </si>
  <si>
    <t>1500437056410367</t>
  </si>
  <si>
    <t>งานปรับปรุงพื้นที่ ตามแบบมาตรฐาน โคก หนอง นาขนาด 3 ไร่ สำนักงานพัฒนาชุมชนอำเภอฮอด ตำบลหางดง อำเภอฮอด จังหวัดเชียงใหม่</t>
  </si>
  <si>
    <t>งานปรับปรุงพื้นที่ ตามแบบมาตรฐาน โคก หนอง นาขนาด 3 ไร่ สำนักงานพัฒนาชุมชนอำเภอเมืองตรัง ตำบลทับเที่ยง อำเภอเมืองตรังจังหวัดตรัง</t>
  </si>
  <si>
    <t>1500437056410369</t>
  </si>
  <si>
    <t>งานปรับปรุงพื้นที่ ตามแบบมาตรฐาน โคก หนอง นาขนาด 3 ไร่ สำนักงานพัฒนาชุมชนอำเภอย่านตาขาวตำบลย่านตาขาว อำเภอย่านตาขาว จังหวัดตรัง</t>
  </si>
  <si>
    <t>1500437056410370</t>
  </si>
  <si>
    <t>งานปรับปรุงพื้นที่ ตามแบบมาตรฐาน โคก หนอง นาขนาด 3 ไร่ สำนักงานพัฒนาชุมชนอำเภอเขาสมิง ตำบลเขาสมิง อำเภอเขาสมิงจังหวัดตราด</t>
  </si>
  <si>
    <t>งานปรับปรุงพื้นที่ ตามแบบมาตรฐาน โคก หนอง นาขนาด 3 ไร่ สำนักงานพัฒนาชุมชนอำเภอบ่อไร่ ตำบลบ่อพลอย อำเภอบ่อไร่ จังหวัดตราด</t>
  </si>
  <si>
    <t>1500437056410372</t>
  </si>
  <si>
    <t>งานปรับปรุงพื้นที่ ตามแบบมาตรฐาน โคก หนอง นาขนาด 3 ไร่ สำนักงานพัฒนาชุมชนอำเภอเมืองตราดตำบลหนองเสม็ด อำเภอเมืองตราด จังหวัดตราด</t>
  </si>
  <si>
    <t>1500437056410373</t>
  </si>
  <si>
    <t>งานปรับปรุงพื้นที่ ตามแบบมาตรฐาน โคก หนอง นาขนาด 3 ไร่ สำนักงานพัฒนาชุมชนอำเภอแหลมงอบตำบลแหลมงอบ อำเภอแหลมงอบ จังหวัดตราด</t>
  </si>
  <si>
    <t>1500437056410374</t>
  </si>
  <si>
    <t>งานปรับปรุงพื้นที่ ตามแบบมาตรฐาน โคก หนอง นาขนาด 3 ไร่ สำนักงานพัฒนาชุมชนอำเภอบ้านตาก ตำบลตากออก อำเภอบ้านตากจังหวัดตาก</t>
  </si>
  <si>
    <t>งานปรับปรุงพื้นที่ ตามแบบมาตรฐาน โคก หนอง นาขนาด 3 ไร่ สำนักงานพัฒนาชุมชนอำเภอเมืองตาก ตำบลเชียงเงิน อำเภอเมืองตากจังหวัดตาก</t>
  </si>
  <si>
    <t>1500437056410376</t>
  </si>
  <si>
    <t>งานปรับปรุงพื้นที่ ตามแบบมาตรฐาน โคก หนอง นาขนาด 3 ไร่ สำนักงานพัฒนาชุมชนอำเภอแม่ระมาด ตำบลแม่ระมาด อำเภอแม่ระมาดจังหวัดตาก</t>
  </si>
  <si>
    <t>1500437056410377</t>
  </si>
  <si>
    <t>งานปรับปรุงพื้นที่ ตามแบบมาตรฐาน โคก หนอง นาขนาด 3 ไร่ สำนักงานพัฒนาชุมชนอำเภอแม่สอด ตำบลแม่สอด อำเภอแม่สอดจังหวัดตาก</t>
  </si>
  <si>
    <t>1500437056410378</t>
  </si>
  <si>
    <t>งานปรับปรุงพื้นที่ ตามแบบมาตรฐาน โคก หนอง นาขนาด 3 ไร่ สำนักงานพัฒนาชุมชนอำเภอวังเจ้า ตำบลเชียงทอง อำเภอวังเจ้าจังหวัดตาก</t>
  </si>
  <si>
    <t>1500437056410379</t>
  </si>
  <si>
    <t>งานปรับปรุงพื้นที่ ตามแบบมาตรฐาน โคก หนอง นาขนาด 3 ไร่ สำนักงานพัฒนาชุมชนอำเภอสามเงา ตำบลยกกระบัตร อำเภอสามเงาจังหวัดตาก</t>
  </si>
  <si>
    <t>1500437056410380</t>
  </si>
  <si>
    <t>งานปรับปรุงพื้นที่ ตามแบบมาตรฐาน โคก หนอง นาขนาด 3 ไร่ สำนักงานพัฒนาชุมชนอำเภอบ้านนา ตำบลบ้านนา อำเภอบ้านนาจังหวัดนครนายก</t>
  </si>
  <si>
    <t>1500437056410381</t>
  </si>
  <si>
    <t>งานปรับปรุงพื้นที่ ตามแบบมาตรฐาน โคก หนอง นาขนาด 3 ไร่ สำนักงานพัฒนาชุมชนอำเภอปากพลี ตำบลเกาะหวาย อำเภอปากพลีจังหวัดนครนายก</t>
  </si>
  <si>
    <t>1500437056410382</t>
  </si>
  <si>
    <t>งานปรับปรุงพื้นที่ ตามแบบมาตรฐาน โคก หนอง นาขนาด 1 ไร่ สำนักงานพัฒนาชุมชนอำเภอจอมบึง ตำบลจอมบึง อำเภอจอมบึงจังหวัดราชบุรี</t>
  </si>
  <si>
    <t>1500437056410383</t>
  </si>
  <si>
    <t>งานปรับปรุงพื้นที่ ตามแบบมาตรฐาน โคก หนอง นาขนาด 1 ไร่ สำนักงานพัฒนาชุมชนอำเภอชัยบาดาลตำบลลำนารายณ์ อำเภอชัยบาดาล จังหวัดลพบุรี</t>
  </si>
  <si>
    <t>1500437056410384</t>
  </si>
  <si>
    <t>งานปรับปรุงพื้นที่ ตามแบบมาตรฐาน โคก หนอง นาขนาด 3 ไร่ สำนักงานพัฒนาชุมชนอำเภอกำแพงแสนตำบลทุ่งกระพังโหม อำเภอกำแพงแสน จังหวัดนครปฐม</t>
  </si>
  <si>
    <t>1500437056410385</t>
  </si>
  <si>
    <t>งานปรับปรุงพื้นที่ ตามแบบมาตรฐาน โคก หนอง นาขนาด 3 ไร่ สำนักงานพัฒนาชุมชนอำเภอบางเลน ตำบลบางเลน อำเภอบางเลนจังหวัดนครปฐม</t>
  </si>
  <si>
    <t>1500437056410386</t>
  </si>
  <si>
    <t>งานปรับปรุงพื้นที่ ตามแบบมาตรฐาน โคก หนอง นาขนาด 1 ไร่ สำนักงานพัฒนาชุมชนอำเภอท่าวุ้ง ตำบลท่าวุ้ง อำเภอท่าวุ้ง จังหวัดลพบุรี</t>
  </si>
  <si>
    <t>1500437056410387</t>
  </si>
  <si>
    <t>งานปรับปรุงพื้นที่ ตามแบบมาตรฐาน โคก หนอง นาขนาด 1 ไร่ สำนักงานพัฒนาชุมชนอำเภอพัฒนานิคมตำบลพัฒนานิคม อำเภอพัฒนานิคม จังหวัดลพบุรี</t>
  </si>
  <si>
    <t>1500437056410388</t>
  </si>
  <si>
    <t>งานปรับปรุงพื้นที่ ตามแบบมาตรฐาน โคก หนอง นาขนาด 3 ไร่ สำนักงานพัฒนาชุมชนอำเภอเมืองนครปฐมตำบลพระปฐมเจดีย์ อำเภอเมืองนครปฐม จังหวัดนครปฐม</t>
  </si>
  <si>
    <t>1500437056410389</t>
  </si>
  <si>
    <t>งานปรับปรุงพื้นที่ ตามแบบมาตรฐาน โคก หนอง นาขนาด 1 ไร่ สำนักงานพัฒนาชุมชนอำเภอสระโบถส์ ตำบลนิยมชัย อำเภอสระโบสถ์จังหวัดลพบุรี</t>
  </si>
  <si>
    <t>1500437056410390</t>
  </si>
  <si>
    <t>งานปรับปรุงพื้นที่ ตามแบบมาตรฐาน โคก หนอง นาขนาด 3 ไร่ สำนักงานพัฒนาชุมชนอำเภอท่าอุเทน ตำบลโนนตาล อำเภอท่าอุเทนจังหวัดนครพนม</t>
  </si>
  <si>
    <t>1500437056410391</t>
  </si>
  <si>
    <t>งานปรับปรุงพื้นที่ ตามแบบมาตรฐาน โคก หนอง นาขนาด 1 ไร่ สำนักงานพัฒนาชุมชนอำเภอเกาะคา ตำบลท่าผา อำเภอเกาะคา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</si>
  <si>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สำนักงานพัฒนาชุมชนอำเภอธาตุพนม ตำบลธาตุพนม อำเภอธาตุพนมจังหวัดนครพนม</t>
  </si>
  <si>
    <t>1500437056410393</t>
  </si>
  <si>
    <t>งานปรับปรุงพื้นที่ ตามแบบมาตรฐาน โคก หนอง นาขนาด 1 ไร่ สำนักงานพัฒนาชุมชนอำเภองาว ตำบลนาแกอำเภองาว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</si>
  <si>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สำนักงานพัฒนาชุมชนอำเภอนาแก ตำบลนาแก อำเภอนาแก จังหวัดนครพนม</t>
  </si>
  <si>
    <t>1500437056410395</t>
  </si>
  <si>
    <t>งานปรับปรุงพื้นที่ ตามแบบมาตรฐาน โคก หนอง นาขนาด 1 ไร่ สำนักงานพัฒนาชุมชนอำเภอแจ้ห่ม ตำบลวิเชตนคร อำเภอแจ้ห่ม จังหวัดลำปาง</t>
  </si>
  <si>
    <t>1500437056410396</t>
  </si>
  <si>
    <t>งานปรับปรุงพื้นที่ ตามแบบมาตรฐาน โคก หนอง นาขนาด 3 ไร่ สำนักงานพัฒนาชุมชนอำเภอนาทม ตำบลดอนเตย อำเภอนาทมจังหวัดนครพนม</t>
  </si>
  <si>
    <t>1500437056410397</t>
  </si>
  <si>
    <t>งานปรับปรุงพื้นที่ ตามแบบมาตรฐาน โคก หนอง นาขนาด 1 ไร่ สำนักงานพัฒนาชุมชนอำเภอเถิน ตำบลล้อมแรด อำเภอเถิน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</si>
  <si>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สำนักงานพัฒนาชุมชนอำเภอนาหว้า ตำบลนาหว้า อำเภอนาหว้า จังหวัดนครพนม</t>
  </si>
  <si>
    <t>1500437056410399</t>
  </si>
  <si>
    <t>งานปรับปรุงพื้นที่ ตามแบบมาตรฐาน โคก หนอง นาขนาด 1 ไร่ สำนักงานพัฒนาชุมชนอำเภอเมืองปาน ตำบลเมืองปาน อำเภอเมืองปานจังหวัดลำปาง</t>
  </si>
  <si>
    <t>1500437056410400</t>
  </si>
  <si>
    <t>งานปรับปรุงพื้นที่ ตามแบบมาตรฐาน โคก หนอง นาขนาด 3 ไร่ สำนักงานพัฒนาชุมชนอำเภอบ้านแพง ตำบลบ้านแพง อำเภอบ้านแพงจังหวัดนครพนม</t>
  </si>
  <si>
    <t>1500437056410401</t>
  </si>
  <si>
    <t>งานปรับปรุงพื้นที่ ตามแบบมาตรฐาน โคก หนอง นาขนาด 1 ไร่ สำนักงานพัฒนาชุมชนอำเภอแม่ทะ ตำบลนาครัว อำเภอแม่ทะ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</si>
  <si>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สำนักงานพัฒนาชุมชนอำเภอปลาปาก ตำบลปลาปาก อำเภอปลาปากจังหวัดนครพนม</t>
  </si>
  <si>
    <t>1500437056410403</t>
  </si>
  <si>
    <t>งานปรับปรุงพื้นที่ ตามแบบมาตรฐาน โคก หนอง นาขนาด 3 ไร่ สำนักงานพัฒนาชุมชนอำเภอโพนสวรรค์ตำบลโพนสวรรค์ อำเภอโพนสวรรค์ จังหวัดนครพนม</t>
  </si>
  <si>
    <t>1500437056410405</t>
  </si>
  <si>
    <t>งานปรับปรุงพื้นที่ ตามแบบมาตรฐาน โคก หนอง นาขนาด 1 ไร่ สำนักงานพัฒนาชุมชนอำเภอสบปราบ ตำบลสบปราบ อำเภอสบปราบจังหวัดลำปาง</t>
  </si>
  <si>
    <t>1500437056410406</t>
  </si>
  <si>
    <t>งานปรับปรุงพื้นที่ ตามแบบมาตรฐาน โคก หนอง นาขนาด 3 ไร่ สำนักงานพัฒนาชุมชนอำเภอเมืองนครพนมตำบลหนองญาติ อำเภอเมืองนครพนม จังหวัดนครพนม</t>
  </si>
  <si>
    <t>1500437056410407</t>
  </si>
  <si>
    <t>งานปรับปรุงพื้นที่ ตามแบบมาตรฐาน โคก หนอง นาขนาด 1 ไร่ สำนักงานพัฒนาชุมชนอำเภอเสริมงาม ตำบลทุ่งงาม อำเภอเสริมงามจังหวัดลำปาง</t>
  </si>
  <si>
    <t>1500437056410408</t>
  </si>
  <si>
    <t>งานปรับปรุงพื้นที่ ตามแบบมาตรฐาน โคก หนอง นาขนาด 1 ไร่ สำนักงานพัฒนาชุมชนอำเภอห้างฉัตร ตำบลเวียงตาล อำเภอห้างฉัตรจังหวัดลำปาง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</si>
  <si>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สำนักงานพัฒนาชุมชนอำเภอเรณูนคร ตำบลโพนทอง อำเภอเรณูนครจังหวัดนครพนม</t>
  </si>
  <si>
    <t>1500437056410410</t>
  </si>
  <si>
    <t>งานปรับปรุงพื้นที่ ตามแบบมาตรฐาน โคก หนอง นาขนาด 3 ไร่ สำนักงานพัฒนาชุมชนอำเภอวังยาง ตำบลวังยาง อำเภอวังยาง จังหวัดนครพนม</t>
  </si>
  <si>
    <t>1500437056410411</t>
  </si>
  <si>
    <t>งานปรับปรุงพื้นที่ ตามแบบมาตรฐาน โคก หนอง นาขนาด 3 ไร่ สำนักงานพัฒนาชุมชนอำเภอศรีสงครามตำบลศรีสงคราม อำเภอศรีสงคราม จังหวัดนครพนม</t>
  </si>
  <si>
    <t>1500437056410412</t>
  </si>
  <si>
    <t>งานปรับปรุงพื้นที่ ตามแบบมาตรฐาน โคก หนอง นาขนาด 3 ไร่ สำนักงานพัฒนาชุมชนอำเภอแก้งสนามนางตำบลแก้งสนามนาง อำเภอแก้งสนามนาง จังหวัดนครราชสีมา</t>
  </si>
  <si>
    <t>1500437056410413</t>
  </si>
  <si>
    <t>งานปรับปรุงพื้นที่ ตามแบบมาตรฐาน โคก หนอง นาขนาด 1 ไร่ สำนักงานพัฒนาชุมชนอำเภอบ้านธิ ตำบลบ้านธิ อำเภอบ้านธิ จังหวัดลำพูน</t>
  </si>
  <si>
    <t>1500437056410414</t>
  </si>
  <si>
    <t>งานปรับปรุงพื้นที่ ตามแบบมาตรฐาน โคก หนอง นาขนาด 3 ไร่ สำนักงานพัฒนาชุมชนอำเภอขามทะเลสอตำบลขามทะเลสอ อำเภอขามทะเลสอ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</si>
  <si>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สำนักงานพัฒนาชุมชนอำเภอเมืองลำพูนตำบลเวียงยอง อำเภอเมืองลำพูน จังหวัดลำพูน</t>
  </si>
  <si>
    <t>1500437056410416</t>
  </si>
  <si>
    <t>งานปรับปรุงพื้นที่ ตามแบบมาตรฐาน โคก หนอง นาขนาด 3 ไร่ สำนักงานพัฒนาชุมชนอำเภอขามสะแกแสงตำบลขามสะแกแสง อำเภอขามสะแกแสง จังหวัดนครราชสีมา</t>
  </si>
  <si>
    <t>1500437056410417</t>
  </si>
  <si>
    <t>งานปรับปรุงพื้นที่ ตามแบบมาตรฐาน โคก หนอง นาขนาด 1 ไร่ สำนักงานพัฒนาชุมชนอำเภอวังสะพุง ตำบลวังสะพุง อำเภอวังสะพุงจังหวัดเลย</t>
  </si>
  <si>
    <t>1500437056410418</t>
  </si>
  <si>
    <t>งานปรับปรุงพื้นที่ ตามแบบมาตรฐาน โคก หนอง นาขนาด 3 ไร่ สำนักงานพัฒนาชุมชนอำเภอคง ตำบลเมืองคง อำเภอคง จังหวัดนครราชสีมา</t>
  </si>
  <si>
    <t>1500437056410419</t>
  </si>
  <si>
    <t>งานปรับปรุงพื้นที่ ตามแบบมาตรฐาน โคก หนอง นาขนาด 1 ไร่ สำนักงานพัฒนาชุมชนอำเภอกันทรารมย์ตำบลดูน อำเภอกันทรารมย์จังหวัดศรีสะเกษ</t>
  </si>
  <si>
    <t>1500437056410420</t>
  </si>
  <si>
    <t>งานปรับปรุงพื้นที่ ตามแบบมาตรฐาน โคก หนอง นาขนาด 3 ไร่ สำนักงานพัฒนาชุมชนอำเภอครบุรี ตำบลแชะอำเภอครบุรี จังหวัดนครราชสีมา</t>
  </si>
  <si>
    <t>1500437056410421</t>
  </si>
  <si>
    <t>งานปรับปรุงพื้นที่ ตามแบบมาตรฐาน โคก หนอง นาขนาด 1 ไร่ สำนักงานพัฒนาชุมชนอำเภอขุขันธ์ ตำบลห้วยเหนือ อำเภอขุขันธ์จังหวัดศรีสะเกษ</t>
  </si>
  <si>
    <t>งานปรับปรุงพื้นที่ ตามแบบมาตรฐาน โคก หนอง นาขนาด 3 ไร่ สำนักงานพัฒนาชุมชนอำเภอจักราช ตำบลจักราช อำเภอจักราช จังหวัดนครราชสีมา</t>
  </si>
  <si>
    <t>1500437056410423</t>
  </si>
  <si>
    <t>งานปรับปรุงพื้นที่ ตามแบบมาตรฐาน โคก หนอง นาขนาด 1 ไร่ สำนักงานพัฒนาชุมชนอำเภอขุนหาญ ตำบลสิอำเภอขุนหาญ จังหวัดศรีสะเกษ</t>
  </si>
  <si>
    <t>1500437056410424</t>
  </si>
  <si>
    <t>งานปรับปรุงพื้นที่ ตามแบบมาตรฐาน โคก หนอง นาขนาด 1 ไร่ สำนักงานพัฒนาชุมชนอำเภอน้ำเกลี้ยง ตำบลน้ำเกลี้ยง อำเภอน้ำเกลี้ยงจังหวัดศรีสะเกษ</t>
  </si>
  <si>
    <t>1500437056410425</t>
  </si>
  <si>
    <t>งานปรับปรุงพื้นที่ ตามแบบมาตรฐาน โคก หนอง นาขนาด 3 ไร่ สำนักงานพัฒนาชุมชนอำเภอเฉลิมพระเกียรติตำบลท่าช้าง อำเภอเฉลิมพระเกียรติ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</si>
  <si>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สำนักงานพัฒนาชุมชนอำเภอปรางค์กู่ตำบลพิมาย อำเภอปรางค์กู่จังหวัดศรีสะเกษ</t>
  </si>
  <si>
    <t>1500437056410427</t>
  </si>
  <si>
    <t>งานปรับปรุงพื้นที่ ตามแบบมาตรฐาน โคก หนอง นาขนาด 3 ไร่ สำนักงานพัฒนาชุมชนอำเภอชุมพวง ตำบลชุมพวง อำเภอชุมพวงจังหวัดนครราชสีมา</t>
  </si>
  <si>
    <t>1500437056410428</t>
  </si>
  <si>
    <t>งานปรับปรุงพื้นที่ ตามแบบมาตรฐาน โคก หนอง นาขนาด 1 ไร่ สำนักงานพัฒนาชุมชนอำเภอพยุห์ ตำบลพยุห์อำเภอพยุห์ จังหวัดศรีสะเกษ</t>
  </si>
  <si>
    <t>งานปรับปรุงพื้นที่ ตามแบบมาตรฐาน โคก หนอง นาขนาด 1 ไร่ สำนักงานพัฒนาชุมชนอำเภอไพรบึง ตำบลไพรบึง อำเภอไพรบึง จังหวัดศรีสะเกษ</t>
  </si>
  <si>
    <t>1500437056410430</t>
  </si>
  <si>
    <t>งานปรับปรุงพื้นที่ ตามแบบมาตรฐาน โคก หนอง นาขนาด 1 ไร่ สำนักงานพัฒนาชุมชนอำเภอเมืองจันทร์ตำบลหนองใหญ่ อำเภอเมืองจันทร์ จังหวัดศรีสะเกษ</t>
  </si>
  <si>
    <t>1500437056410431</t>
  </si>
  <si>
    <t>งานปรับปรุงพื้นที่ ตามแบบมาตรฐาน โคก หนอง นาขนาด 3 ไร่ สำนักงานพัฒนาชุมชนอำเภอโชคชัย ตำบลโชคชัย อำเภอโชคชัยจังหวัดนครราชสีมา</t>
  </si>
  <si>
    <t>1500437056410432</t>
  </si>
  <si>
    <t>งานปรับปรุงพื้นที่ ตามแบบมาตรฐาน โคก หนอง นาขนาด 1 ไร่ สำนักงานพัฒนาชุมชนอำเภอราษีไศล ตำบลเมืองคง อำเภอราษีไศลจังหวัดศรีสะเกษ</t>
  </si>
  <si>
    <t>1500437056410433</t>
  </si>
  <si>
    <t>งานปรับปรุงพื้นที่ ตามแบบมาตรฐาน โคก หนอง นาขนาด 1 ไร่ สำนักงานพัฒนาชุมชนอำเภอศิลาลาด ตำบลกุง อำเภอศิลาลาด จังหวัดศรีสะเกษ</t>
  </si>
  <si>
    <t>งานปรับปรุงพื้นที่ ตามแบบมาตรฐาน โคก หนอง นาขนาด 3 ไร่ สำนักงานพัฒนาชุมชนอำเภอด่านขุนทดตำบลด่านขุนทด อำเภอด่านขุนทด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</si>
  <si>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สำนักงานพัฒนาชุมชนอำเภอห้วยทับทันตำบลห้วยทับทัน อำเภอห้วยทับทัน จังหวัดศรีสะเกษ</t>
  </si>
  <si>
    <t>1500437056410436</t>
  </si>
  <si>
    <t>งานปรับปรุงพื้นที่ ตามแบบมาตรฐาน โคก หนอง นาขนาด 3 ไร่ สำนักงานพัฒนาชุมชนอำเภอเทพารักษ์ตำบลสำนักตะคร้อ อำเภอเทพารักษ์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</si>
  <si>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สำนักงานพัฒนาชุมชนอำเภอกุสุมาลย์ ตำบลกุสุมาลย์ อำเภอกุสุมาลย์จังหวัดสกลนคร</t>
  </si>
  <si>
    <t>1500437056410438</t>
  </si>
  <si>
    <t>งานปรับปรุงพื้นที่ ตามแบบมาตรฐาน โคก หนอง นาขนาด 3 ไร่ สำนักงานพัฒนาชุมชนอำเภอโนนแดง ตำบลดอนยาวใหญ่ อำเภอโนนแดงจังหวัดนครราชสีมา</t>
  </si>
  <si>
    <t>1500437056410439</t>
  </si>
  <si>
    <t>งานปรับปรุงพื้นที่ ตามแบบมาตรฐาน โคก หนอง นาขนาด 1 ไร่ สำนักงานพัฒนาชุมชนอำเภอเจริญศิลป์ตำบลเจริญศิลป์ อำเภอเจริญศิลป์ จังหวัดสกลนคร</t>
  </si>
  <si>
    <t>1500437056410441</t>
  </si>
  <si>
    <t>งานปรับปรุงพื้นที่ ตามแบบมาตรฐาน โคก หนอง นาขนาด 3 ไร่ สำนักงานพัฒนาชุมชนอำเภอโนนไทย ตำบลโนนไทย อำเภอโนนไทยจังหวัดนครราชสีมา</t>
  </si>
  <si>
    <t>1500437056410442</t>
  </si>
  <si>
    <t>งานปรับปรุงพื้นที่ ตามแบบมาตรฐาน โคก หนอง นาขนาด 1 ไร่ สำนักงานพัฒนาชุมชนอำเภอเต่างอย ตำบลเต่างอย อำเภอเต่างอยจังหวัดสกลนคร</t>
  </si>
  <si>
    <t>1500437056410443</t>
  </si>
  <si>
    <t>งานปรับปรุงพื้นที่ ตามแบบมาตรฐาน โคก หนอง นาขนาด 3 ไร่ สำนักงานพัฒนาชุมชนอำเภอโนนสูง ตำบลโนนสูง อำเภอโนนสูงจังหวัดนครราชสีมา</t>
  </si>
  <si>
    <t>1500437056410444</t>
  </si>
  <si>
    <t>งานปรับปรุงพื้นที่ ตามแบบมาตรฐาน โคก หนอง นาขนาด 3 ไร่ สำนักงานพัฒนาชุมชนอำเภอบัวลาย ตำบลเมืองพะไล อำเภอบัวลายจังหวัดนครราชสีมา</t>
  </si>
  <si>
    <t>1500437056410445</t>
  </si>
  <si>
    <t>งานปรับปรุงพื้นที่ ตามแบบมาตรฐาน โคก หนอง นาขนาด 3 ไร่ สำนักงานพัฒนาชุมชนอำเภอบัวใหญ่ ตำบลหนองแจ้งใหญ่ อำเภอบัวใหญ่ จังหวัดนครราชสีมา</t>
  </si>
  <si>
    <t>1500437056410446</t>
  </si>
  <si>
    <t>งานปรับปรุงพื้นที่ ตามแบบมาตรฐาน โคก หนอง นาขนาด 1 ไร่ สำนักงานพัฒนาชุมชนอำเภอนิคมน้ำอูนตำบลหนองปลิง อำเภอนิคมน้ำอูน จังหวัดสกลนคร</t>
  </si>
  <si>
    <t>1500437056410447</t>
  </si>
  <si>
    <t>งานปรับปรุงพื้นที่ ตามแบบมาตรฐาน โคก หนอง นาขนาด 1 ไร่ สำนักงานพัฒนาชุมชนอำเภอบ้านม่วง ตำบลม่วง อำเภอบ้านม่วง จังหวัดสกลนคร</t>
  </si>
  <si>
    <t>1500437056410448</t>
  </si>
  <si>
    <t>งานปรับปรุงพื้นที่ ตามแบบมาตรฐาน โคก หนอง นาขนาด 3 ไร่ สำนักงานพัฒนาชุมชนอำเภอบ้านเหลื่อมตำบลบ้านเหลื่อม อำเภอบ้านเหลื่อม จังหวัดนครราชสีมา</t>
  </si>
  <si>
    <t>1500437056410449</t>
  </si>
  <si>
    <t>งานปรับปรุงพื้นที่ ตามแบบมาตรฐาน โคก หนอง นาขนาด 1 ไร่ สำนักงานพัฒนาชุมชนอำเภอพรรณานิคมตำบลพรรณา อำเภอพรรณานิคม จังหวัดสกลนคร</t>
  </si>
  <si>
    <t>งานปรับปรุงพื้นที่ ตามแบบมาตรฐาน โคก หนอง นาขนาด 3 ไร่ สำนักงานพัฒนาชุมชนอำเภอประทาย ตำบลประทาย อำเภอประทายจังหวัดนครราชสีมา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</si>
  <si>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สำนักงานพัฒนาชุมชนอำเภอเมืองสกลนครตำบลธาตุเชิงชุม อำเภอเมืองสกลนคร จังหวัดสกลนคร</t>
  </si>
  <si>
    <t>1500437056410452</t>
  </si>
  <si>
    <t>งานปรับปรุงพื้นที่ ตามแบบมาตรฐาน โคก หนอง นาขนาด 3 ไร่ สำนักงานพัฒนาชุมชนอำเภอปักธงชัย ตำบลเมืองปัก อำเภอปักธงชัยจังหวัดนครราชสีมา</t>
  </si>
  <si>
    <t>1500437056410453</t>
  </si>
  <si>
    <t>งานปรับปรุงพื้นที่ ตามแบบมาตรฐาน โคก หนอง นาขนาด 1 ไร่ สำนักงานพัฒนาชุมชนอำเภอวานรนิวาสตำบลวานรนิวาส อำเภอวานรนิวาส จังหวัดสกลนคร</t>
  </si>
  <si>
    <t>1500437056410454</t>
  </si>
  <si>
    <t>งานปรับปรุงพื้นที่ ตามแบบมาตรฐาน โคก หนอง นาขนาด 3 ไร่ สำนักงานพัฒนาชุมชนอำเภอปากช่อง ตำบลปากช่อง อำเภอปากช่องจังหวัดนครราชสีมา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</si>
  <si>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สำนักงานพัฒนาชุมชนอำเภอวาริชภูมิ ตำบลวาริชภูมิ อำเภอวาริชภูมิจังหวัดสกลนคร</t>
  </si>
  <si>
    <t>1500437056410456</t>
  </si>
  <si>
    <t>งานปรับปรุงพื้นที่ ตามแบบมาตรฐาน โคก หนอง นาขนาด 3 ไร่ สำนักงานพัฒนาชุมชนอำเภอพระทองคำตำบลสระพระ อำเภอพระทองคำ จังหวัดนครราชสีมา</t>
  </si>
  <si>
    <t>1500437056410457</t>
  </si>
  <si>
    <t>งานปรับปรุงพื้นที่ ตามแบบมาตรฐาน โคก หนอง นาขนาด 1 ไร่ สำนักงานพัฒนาชุมชนอำเภอสว่างแดนดินตำบลสว่างแดนดิน อำเภอสว่างแดนดิน จังหวัดสกลนคร</t>
  </si>
  <si>
    <t>1500437056410458</t>
  </si>
  <si>
    <t>งานปรับปรุงพื้นที่ ตามแบบมาตรฐาน โคก หนอง นาขนาด 3 ไร่ สำนักงานพัฒนาชุมชนอำเภอพิมาย ตำบลในเมือง อำเภอพิมาย จังหวัดนครราชสีมา</t>
  </si>
  <si>
    <t>1500437056410459</t>
  </si>
  <si>
    <t>งานปรับปรุงพื้นที่ ตามแบบมาตรฐาน โคก หนอง นาขนาด 1 ไร่ สำนักงานพัฒนาชุมชนอำเภอส่องดาว ตำบลส่องดาว อำเภอส่องดาวจังหวัดสกลนคร</t>
  </si>
  <si>
    <t>1500437056410460</t>
  </si>
  <si>
    <t>งานปรับปรุงพื้นที่ ตามแบบมาตรฐาน โคก หนอง นาขนาด 1 ไร่ สำนักงานพัฒนาชุมชนอำเภออากาศอำนวยตำบลอากาศ อำเภออากาศอำนวย จังหวัดสกลนคร</t>
  </si>
  <si>
    <t>1500437056410461</t>
  </si>
  <si>
    <t>งานปรับปรุงพื้นที่ ตามแบบมาตรฐาน โคก หนอง นาขนาด 3 ไร่ สำนักงานพัฒนาชุมชนอำเภอเมืองนครราชสีมา ตำบลบ้านเกาะอำเภอเมืองนครราชสีมาจังหวัดนครราชสีมา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</si>
  <si>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สำนักงานพัฒนาชุมชนอำเภอกระแสสินธุ์ตำบลกระแสสินธุ์ อำเภอกระแสสินธุ์ จังหวัดสงขลา</t>
  </si>
  <si>
    <t>1500437056410463</t>
  </si>
  <si>
    <t>งานปรับปรุงพื้นที่ ตามแบบมาตรฐาน โคก หนอง นาขนาด 3 ไร่ สำนักงานพัฒนาชุมชนอำเภอเมืองยาง ตำบลเมืองยาง อำเภอเมืองยางจังหวัดนครราชสีมา</t>
  </si>
  <si>
    <t>1500437056410464</t>
  </si>
  <si>
    <t>งานปรับปรุงพื้นที่ ตามแบบมาตรฐาน โคก หนอง นาขนาด 1 ไร่ สำนักงานพัฒนาชุมชนอำเภอคลองหอยโข่งตำบลคลองหอยโข่ง อำเภอคลองหอยโข่ง จังหวัดสงขลา</t>
  </si>
  <si>
    <t>1500437056410465</t>
  </si>
  <si>
    <t>งานปรับปรุงพื้นที่ ตามแบบมาตรฐาน โคก หนอง นาขนาด 1 ไร่ สำนักงานพัฒนาชุมชนอำเภอจะนะ ตำบลบ้านนา อำเภอจะนะ จังหวัดสงขลา</t>
  </si>
  <si>
    <t>งานปรับปรุงพื้นที่ ตามแบบมาตรฐาน โคก หนอง นาขนาด 3 ไร่ สำนักงานพัฒนาชุมชนอำเภอลำทะเมนชัยตำบลขุย อำเภอลำทะเมนชัยจังหวัดนครราชสีมา</t>
  </si>
  <si>
    <t>1500437056410467</t>
  </si>
  <si>
    <t>งานปรับปรุงพื้นที่ ตามแบบมาตรฐาน โคก หนอง นาขนาด 1 ไร่ สำนักงานพัฒนาชุมชนอำเภอนาหม่อม ตำบลนาหม่อม อำเภอนาหม่อมจังหวัดสงขลา</t>
  </si>
  <si>
    <t>1500437056410468</t>
  </si>
  <si>
    <t>งานปรับปรุงพื้นที่ ตามแบบมาตรฐาน โคก หนอง นาขนาด 3 ไร่ สำนักงานพัฒนาชุมชนอำเภอวังน้ำเขียวตำบลวังน้ำเขียว อำเภอวังน้ำเขียว จังหวัดนครราชสีมา</t>
  </si>
  <si>
    <t>1500437056410469</t>
  </si>
  <si>
    <t>งานปรับปรุงพื้นที่ ตามแบบมาตรฐาน โคก หนอง นาขนาด 1 ไร่ สำนักงานพัฒนาชุมชนอำเภอบางกล่ำ ตำบลบางกล่ำ อำเภอบางกล่ำจังหวัดสงขลา</t>
  </si>
  <si>
    <t>1500437056410470</t>
  </si>
  <si>
    <t>งานปรับปรุงพื้นที่ ตามแบบมาตรฐาน โคก หนอง นาขนาด 3 ไร่ สำนักงานพัฒนาชุมชนอำเภอสีคิ้ว ตำบลสีคิ้วอำเภอสีคิ้ว จังหวัดนครราชสีมา</t>
  </si>
  <si>
    <t>1500437056410471</t>
  </si>
  <si>
    <t>งานปรับปรุงพื้นที่ ตามแบบมาตรฐาน โคก หนอง นาขนาด 1 ไร่ สำนักงานพัฒนาชุมชนอำเภอเมืองสงขลาตำบลบ่อยาง อำเภอเมืองสงขลา จังหวัดสงขลา</t>
  </si>
  <si>
    <t>งานปรับปรุงพื้นที่ ตามแบบมาตรฐาน โคก หนอง นาขนาด 3 ไร่ สำนักงานพัฒนาชุมชนอำเภอสีดา ตำบลโพนทอง อำเภอสีดา จังหวัดนครราชสีมา</t>
  </si>
  <si>
    <t>1500437056410473</t>
  </si>
  <si>
    <t>งานปรับปรุงพื้นที่ ตามแบบมาตรฐาน โคก หนอง นาขนาด 3 ไร่ สำนักงานพัฒนาชุมชนอำเภอสูงเนิน ตำบลสูงเนิน อำเภอสูงเนิน จังหวัดนครราชสีมา</t>
  </si>
  <si>
    <t>1500437056410475</t>
  </si>
  <si>
    <t>งานปรับปรุงพื้นที่ ตามแบบมาตรฐาน โคก หนอง นาขนาด 1 ไร่ สำนักงานพัฒนาชุมชนอำเภอสะบ้าย้อยตำบลสะบ้าย้อย อำเภอสะบ้าย้อย จังหวัดสงขลา</t>
  </si>
  <si>
    <t>งานปรับปรุงพื้นที่ ตามแบบมาตรฐาน โคก หนอง นาขนาด 1 ไร่ สำนักงานพัฒนาชุมชนอำเภอหาดใหญ่ ตำบลหาดใหญ่ อำเภอหาดใหญ่จังหวัดสงขลา</t>
  </si>
  <si>
    <t>1500437056410477</t>
  </si>
  <si>
    <t>งานปรับปรุงพื้นที่ ตามแบบมาตรฐาน โคก หนอง นาขนาด 3 ไร่ สำนักงานพัฒนาชุมชนอำเภอเสิงสาง ตำบลเสิงสาง อำเภอเสิงสางจังหวัดนครราชสีมา</t>
  </si>
  <si>
    <t>1500437056410478</t>
  </si>
  <si>
    <t>งานปรับปรุงพื้นที่ ตามแบบมาตรฐาน โคก หนอง นาขนาด 3 ไร่ สำนักงานพัฒนาชุมชนอำเภอหนองบุญมากตำบลหนองหัวแรต อำเภอหนองบุญมาก จังหวัดนครราชสีมา</t>
  </si>
  <si>
    <t>1500437056410479</t>
  </si>
  <si>
    <t>งานปรับปรุงพื้นที่ ตามแบบมาตรฐาน โคก หนอง นาขนาด 3 ไร่ สำนักงานพัฒนาชุมชนอำเภอห้วยแถลงตำบลทับสวาย อำเภอห้วยแถลง จังหวัดนครราชสีมา</t>
  </si>
  <si>
    <t>1500437056410480</t>
  </si>
  <si>
    <t>งานปรับปรุงพื้นที่ ตามแบบมาตรฐาน โคก หนอง นาขนาด 3 ไร่ สำนักงานพัฒนาชุมชนอำเภอเฉลิมพระเกียรติตำบลสวนหลวง อำเภอเฉลิมพระเกียรติ จังหวัดนครศรีธรรมราช</t>
  </si>
  <si>
    <t>1500437056410481</t>
  </si>
  <si>
    <t>งานปรับปรุงพื้นที่ ตามแบบมาตรฐาน โคก หนอง นาขนาด 1 ไร่ สำนักงานพัฒนาชุมชนอำเภอควนกาหลงตำบลควนกาหลง อำเภอควนกาหลง จังหวัดสตูล</t>
  </si>
  <si>
    <t>1500437056410482</t>
  </si>
  <si>
    <t>งานปรับปรุงพื้นที่ ตามแบบมาตรฐาน โคก หนอง นาขนาด 1 ไร่ สำนักงานพัฒนาชุมชนอำเภอควนโดน ตำบลควนสตอ อำเภอควนโดนจังหวัดสตูล</t>
  </si>
  <si>
    <t>งานปรับปรุงพื้นที่ ตามแบบมาตรฐาน โคก หนอง นาขนาด 3 ไร่ สำนักงานพัฒนาชุมชนอำเภอชะอวด ตำบลชะอวด อำเภอชะอวด จังหวัดนครศรีธรรมราช</t>
  </si>
  <si>
    <t>1500437056410484</t>
  </si>
  <si>
    <t>งานปรับปรุงพื้นที่ ตามแบบมาตรฐาน โคก หนอง นาขนาด 1 ไร่ สำนักงานพัฒนาชุมชนอำเภอท่าแพ ตำบลท่าแพ อำเภอท่าแพ จังหวัดสตูล</t>
  </si>
  <si>
    <t>1500437056410485</t>
  </si>
  <si>
    <t>งานปรับปรุงพื้นที่ ตามแบบมาตรฐาน โคก หนอง นาขนาด 3 ไร่ สำนักงานพัฒนาชุมชนอำเภอช้างกลาง ตำบลช้างกลาง อำเภอช้างกลางจังหวัดนครศรีธรรมราช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</si>
  <si>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สำนักงานพัฒนาชุมชนอำเภอเมืองสตูล ตำบลคลองขุด อำเภอเมืองสตูลจังหวัดสตูล</t>
  </si>
  <si>
    <t>1500437056410487</t>
  </si>
  <si>
    <t>งานปรับปรุงพื้นที่ ตามแบบมาตรฐาน โคก หนอง นาขนาด 1 ไร่ สำนักงานพัฒนาชุมชนอำเภอละงู ตำบลละงูอำเภอละงู จังหวัดสตูล</t>
  </si>
  <si>
    <t>1500437056410488</t>
  </si>
  <si>
    <t>งานปรับปรุงพื้นที่ ตามแบบมาตรฐาน โคก หนอง นาขนาด 3 ไร่ สำนักงานพัฒนาชุมชนอำเภอเชียรใหญ่ ตำบลเชียรใหญ่ อำเภอเชียรใหญ่จังหวัดนครศรีธรรมราช</t>
  </si>
  <si>
    <t>1500437056410489</t>
  </si>
  <si>
    <t>งานปรับปรุงพื้นที่ ตามแบบมาตรฐาน โคก หนอง นาขนาด 3 ไร่ สำนักงานพัฒนาชุมชนอำเภอท่าศาลา ตำบลท่าศาลา อำเภอท่าศาลาจังหวัดนครศรีธรรมราช</t>
  </si>
  <si>
    <t>1500437056410490</t>
  </si>
  <si>
    <t>งานปรับปรุงพื้นที่ ตามแบบมาตรฐาน โคก หนอง นาขนาด 3 ไร่ สำนักงานพัฒนาชุมชนอำเภอทุ่งใหญ่ ตำบลทุ่งใหญ่ อำเภอทุ่งใหญ่จังหวัดนครศรีธรรมราช</t>
  </si>
  <si>
    <t>งานปรับปรุงพื้นที่ ตามแบบมาตรฐาน โคก หนอง นาขนาด 3 ไร่ สำนักงานพัฒนาชุมชนอำเภอนาบอน ตำบลนาบอน อำเภอนาบอนจังหวัดนครศรีธรรมราช</t>
  </si>
  <si>
    <t>1500437056410492</t>
  </si>
  <si>
    <t>งานปรับปรุงพื้นที่ ตามแบบมาตรฐาน โคก หนอง นาขนาด 3 ไร่ สำนักงานพัฒนาชุมชนอำเภอพรหมคีรี ตำบลพรหมโลก อำเภอพรหมคีรีจังหวัดนครศรีธรรมราช</t>
  </si>
  <si>
    <t>1500437056410493</t>
  </si>
  <si>
    <t>งานปรับปรุงพื้นที่ ตามแบบมาตรฐาน โคก หนอง นาขนาด 3 ไร่ สำนักงานพัฒนาชุมชนอำเภอพระพรหมตำบลนาพรุ อำเภอพระพรหมจังหวัดนครศรีธรรมราช</t>
  </si>
  <si>
    <t>1500437056410494</t>
  </si>
  <si>
    <t>งานปรับปรุงพื้นที่ ตามแบบมาตรฐาน โคก หนอง นาขนาด 3 ไร่ สำนักงานพัฒนาชุมชนอำเภอเมืองนครศรีธรรมราช ตำบลในเมือง อำเภอเมืองนครศรีธรรมราช จังหวัดนครศรีธรรมราช</t>
  </si>
  <si>
    <t>1500437056410495</t>
  </si>
  <si>
    <t>งานปรับปรุงพื้นที่ ตามแบบมาตรฐาน โคก หนอง นาขนาด 3 ไร่ สำนักงานพัฒนาชุมชนอำเภอร่อนพิบูลย์ตำบลร่อนพิบูลย์ อำเภอร่อนพิบูลย์ จังหวัดนครศรีธรรมราช</t>
  </si>
  <si>
    <t>1500437056410496</t>
  </si>
  <si>
    <t>งานปรับปรุงพื้นที่ ตามแบบมาตรฐาน โคก หนอง นาขนาด 3 ไร่ สำนักงานพัฒนาชุมชนอำเภอหัวไทร ตำบลหัวไทร อำเภอหัวไทรจังหวัดนครศรีธรรมราช</t>
  </si>
  <si>
    <t>1500437056410497</t>
  </si>
  <si>
    <t>งานปรับปรุงพื้นที่ ตามแบบมาตรฐาน โคก หนอง นาขนาด 3 ไร่ สำนักงานพัฒนาชุมชนอำเภอเก้าเลี้ยว ตำบลเก้าเลี้ยว อำเภอเก้าเลี้ยวจังหวัดนครสวรรค์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</si>
  <si>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สำนักงานพัฒนาชุมชนอำเภอโกรกพระ ตำบลโกรกพระ อำเภอโกรกพระจังหวัดนครสวรรค์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</si>
  <si>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สำนักงานพัฒนาชุมชนอำเภอตากฟ้า ตำบลตากฟ้า อำเภอตากฟ้าจังหวัดนครสวรรค์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</si>
  <si>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สำนักงานพัฒนาชุมชนอำเภอตาคลี ตำบลตาคลี อำเภอตาคลี 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</si>
  <si>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สำนักงานพัฒนาชุมชนอำเภอท่าตะโก ตำบลท่าตะโก อำเภอท่าตะโกจังหวัดนครสวรรค์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</si>
  <si>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สำนักงานพัฒนาชุมชนอำเภอบรรพตพิสัยตำบลท่างิ้ว อำเภอบรรพตพิสัย 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</si>
  <si>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สำนักงานพัฒนาชุมชนอำเภอพยุหะคีรี ตำบลสระทะเล อำเภอพยุหะคีรีจังหวัดนครสวรรค์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</si>
  <si>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สำนักงานพัฒนาชุมชนอำเภอเมืองนครสวรรค์ตำบลปากน้ำโพ อำเภอเมืองนครสวรรค์ 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</si>
  <si>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สำนักงานพัฒนาชุมชนอำเภอลาดยาว ตำบลลาดยาว อำเภอลาดยาวจังหวัดนครสวรรค์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</si>
  <si>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สำนักงานพัฒนาชุมชนอำเภอเชียงกลางตำบลเชียงกลาง อำเภอเชียงกลาง จังหวัดน่าน</t>
  </si>
  <si>
    <t>1500437056410513</t>
  </si>
  <si>
    <t>งานปรับปรุงพื้นที่ ตามแบบมาตรฐาน โคก หนอง นาขนาด 3 ไร่ สำนักงานพัฒนาชุมชนอำเภอท่าวังผา ตำบลท่าวังผา อำเภอท่าวังผาจังหวัดน่าน</t>
  </si>
  <si>
    <t>1500437056410514</t>
  </si>
  <si>
    <t>งานปรับปรุงพื้นที่ ตามแบบมาตรฐาน โคก หนอง นาขนาด 3 ไร่ สำนักงานพัฒนาชุมชนอำเภอทุ่งช้าง ตำบลทุ่งช้าง อำเภอทุ่งช้างจังหวัดน่าน</t>
  </si>
  <si>
    <t>งานปรับปรุงพื้นที่ ตามแบบมาตรฐาน โคก หนอง นาขนาด 3 ไร่ สำนักงานพัฒนาชุมชนอำเภอเวียงสา ตำบลกลางเวียง อำเภอเวียงสาจังหวัดน่าน</t>
  </si>
  <si>
    <t>1500437056410516</t>
  </si>
  <si>
    <t>งานปรับปรุงพื้นที่ ตามแบบมาตรฐาน โคก หนอง นาขนาด 3 ไร่ สำนักงานพัฒนาชุมชนอำเภอสันติสุข ตำบลดู่พงษ์ อำเภอสันติสุข จังหวัดน่าน</t>
  </si>
  <si>
    <t>1500437056410517</t>
  </si>
  <si>
    <t>งานปรับปรุงพื้นที่ ตามแบบมาตรฐาน โคก หนอง นาขนาด 3 ไร่ สำนักงานพัฒนาชุมชนอำเภอเซกา ตำบลเซกา อำเภอเซกา จังหวัดบึงกาฬ</t>
  </si>
  <si>
    <t>งานปรับปรุงพื้นที่ ตามแบบมาตรฐาน โคก หนอง นาขนาด 1 ไร่ สำนักงานพัฒนาชุมชนอำเภอบางคณฑี ตำบลกระดังงา อำเภอบางคนทีจังหวัดสมุทรสงคราม</t>
  </si>
  <si>
    <t>1500437056410519</t>
  </si>
  <si>
    <t>งานปรับปรุงพื้นที่ ตามแบบมาตรฐาน โคก หนอง นาขนาด 1 ไร่ สำนักงานพัฒนาชุมชนอำเภอวัฒนานครตำบลวัฒนานคร อำเภอวัฒนานคร จังหวัดสระแก้ว</t>
  </si>
  <si>
    <t>งานปรับปรุงพื้นที่ ตามแบบมาตรฐาน โคก หนอง นาขนาด 1 ไร่ สำนักงานพัฒนาชุมชนอำเภออรัญประเทศตำบลบ้านใหม่หนองไทรอำเภออรัญประเทศ จังหวัดสระแก้ว</t>
  </si>
  <si>
    <t>งานปรับปรุงพื้นที่ ตามแบบมาตรฐาน โคก หนอง นาขนาด 1 ไร่ สำนักงานพัฒนาชุมชนอำเภอแก่งคอย ตำบลแก่งคอย อำเภอแก่งคอยจังหวัดสระบุรี</t>
  </si>
  <si>
    <t>1500437056410523</t>
  </si>
  <si>
    <t>งานปรับปรุงพื้นที่ ตามแบบมาตรฐาน โคก หนอง นาขนาด 3 ไร่ สำนักงานพัฒนาชุมชนโซ่พิสัย ตำบลโซ่อำเภอโซ่พิสัย จังหวัดบึงกาฬ</t>
  </si>
  <si>
    <t>1500437056410524</t>
  </si>
  <si>
    <t>งานปรับปรุงพื้นที่ ตามแบบมาตรฐาน โคก หนอง นาขนาด 1 ไร่ สำนักงานพัฒนาชุมชนอำเภอเฉลิมพระเกียรติตำบลเขาดินพัฒนา อำเภอเฉลิมพระเกียรติ จังหวัดสระบุรี</t>
  </si>
  <si>
    <t>1500437056410525</t>
  </si>
  <si>
    <t>งานปรับปรุงพื้นที่ ตามแบบมาตรฐาน โคก หนอง นาขนาด 1 ไร่ สำนักงานพัฒนาชุมชนอำเภอบ้านหมอ ตำบลบ้านหมอ อำเภอบ้านหมอจังหวัดสระบุรี</t>
  </si>
  <si>
    <t>1500437056410526</t>
  </si>
  <si>
    <t>งานปรับปรุงพื้นที่ ตามแบบมาตรฐาน โคก หนอง นาขนาด 1 ไร่ สำนักงานพัฒนาชุมชนอำเภอเมืองสระบุรีตำบลปากเพรียว อำเภอเมืองสระบุรี จังหวัดสระบุรี</t>
  </si>
  <si>
    <t>1500437056410527</t>
  </si>
  <si>
    <t>งานปรับปรุงพื้นที่ ตามแบบมาตรฐาน โคก หนอง นาขนาด 1 ไร่ สำนักงานพัฒนาชุมชนอำเภอวิหารแดง ตำบลหนองสรวง อำเภอวิหารแดงจังหวัดสระบุรี</t>
  </si>
  <si>
    <t>1500437056410528</t>
  </si>
  <si>
    <t>งานปรับปรุงพื้นที่ ตามแบบมาตรฐาน โคก หนอง นาขนาด 1 ไร่ สำนักงานพัฒนาชุมชนอำเภอเสาไห้ ตำบลเสาไห้ อำเภอเสาไห้ จังหวัดสระบุรี</t>
  </si>
  <si>
    <t>1500437056410529</t>
  </si>
  <si>
    <t>งานปรับปรุงพื้นที่ ตามแบบมาตรฐาน โคก หนอง นาขนาด 1 ไร่ สำนักงานพัฒนาชุมชนอำเภอหนองแค ตำบลหนองแค อำเภอหนองแคจังหวัดสระบุรี</t>
  </si>
  <si>
    <t>1500437056410530</t>
  </si>
  <si>
    <t>งานปรับปรุงพื้นที่ ตามแบบมาตรฐาน โคก หนอง นาขนาด 1 ไร่ สำนักงานพัฒนาชุมชนอำเภอหนองโดนตำบลหนองโดน อำเภอหนองโดน จังหวัดสระบุรี</t>
  </si>
  <si>
    <t>1500437056410531</t>
  </si>
  <si>
    <t>งานปรับปรุงพื้นที่ ตามแบบมาตรฐาน โคก หนอง นาขนาด 1 ไร่ สำนักงานพัฒนาชุมชนอำเภอท่าช้าง ตำบลถอนสมอ อำเภอท่าช้างจังหวัดสิงห์บุรี</t>
  </si>
  <si>
    <t>1500437056410532</t>
  </si>
  <si>
    <t>งานปรับปรุงพื้นที่ ตามแบบมาตรฐาน โคก หนอง นาขนาด 1 ไร่ สำนักงานพัฒนาชุมชนอำเภอบางระจัน ตำบลสิงห์ อำเภอบางระจัน จังหวัดสิงห์บุรี</t>
  </si>
  <si>
    <t>1500437056410533</t>
  </si>
  <si>
    <t>งานปรับปรุงพื้นที่ ตามแบบมาตรฐาน โคก หนอง นาขนาด 1 ไร่ สำนักงานพัฒนาชุมชนอำเภอพรหมบุรี ตำบลบางน้ำเชี่ยว อำเภอพรหมบุรีจังหวัดสิงห์บุรี</t>
  </si>
  <si>
    <t>1500437056410534</t>
  </si>
  <si>
    <t>งานปรับปรุงพื้นที่ ตามแบบมาตรฐาน โคก หนอง นาขนาด 3 ไร่ สำนักงานพัฒนาชุมชนอำเภอบึงโขงหลงตำบลบึงโขงหลง อำเภอบึงโขงหลง จังหวัดบึงกาฬ</t>
  </si>
  <si>
    <t>1500437056410535</t>
  </si>
  <si>
    <t>งานปรับปรุงพื้นที่ ตามแบบมาตรฐาน โคก หนอง นาขนาด 1 ไร่ สำนักงานพัฒนาชุมชนอำเภอเมืองสิงห์บุรีตำบลบางพุทรา อำเภอเมืองสิงห์บุรี จังหวัดสิงห์บุรี</t>
  </si>
  <si>
    <t>1500437056410536</t>
  </si>
  <si>
    <t>งานปรับปรุงพื้นที่ ตามแบบมาตรฐาน โคก หนอง นาขนาด 1 ไร่ สำนักงานพัฒนาชุมชนอำเภอกงไกรลาศตำบลบ้านกร่าง อำเภอกงไกรลาศ จังหวัดสุโขทัย</t>
  </si>
  <si>
    <t>1500437056410537</t>
  </si>
  <si>
    <t>งานปรับปรุงพื้นที่ ตามแบบมาตรฐาน โคก หนอง นาขนาด 1 ไร่ สำนักงานพัฒนาชุมชนอำเภอสวรรคโลกตำบลในเมือง อำเภอสวรรคโลก จังหวัดสุโขทัย</t>
  </si>
  <si>
    <t>1500437056410538</t>
  </si>
  <si>
    <t>งานปรับปรุงพื้นที่ ตามแบบมาตรฐาน โคก หนอง นาขนาด 1 ไร่ สำนักงานพัฒนาชุมชนอำเภอดอนเจดีย์ ตำบลดอนเจดีย์ อำเภอดอนเจดีย์จังหวัดสุพรรณบุรี</t>
  </si>
  <si>
    <t>งานปรับปรุงพื้นที่ ตามแบบมาตรฐาน โคก หนอง นาขนาด 1 ไร่ สำนักงานพัฒนาชุมชนอำเภอหนองหญ้าไซตำบลหนองหญ้าไซ อำเภอหนองหญ้าไซ จังหวัดสุพรรณบุรี</t>
  </si>
  <si>
    <t>1500437056410541</t>
  </si>
  <si>
    <t>1500437056410542</t>
  </si>
  <si>
    <t>1500437056410543</t>
  </si>
  <si>
    <t>งานปรับปรุงพื้นที่ ตามแบบมาตรฐาน โคก หนอง นาขนาด 1 ไร่ สำนักงานพัฒนาชุมชนอำเภอกาญจนดิษฐ์ตำบลกะแดะ อำเภอกาญจนดิษฐ์ จังหวัดสุราษฎร์ธานี</t>
  </si>
  <si>
    <t>1500437056410544</t>
  </si>
  <si>
    <t>งานปรับปรุงพื้นที่ ตามแบบมาตรฐาน โคก หนอง นาขนาด 1 ไร่ สำนักงานพัฒนาชุมชนอำเภอคีรีรัฐนิคม ตำบลท่าขนอน อำเภอคีรีรัฐนิคมจังหวัดสุราษฎร์ธานี</t>
  </si>
  <si>
    <t>1500437056410545</t>
  </si>
  <si>
    <t>งานปรับปรุงพื้นที่ ตามแบบมาตรฐาน โคก หนอง นาขนาด 3 ไร่ สำนักงานพัฒนาชุมชนอำเภอเมืองบึงกาฬตำบลบึงกาฬ อำเภอเมืองบึงกาฬ จังหวัดบึงกาฬ</t>
  </si>
  <si>
    <t>1500437056410546</t>
  </si>
  <si>
    <t>งานปรับปรุงพื้นที่ ตามแบบมาตรฐาน โคก หนอง นาขนาด 1 ไร่ สำนักงานพัฒนาชุมชนอำเภอดอนสัก ตำบลดอนสัก อำเภอดอนสักจังหวัดสุราษฎร์ธานี</t>
  </si>
  <si>
    <t>1500437056410547</t>
  </si>
  <si>
    <t>งานปรับปรุงพื้นที่ ตามแบบมาตรฐาน โคก หนอง นาขนาด 1 ไร่ สำนักงานพัฒนาชุมชนอำเภอบ้านนาเดิมตำบลบ้านนา อำเภอบ้านนาเดิม จังหวัดสุราษฎร์ธานี</t>
  </si>
  <si>
    <t>1500437056410549</t>
  </si>
  <si>
    <t>งานปรับปรุงพื้นที่ ตามแบบมาตรฐาน โคก หนอง นาขนาด 1 ไร่ สำนักงานพัฒนาชุมชนอำเภอบ้านนาสารตำบลบ้านนา อำเภอบ้านนาสาร จังหวัดสุราษฎร์ธานี</t>
  </si>
  <si>
    <t>งานปรับปรุงพื้นที่ ตามแบบมาตรฐาน โคก หนอง นาขนาด 3 ไร่ สำนักงานพัฒนาชุมชนอำเภอศรีวิไล ตำบลศรีวิไล อำเภอศรีวิไล จังหวัดบึงกาฬ</t>
  </si>
  <si>
    <t>1500437056410551</t>
  </si>
  <si>
    <t>งานปรับปรุงพื้นที่ ตามแบบมาตรฐาน โคก หนอง นาขนาด 1 ไร่ สำนักงานพัฒนาชุมชนอำเภอพนม ตำบลพนมอำเภอพนม จังหวัดสุราษฎร์ธานี</t>
  </si>
  <si>
    <t>1500437056410552</t>
  </si>
  <si>
    <t>งานปรับปรุงพื้นที่ ตามแบบมาตรฐาน โคก หนอง นาขนาด 3 ไร่ สำนักงานพัฒนาชุมชนอำเภอกระสัง ตำบลกระสัง อำเภอกระสัง จังหวัดบุรีรัมย์</t>
  </si>
  <si>
    <t>1500437056410553</t>
  </si>
  <si>
    <t>งานปรับปรุงพื้นที่ ตามแบบมาตรฐาน โคก หนอง นาขนาด 1 ไร่ สำนักงานพัฒนาชุมชนอำเภอจอมพระ ตำบลจอมพระ อำเภอจอมพระจังหวัดสุรินทร์</t>
  </si>
  <si>
    <t>1500437056410554</t>
  </si>
  <si>
    <t>งานปรับปรุงพื้นที่ ตามแบบมาตรฐาน โคก หนอง นาขนาด 3 ไร่ สำนักงานพัฒนาชุมชนอำเภอคูเมือง ตำบลคูเมือง อำเภอคูเมือง จังหวัดบุรีรัมย์</t>
  </si>
  <si>
    <t>1500437056410555</t>
  </si>
  <si>
    <t>งานปรับปรุงพื้นที่ ตามแบบมาตรฐาน โคก หนอง นาขนาด 1 ไร่ สำนักงานพัฒนาชุมชนอำเภอชุมพลบุรี ตำบลชุมพลบุรี อำเภอชุมพลบุรีจังหวัดสุรินทร์</t>
  </si>
  <si>
    <t>1500437056410556</t>
  </si>
  <si>
    <t>งานปรับปรุงพื้นที่ ตามแบบมาตรฐาน โคก หนอง นาขนาด 3 ไร่ สำนักงานพัฒนาชุมชนอำเภอเฉลิมพระเกียรติตำบลตาเป๊ก อำเภอเฉลิมพระเกียรติ จังหวัดบุรีรัมย์</t>
  </si>
  <si>
    <t>1500437056410557</t>
  </si>
  <si>
    <t>งานปรับปรุงพื้นที่ ตามแบบมาตรฐาน โคก หนอง นาขนาด 1 ไร่ สำนักงานพัฒนาชุมชนอำเภอท่าตูม ตำบลท่าตูม อำเภอท่าตูม จังหวัดสุรินทร์</t>
  </si>
  <si>
    <t>1500437056410558</t>
  </si>
  <si>
    <t>งานปรับปรุงพื้นที่ ตามแบบมาตรฐาน โคก หนอง นาขนาด 3 ไร่ สำนักงานพัฒนาชุมชนอำเภอชำนิ ตำบลเมืองยาง อำเภอชำนิ จังหวัดบุรีรัมย์</t>
  </si>
  <si>
    <t>1500437056410559</t>
  </si>
  <si>
    <t>งานปรับปรุงพื้นที่ ตามแบบมาตรฐาน โคก หนอง นาขนาด 3 ไร่ สำนักงานพัฒนาชุมชนอำเภอนางรอง ตำบล*หนองปล่อง อำเภอนางรองจังหวัดบุรีรัมย์</t>
  </si>
  <si>
    <t>1500437056410560</t>
  </si>
  <si>
    <t>งานปรับปรุงพื้นที่ ตามแบบมาตรฐาน โคก หนอง นาขนาด 3 ไร่ สำนักงานพัฒนาชุมชนอำเภอนาโพธิ์ ตำบลนาโพธิ์ อำเภอนาโพธิ์จังหวัดบุรีรัมย์</t>
  </si>
  <si>
    <t>1500437056410561</t>
  </si>
  <si>
    <t>งานปรับปรุงพื้นที่ ตามแบบมาตรฐาน โคก หนอง นาขนาด 3 ไร่ สำนักงานพัฒนาชุมชนอำเภอบ้านกรวด ตำบลปราสาท อำเภอบ้านกรวดจังหวัดบุรีรัมย์</t>
  </si>
  <si>
    <t>1500437056410562</t>
  </si>
  <si>
    <t>งานปรับปรุงพื้นที่ ตามแบบมาตรฐาน โคก หนอง นาขนาด 3 ไร่ สำนักงานพัฒนาชุมชนอำเภอบ้านด่าน ตำบลบ้านด่าน อำเภอบ้านด่านจังหวัดบุรีรัมย์</t>
  </si>
  <si>
    <t>1500437056410563</t>
  </si>
  <si>
    <t>งานปรับปรุงพื้นที่ ตามแบบมาตรฐาน โคก หนอง นาขนาด 3 ไร่ สำนักงานพัฒนาชุมชนอำเภอประโคนชัยตำบลประโคนชัย อำเภอประโคนชัย จังหวัดบุรีรัมย์</t>
  </si>
  <si>
    <t>1500437056410564</t>
  </si>
  <si>
    <t>งานปรับปรุงพื้นที่ ตามแบบมาตรฐาน โคก หนอง นาขนาด 3 ไร่ สำนักงานพัฒนาชุมชนอำเภอปะคำ ตำบลปะคำ อำเภอปะคำ จังหวัดบุรีรัมย์</t>
  </si>
  <si>
    <t>1500437056410565</t>
  </si>
  <si>
    <t>งานปรับปรุงพื้นที่ ตามแบบมาตรฐาน โคก หนอง นาขนาด 3 ไร่ สำนักงานพัฒนาชุมชนอำเภอพลับพลาชัยตำบลสะเดา อำเภอพลับพลาชัย จังหวัดบุรีรัมย์</t>
  </si>
  <si>
    <t>1500437056410566</t>
  </si>
  <si>
    <t>งานปรับปรุงพื้นที่ ตามแบบมาตรฐาน โคก หนอง นาขนาด 3 ไร่ สำนักงานพัฒนาชุมชนอำเภอพุทไธสง ตำบลพุทไธสง อำเภอพุทไธสงจังหวัดบุรีรัมย์</t>
  </si>
  <si>
    <t>1500437056410567</t>
  </si>
  <si>
    <t>งานปรับปรุงพื้นที่ ตามแบบมาตรฐาน โคก หนอง นาขนาด 3 ไร่ สำนักงานพัฒนาชุมชนอำเภอเมืองบุรีรัมย์ตำบลในเมือง อำเภอเมืองบุรีรัมย์ จังหวัดบุรีรัมย์</t>
  </si>
  <si>
    <t>1500437056410568</t>
  </si>
  <si>
    <t>งานปรับปรุงพื้นที่ ตามแบบมาตรฐาน โคก หนอง นาขนาด 3 ไร่ สำนักงานพัฒนาชุมชนอำเภอละหานทรายตำบลละหานทราย อำเภอละหานทราย จังหวัดบุรีรัมย์</t>
  </si>
  <si>
    <t>1500437056410569</t>
  </si>
  <si>
    <t>งานปรับปรุงพื้นที่ ตามแบบมาตรฐาน โคก หนอง นาขนาด 3 ไร่ สำนักงานพัฒนาชุมชนอำเภอลำปลายมาศตำบลลำปลายมาศ อำเภอลำปลายมาศ จังหวัดบุรีรัมย์</t>
  </si>
  <si>
    <t>1500437056410570</t>
  </si>
  <si>
    <t>งานปรับปรุงพื้นที่ ตามแบบมาตรฐาน โคก หนอง นาขนาด 3 ไร่ สำนักงานพัฒนาชุมชนอำเภอสตึก ตำบลสตึกอำเภอสตึก จังหวัดบุรีรัมย์</t>
  </si>
  <si>
    <t>1500437056410571</t>
  </si>
  <si>
    <t>งานปรับปรุงพื้นที่ ตามแบบมาตรฐาน โคก หนอง นาขนาด 3 ไร่ สำนักงานพัฒนาชุมชนอำเภอหนองกี่ ตำบลทุ่งกระตาดพัฒนา อำเภอหนองกี่ จังหวัดบุรีรัมย์</t>
  </si>
  <si>
    <t>1500437056410572</t>
  </si>
  <si>
    <t>งานปรับปรุงพื้นที่ ตามแบบมาตรฐาน โคก หนอง นาขนาด 3 ไร่ สำนักงานพัฒนาชุมชนอำเภอหนองหงส์ตำบลสระแก้ว อำเภอหนองหงส์ จังหวัดบุรีรัมย์</t>
  </si>
  <si>
    <t>1500437056410573</t>
  </si>
  <si>
    <t>งานปรับปรุงพื้นที่ ตามแบบมาตรฐาน โคก หนอง นาขนาด 3 ไร่ สำนักงานพัฒนาชุมชนอำเภอห้วยราช ตำบลห้วยราช อำเภอห้วยราชจังหวัดบุรีรัมย์</t>
  </si>
  <si>
    <t>1500437056410574</t>
  </si>
  <si>
    <t>งานปรับปรุงพื้นที่ ตามแบบมาตรฐาน โคก หนอง นาขนาด 1 ไร่ สำนักงานพัฒนาชุมชนอำเภอโนนนารายณ์ตำบลหนองหลวง อำเภอโนนนารายณ์ จังหวัดสุรินทร์</t>
  </si>
  <si>
    <t>1500437056410575</t>
  </si>
  <si>
    <t>งานปรับปรุงพื้นที่ ตามแบบมาตรฐาน โคก หนอง นาขนาด 3 ไร่ สำนักงานพัฒนาชุมชนอำเภอคลองหลวงตำบลคลองสอง อำเภอคลองหลวง จังหวัดปทุมธานี</t>
  </si>
  <si>
    <t>1500437056410576</t>
  </si>
  <si>
    <t>งานปรับปรุงพื้นที่ ตามแบบมาตรฐาน โคก หนอง นาขนาด 1 ไร่ สำนักงานพัฒนาชุมชนอำเภอบัวเชด ตำบลบัวเชด อำเภอบัวเชด จังหวัดสุรินทร์</t>
  </si>
  <si>
    <t>1500437056410577</t>
  </si>
  <si>
    <t>งานปรับปรุงพื้นที่ ตามแบบมาตรฐาน โคก หนอง นาขนาด 3 ไร่ สำนักงานพัฒนาชุมชนอำเภอลำลูกกา ตำบลลำลูกกา อำเภอลำลูกกาจังหวัดปทุมธานี</t>
  </si>
  <si>
    <t>1500437056410578</t>
  </si>
  <si>
    <t>งานปรับปรุงพื้นที่ ตามแบบมาตรฐาน โคก หนอง นาขนาด 3 ไร่ สำนักงานพัฒนาชุมชนอำเภอหนองเสือ ตำบลบึงบา อำเภอหนองเสือจังหวัดปทุมธานี</t>
  </si>
  <si>
    <t>1500437056410580</t>
  </si>
  <si>
    <t>งานปรับปรุงพื้นที่ ตามแบบมาตรฐาน โคก หนอง นาขนาด 1 ไร่ สำนักงานพัฒนาชุมชนอำเภอพนมดงรักตำบลบักได อำเภอพนมดงรัก จังหวัดสุรินทร์</t>
  </si>
  <si>
    <t>1500437056410581</t>
  </si>
  <si>
    <t>งานปรับปรุงพื้นที่ ตามแบบมาตรฐาน โคก หนอง นาขนาด 1 ไร่ สำนักงานพัฒนาชุมชนอำเภอเมืองสุรินทร์ตำบลในเมือง อำเภอเมืองสุรินทร์ จังหวัดสุรินทร์</t>
  </si>
  <si>
    <t>1500437056410582</t>
  </si>
  <si>
    <t>งานปรับปรุงพื้นที่ ตามแบบมาตรฐาน โคก หนอง นาขนาด 3 ไร่ สำนักงานพัฒนาชุมชนอำเภอกุยบุรี ตำบลกุยบุรี อำเภอกุยบุรี จังหวัดประจวบคีรีขันธ์</t>
  </si>
  <si>
    <t>1500437056410583</t>
  </si>
  <si>
    <t>งานปรับปรุงพื้นที่ ตามแบบมาตรฐาน โคก หนอง นาขนาด 1 ไร่ สำนักงานพัฒนาชุมชนอำเภอรัตนบุรี ตำบลรัตนบุรี อำเภอรัตนบุรี จังหวัดสุรินทร์</t>
  </si>
  <si>
    <t>1500437056410584</t>
  </si>
  <si>
    <t>งานปรับปรุงพื้นที่ ตามแบบมาตรฐาน โคก หนอง นาขนาด 1 ไร่ สำนักงานพัฒนาชุมชนอำเภอศรีณรงค์ ตำบลณรงค์ อำเภอศรีณรงค์จังหวัดสุรินทร์</t>
  </si>
  <si>
    <t>1500437056410585</t>
  </si>
  <si>
    <t>งานปรับปรุงพื้นที่ ตามแบบมาตรฐาน โคก หนอง นาขนาด 3 ไร่ สำนักงานพัฒนาชุมชนอำเภอกบินทร์บุรีตำบลกบินทร์ อำเภอกบินทร์บุรี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</si>
  <si>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สำนักงานพัฒนาชุมชนอำเภอศีขรภูมิ ตำบลระแงง อำเภอศีขรภูมิ จังหวัดสุรินทร์</t>
  </si>
  <si>
    <t>1500437056410587</t>
  </si>
  <si>
    <t>งานปรับปรุงพื้นที่ ตามแบบมาตรฐาน โคก หนอง นาขนาด 3 ไร่ สำนักงานพัฒนาชุมชนอำเภอนาดี ตำบลนาดีอำเภอนาดี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</si>
  <si>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สำนักงานพัฒนาชุมชนอำเภอสนม ตำบลสนมอำเภอสนม จังหวัดสุรินทร์</t>
  </si>
  <si>
    <t>1500437056410589</t>
  </si>
  <si>
    <t>งานปรับปรุงพื้นที่ ตามแบบมาตรฐาน โคก หนอง นาขนาด 1 ไร่ สำนักงานพัฒนาชุมชนอำเภอสังขะตำบลสังขะ อำเภอสังขะจังหวัดสุรินทร์</t>
  </si>
  <si>
    <t>1500437056410590</t>
  </si>
  <si>
    <t>งานปรับปรุงพื้นที่ ตามแบบมาตรฐาน โคก หนอง นาขนาด 3 ไร่ สำนักงานพัฒนาชุมชนอำเภอบ้านสร้าง ตำบลบ้านสร้าง อำเภอบ้านสร้างจังหวัดปราจีนบุรี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</si>
  <si>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สำนักงานพัฒนาชุมชนอำเภอสำโรงทาบตำบลหนองไผ่ล้อม อำเภอสำโรงทาบ จังหวัดสุรินทร์</t>
  </si>
  <si>
    <t>1500437056410592</t>
  </si>
  <si>
    <t>งานปรับปรุงพื้นที่ ตามแบบมาตรฐาน โคก หนอง นาขนาด 3 ไร่ สำนักงานพัฒนาชุมชนอำเภอประจันตคามตำบลประจันตคาม อำเภอประจันตคาม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</si>
  <si>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สำนักงานพัฒนาชุมชนอำเภอท่าบ่อ ตำบลท่าบ่อ อำเภอท่าบ่อ จังหวัดหนองคาย</t>
  </si>
  <si>
    <t>1500437056410594</t>
  </si>
  <si>
    <t>งานปรับปรุงพื้นที่ ตามแบบมาตรฐาน โคก หนอง นาขนาด 1 ไร่ สำนักงานพัฒนาชุมชนอำเภอโพนพิสัย ตำบลจุมพล อำเภอโพนพิสัยจังหวัดหนองคาย</t>
  </si>
  <si>
    <t>งานปรับปรุงพื้นที่ ตามแบบมาตรฐาน โคก หนอง นาขนาด 1 ไร่ สำนักงานพัฒนาชุมชนอำเภอเมืองหนองคายตำบลมีชัย อำเภอเมืองหนองคาย จังหวัดหนองคาย</t>
  </si>
  <si>
    <t>1500437056410596</t>
  </si>
  <si>
    <t>งานปรับปรุงพื้นที่ ตามแบบมาตรฐาน โคก หนอง นาขนาด 1 ไร่ สำนักงานพัฒนาชุมชนอำเภอศรีเชียงใหม่ตำบลพานพร้าว อำเภอศรีเชียงใหม่ จังหวัดหนองคาย</t>
  </si>
  <si>
    <t>งานปรับปรุงพื้นที่ ตามแบบมาตรฐาน โคก หนอง นาขนาด 1 ไร่ สำนักงานพัฒนาชุมชนอำเภอสระใคร ตำบลสระใคร อำเภอสระใครจังหวัดหนองคาย</t>
  </si>
  <si>
    <t>1500437056410599</t>
  </si>
  <si>
    <t>งานปรับปรุงพื้นที่ ตามแบบมาตรฐาน โคก หนอง นาขนาด 1 ไร่ สำนักงานพัฒนาชุมชนอำเภอสังคม ตำบลแก้งไก่ อำเภอสังคม จังหวัดหนองคาย</t>
  </si>
  <si>
    <t>1500437056410600</t>
  </si>
  <si>
    <t>งานปรับปรุงพื้นที่ ตามแบบมาตรฐาน โคก หนอง นาขนาด 1 ไร่ สำนักงานพัฒนาชุมชนอำเภอนากลาง ตำบลนากลาง อำเภอนากลางจังหวัดหนองบัวลำภู</t>
  </si>
  <si>
    <t>1500437056410601</t>
  </si>
  <si>
    <t>งานปรับปรุงพื้นที่ ตามแบบมาตรฐาน โคก หนอง นาขนาด 1 ไร่ สำนักงานพัฒนาชุมชนอำเภอนาวัง ตำบลนาเหล่า อำเภอนาวัง จังหวัดหนองบัวลำภู</t>
  </si>
  <si>
    <t>1500437056410602</t>
  </si>
  <si>
    <t>งานปรับปรุงพื้นที่ ตามแบบมาตรฐาน โคก หนอง นาขนาด 1 ไร่ สำนักงานพัฒนาชุมชนอำเภอโนนสัง ตำบลโนนสัง อำเภอโนนสังจังหวัดหนองบัวลำภู</t>
  </si>
  <si>
    <t>1500437056410603</t>
  </si>
  <si>
    <t>งานปรับปรุงพื้นที่ ตามแบบมาตรฐาน โคก หนอง นาขนาด 1 ไร่ สำนักงานพัฒนาชุมชนอำเภอเมืองหนองบัวลำภู ตำบลหนองบัวอำเภอเมืองหนองบัวลำภูจังหวัดหนองบัวลำภู</t>
  </si>
  <si>
    <t>1500437056410604</t>
  </si>
  <si>
    <t>งานปรับปรุงพื้นที่ ตามแบบมาตรฐาน โคก หนอง นาขนาด 1 ไร่ สำนักงานพัฒนาชุมชนอำเภอศรีบุญเรืองตำบลเมืองใหม่ อำเภอศรีบุญเรือง จังหวัดหนองบัวลำภู</t>
  </si>
  <si>
    <t>1500437056410605</t>
  </si>
  <si>
    <t>งานปรับปรุงพื้นที่ ตามแบบมาตรฐาน โคก หนอง นาขนาด 1 ไร่ สำนักงานพัฒนาชุมชนอำเภอสุวรรณคูหาตำบลสุวรรณคูหา อำเภอสุวรรณคูหา จังหวัดหนองบัวลำภู</t>
  </si>
  <si>
    <t>1500437056410606</t>
  </si>
  <si>
    <t>งานปรับปรุงพื้นที่ ตามแบบมาตรฐาน โคก หนอง นาขนาด 1 ไร่ สำนักงานพัฒนาชุมชนอำเภอโพธิ์ทอง ตำบลอ่างแก้ว อำเภอโพธิ์ทองจังหวัดอ่างทอง</t>
  </si>
  <si>
    <t>1500437056410607</t>
  </si>
  <si>
    <t>งานปรับปรุงพื้นที่ ตามแบบมาตรฐาน โคก หนอง นาขนาด 3 ไร่ สำนักงานพัฒนาชุมชนอำเภอโคกโพธิ์ ตำบลโคกโพธิ์ อำเภอโคกโพธิ์จังหวัดปัตตานี</t>
  </si>
  <si>
    <t>1500437056410608</t>
  </si>
  <si>
    <t>งานปรับปรุงพื้นที่ ตามแบบมาตรฐาน โคก หนอง นาขนาด 3 ไร่ สำนักงานพัฒนาชุมชนอำเภอแม่ลาน ตำบลแม่ลาน อำเภอแม่ลานจังหวัดปัตตานี</t>
  </si>
  <si>
    <t>1500437056410609</t>
  </si>
  <si>
    <t>งานปรับปรุงพื้นที่ ตามแบบมาตรฐาน โคก หนอง นาขนาด 1 ไร่ สำนักงานพัฒนาชุมชนอำเภอเมืองอ่างทองตำบลบางแก้ว อำเภอเมืองอ่างทอง จังหวัดอ่างทอง</t>
  </si>
  <si>
    <t>1500437056410610</t>
  </si>
  <si>
    <t>งานปรับปรุงพื้นที่ ตามแบบมาตรฐาน โคก หนอง นาขนาด 1 ไร่ สำนักงานพัฒนาชุมชนอำเภอวิเศษชัยชาญตำบลศาลเจ้าโรงทอง อำเภอวิเศษชัยชาญ จังหวัดอ่างทอง</t>
  </si>
  <si>
    <t>1500437056410611</t>
  </si>
  <si>
    <t>งานปรับปรุงพื้นที่ ตามแบบมาตรฐาน โคก หนอง นาขนาด 1 ไร่ สำนักงานพัฒนาชุมชนอำเภอสามโก้ ตำบลสามโก้ อำเภอสามโก้ จังหวัดอ่างทอง</t>
  </si>
  <si>
    <t>1500437056410612</t>
  </si>
  <si>
    <t>งานปรับปรุงพื้นที่ ตามแบบมาตรฐาน โคก หนอง นาขนาด 3 ไร่ สำนักงานพัฒนาชุมชนอำเภอยะหริ่ง ตำบลยามู อำเภอยะหริ่ง จังหวัดปัตตานี</t>
  </si>
  <si>
    <t>1500437056410613</t>
  </si>
  <si>
    <t>งานปรับปรุงพื้นที่ ตามแบบมาตรฐาน โคก หนอง นาขนาด 1 ไร่ สำนักงานพัฒนาชุมชนอำเภอแสวงหา ตำบลแสวงหา อำเภอแสวงหาจังหวัดอ่างทอง</t>
  </si>
  <si>
    <t>1500437056410614</t>
  </si>
  <si>
    <t>งานปรับปรุงพื้นที่ ตามแบบมาตรฐาน โคก หนอง นาขนาด 3 ไร่ สำนักงานพัฒนาชุมชนอำเภอหนองจิก ตำบลตุยง อำเภอหนองจิก จังหวัดปัตตานี</t>
  </si>
  <si>
    <t>1500437056410615</t>
  </si>
  <si>
    <t>งานปรับปรุงพื้นที่ ตามแบบมาตรฐาน โคก หนอง นาขนาด 1 ไร่ สำนักงานพัฒนาชุมชนอำเภอปทุมราชวงศาตำบลนาหว้า อำเภอปทุมราชวงศา จังหวัดอำนาจเจริญ</t>
  </si>
  <si>
    <t>1500437056410616</t>
  </si>
  <si>
    <t>งานปรับปรุงพื้นที่ ตามแบบมาตรฐาน โคก หนอง นาขนาด 1 ไร่ สำนักงานพัฒนาชุมชนอำเภอพนา ตำบลพนาอำเภอพนา จังหวัดอำนาจเจริญ</t>
  </si>
  <si>
    <t>1500437056410617</t>
  </si>
  <si>
    <t>งานปรับปรุงพื้นที่ ตามแบบมาตรฐาน โคก หนอง นาขนาด 1 ไร่ สำนักงานพัฒนาชุมชนอำเภอเมืองอำนาจเจริญ ตำบลบุ่ง อำเภอเมืองอำนาจเจริญ จังหวัดอำนาจเจริญ</t>
  </si>
  <si>
    <t>1500437056410618</t>
  </si>
  <si>
    <t>งานปรับปรุงพื้นที่ ตามแบบมาตรฐาน โคก หนอง นาขนาด 1 ไร่ สำนักงานพัฒนาชุมชนอำเภอลืออำนาจตำบลอำนาจ อำเภอลืออำนาจ จังหวัดอำนาจเจริญ</t>
  </si>
  <si>
    <t>1500437056410619</t>
  </si>
  <si>
    <t>งานปรับปรุงพื้นที่ ตามแบบมาตรฐาน โคก หนอง นาขนาด 1 ไร่ สำนักงานพัฒนาชุมชนอำเภอเสนางคนิคมตำบลเสนางคนิคม อำเภอเสนางคนิคม จังหวัดอำนาจเจริญ</t>
  </si>
  <si>
    <t>1500437056410620</t>
  </si>
  <si>
    <t>งานปรับปรุงพื้นที่ ตามแบบมาตรฐาน โคก หนอง นาขนาด 1 ไร่ สำนักงานพัฒนาชุมชนอำเภอหัวตะพานตำบลรัตนวารี อำเภอหัวตะพาน จังหวัดอำนาจเจริญ</t>
  </si>
  <si>
    <t>1500437056410621</t>
  </si>
  <si>
    <t>งานปรับปรุงพื้นที่ ตามแบบมาตรฐาน โคก หนอง นาขนาด 1 ไร่ สำนักงานพัฒนาชุมชนอำเภอทุ่งฝน ตำบลทุ่งฝน อำเภอทุ่งฝน จังหวัดอุดรธานี</t>
  </si>
  <si>
    <t>1500437056410623</t>
  </si>
  <si>
    <t>งานปรับปรุงพื้นที่ ตามแบบมาตรฐาน โคก หนอง นาขนาด 3 ไร่ สำนักงานพัฒนาชุมชนอำเภอบางบาล ตำบลมหาพราหมณ์ อำเภอบางบาล จังหวัดพระนครศรีอยุธยา</t>
  </si>
  <si>
    <t>งานปรับปรุงพื้นที่ ตามแบบมาตรฐาน โคก หนอง นาขนาด 1 ไร่ สำนักงานพัฒนาชุมชนอำเภอโนนสะอาดตำบลโนนสะอาด อำเภอโนนสะอาด จังหวัดอุดรธานี</t>
  </si>
  <si>
    <t>1500437056410625</t>
  </si>
  <si>
    <t>งานปรับปรุงพื้นที่ ตามแบบมาตรฐาน โคก หนอง นาขนาด 1 ไร่ สำนักงานพัฒนาชุมชนอำเภอศรีธาตุ ตำบลศรีธาตุ อำเภอศรีธาตุ จังหวัดอุดรธานี</t>
  </si>
  <si>
    <t>1500437056410626</t>
  </si>
  <si>
    <t>งานปรับปรุงพื้นที่ ตามแบบมาตรฐาน โคก หนอง นาขนาด 1 ไร่ สำนักงานพัฒนาชุมชนอำเภอหนองวัวซอตำบลโนนหวาย อำเภอหนองวัวซอ จังหวัดอุดรธานี</t>
  </si>
  <si>
    <t>1500437056410627</t>
  </si>
  <si>
    <t>งานปรับปรุงพื้นที่ ตามแบบมาตรฐาน โคก หนอง นาขนาด 3 ไร่ สำนักงานพัฒนาชุมชนอำเภอเสนา ตำบลเสนา อำเภอเสนา จังหวัดพระนครศรีอยุธยา</t>
  </si>
  <si>
    <t>งานปรับปรุงพื้นที่ ตามแบบมาตรฐาน โคก หนอง นาขนาด 3 ไร่ สำนักงานพัฒนาชุมชนอำเภอจุน ตำบลห้วยข้าวก่ำ อำเภอจุน จังหวัดพะเยา</t>
  </si>
  <si>
    <t>1500437056410629</t>
  </si>
  <si>
    <t>งานปรับปรุงพื้นที่ ตามแบบมาตรฐาน โคก หนอง นาขนาด 1 ไร่ สำนักงานพัฒนาชุมชนอำเภอหนองหานตำบลหนองหาน อำเภอหนองหาน จังหวัดอุดรธานี</t>
  </si>
  <si>
    <t>1500437056410630</t>
  </si>
  <si>
    <t>งานปรับปรุงพื้นที่ ตามแบบมาตรฐาน โคก หนอง นาขนาด 1 ไร่ สำนักงานพัฒนาชุมชนอำเภอทองแสนขันตำบลบ่อทอง อำเภอทองแสนขัน จังหวัดอุตรดิตถ์</t>
  </si>
  <si>
    <t>1500437056410631</t>
  </si>
  <si>
    <t>งานปรับปรุงพื้นที่ ตามแบบมาตรฐาน โคก หนอง นาขนาด 3 ไร่ สำนักงานพัฒนาชุมชนอำเภอเชียงคำ ตำบลหย่วน อำเภอเชียงคำ จังหวัดพะเยา</t>
  </si>
  <si>
    <t>1500437056410632</t>
  </si>
  <si>
    <t>งานปรับปรุงพื้นที่ ตามแบบมาตรฐาน โคก หนอง นาขนาด 1 ไร่ สำนักงานพัฒนาชุมชนอำเภอน้ำปาด ตำบลแสนตอ อำเภอน้ำปาดจังหวัดอุตรดิตถ์</t>
  </si>
  <si>
    <t>งานปรับปรุงพื้นที่ ตามแบบมาตรฐาน โคก หนอง นาขนาด 3 ไร่ สำนักงานพัฒนาชุมชนอำเภอภูกามยาว ตำบลห้วยแก้ว อำเภอภูกามยาวจังหวัดพะเยา</t>
  </si>
  <si>
    <t>1500437056410634</t>
  </si>
  <si>
    <t>งานปรับปรุงพื้นที่ ตามแบบมาตรฐาน โคก หนอง นาขนาด 1 ไร่ สำนักงานพัฒนาชุมชนอำเภอบ้านโคก ตำบลบ้านโคก อำเภอบ้านโคกจังหวัดอุตรดิตถ์</t>
  </si>
  <si>
    <t>1500437056410635</t>
  </si>
  <si>
    <t>งานปรับปรุงพื้นที่ ตามแบบมาตรฐาน โคก หนอง นาขนาด 3 ไร่ สำนักงานพัฒนาชุมชนอำเภอภูซาง ตำบลป่าสัก อำเภอภูซาง จังหวัดพะเยา</t>
  </si>
  <si>
    <t>1500437056410636</t>
  </si>
  <si>
    <t>งานปรับปรุงพื้นที่ ตามแบบมาตรฐาน โคก หนอง นาขนาด 1 ไร่ สำนักงานพัฒนาชุมชนอำเภอเมืองอุตรดิตถ์ตำบลท่าอิฐ อำเภอเมืองอุตรดิตถ์ จังหวัดอุตรดิตถ์</t>
  </si>
  <si>
    <t>งานปรับปรุงพื้นที่ ตามแบบมาตรฐาน โคก หนอง นาขนาด 3 ไร่ สำนักงานพัฒนาชุมชนอำเภอเมืองพะเยาตำบลบ้านต๋อม อำเภอเมืองพะเยา จังหวัดพะเยา</t>
  </si>
  <si>
    <t>1500437056410638</t>
  </si>
  <si>
    <t>งานปรับปรุงพื้นที่ ตามแบบมาตรฐาน โคก หนอง นาขนาด 3 ไร่ สำนักงานพัฒนาชุมชนอำเภอแม่ใจ ตำบลศรีถ้อย อำเภอแม่ใจ จังหวัดพะเยา</t>
  </si>
  <si>
    <t>1500437056410639</t>
  </si>
  <si>
    <t>งานปรับปรุงพื้นที่ ตามแบบมาตรฐาน โคก หนอง นาขนาด 1 ไร่ สำนักงานพัฒนาชุมชนอำเภอบ้านไร่ ตำบลบ้านไร่ อำเภอบ้านไร่ จังหวัดอุทัยธานี</t>
  </si>
  <si>
    <t>งานปรับปรุงพื้นที่ ตามแบบมาตรฐาน โคก หนอง นาขนาด 1 ไร่ สำนักงานพัฒนาชุมชนอำเภอหนองขาหย่างตำบลหนองขาหย่าง อำเภอหนองขาหย่าง จังหวัดอุทัยธานี</t>
  </si>
  <si>
    <t>งานปรับปรุงพื้นที่ ตามแบบมาตรฐาน โคก หนอง นาขนาด 3 ไร่ สำนักงานพัฒนาชุมชนอำเภอกะปง ตำบลท่านา อำเภอกะปง จังหวัดพังงา</t>
  </si>
  <si>
    <t>1500437056410643</t>
  </si>
  <si>
    <t>งานปรับปรุงพื้นที่ ตามแบบมาตรฐาน โคก หนอง นาขนาด 3 ไร่ สำนักงานพัฒนาชุมชนอำเภอคุระบุรี ตำบลคุระ อำเภอคุระบุรี จังหวัดพังงา</t>
  </si>
  <si>
    <t>งานปรับปรุงพื้นที่ ตามแบบมาตรฐาน โคก หนอง นาขนาด 3 ไร่ สำนักงานพัฒนาชุมชนอำเภอตะกั่วทุ่ง ตำบลกระโสม อำเภอตะกั่วทุ่งจังหวัดพังงา</t>
  </si>
  <si>
    <t>1500437056410645</t>
  </si>
  <si>
    <t>งานปรับปรุงพื้นที่ ตามแบบมาตรฐาน โคก หนอง นาขนาด 3 ไร่ สำนักงานพัฒนาชุมชนอำเภอตะกั่วป่า ตำบลตะกั่วป่า อำเภอตะกั่วป่าจังหวัดพังงา</t>
  </si>
  <si>
    <t>1500437056410646</t>
  </si>
  <si>
    <t>งานปรับปรุงพื้นที่ ตามแบบมาตรฐาน โคก หนอง นาขนาด 1 ไร่ สำนักงานพัฒนาชุมชนอำเภอกุดข้าวปุ้นตำบลข้าวปุ้น อำเภอกุดข้าวปุ้น จังหวัดอุบลราชธานี</t>
  </si>
  <si>
    <t>1500437056410647</t>
  </si>
  <si>
    <t>งานปรับปรุงพื้นที่ ตามแบบมาตรฐาน โคก หนอง นาขนาด 3 ไร่ สำนักงานพัฒนาชุมชนอำเภอท้ายเหมืองตำบลท้ายเหมือง อำเภอท้ายเหมือง จังหวัดพังงา</t>
  </si>
  <si>
    <t>งานปรับปรุงพื้นที่ ตามแบบมาตรฐาน โคก หนอง นาขนาด 1 ไร่ สำนักงานพัฒนาชุมชนอำเภอเขมราฐ ตำบลเขมราฐ อำเภอเขมราฐจังหวัดอุบลราชธานี</t>
  </si>
  <si>
    <t>1500437056410649</t>
  </si>
  <si>
    <t>งานปรับปรุงพื้นที่ ตามแบบมาตรฐาน โคก หนอง นาขนาด 3 ไร่ สำนักงานพัฒนาชุมชนอำเภอเมืองพังงาตำบลท้ายช้าง อำเภอเมืองพังงา จังหวัดพังงา</t>
  </si>
  <si>
    <t>งานปรับปรุงพื้นที่ ตามแบบมาตรฐาน โคก หนอง นาขนาด 3 ไร่ สำนักงานพัฒนาชุมชนอำเภอปากพะยูนตำบลปากพะยูน อำเภอปากพะยูน จังหวัดพัทลุง</t>
  </si>
  <si>
    <t>1500437056410651</t>
  </si>
  <si>
    <t>งานปรับปรุงพื้นที่ ตามแบบมาตรฐาน โคก หนอง นาขนาด 1 ไร่ สำนักงานพัฒนาชุมชนอำเภอเขื่องใน ตำบลเขื่องใน อำเภอเขื่องในจังหวัดอุบลราชธานี</t>
  </si>
  <si>
    <t>1500437056410652</t>
  </si>
  <si>
    <t>งานปรับปรุงพื้นที่ ตามแบบมาตรฐาน โคก หนอง นาขนาด 1 ไร่ สำนักงานพัฒนาชุมชนอำเภอดอนมดแดงตำบลเหล่าแดง อำเภอดอนมดแดง จังหวัดอุบลราชธานี</t>
  </si>
  <si>
    <t>1500437056410653</t>
  </si>
  <si>
    <t>งานปรับปรุงพื้นที่ ตามแบบมาตรฐาน โคก หนอง นาขนาด 3 ไร่ สำนักงานพัฒนาชุมชนอำเภอศรีบรรพต ตำบลเขาย่า อำเภอศรีบรรพตจังหวัดพัทลุง</t>
  </si>
  <si>
    <t>1500437056410654</t>
  </si>
  <si>
    <t>งานปรับปรุงพื้นที่ ตามแบบมาตรฐาน โคก หนอง นาขนาด 1 ไร่ สำนักงานพัฒนาชุมชนอำเภอเดชอุดม ตำบลเมืองเดช อำเภอเดชอุดมจังหวัดอุบลราชธานี</t>
  </si>
  <si>
    <t>1500437056410655</t>
  </si>
  <si>
    <t>งานปรับปรุงพื้นที่ ตามแบบมาตรฐาน โคก หนอง นาขนาด 3 ไร่ สำนักงานพัฒนาชุมชนอำเภอดงเจริญ ตำบลวังงิ้วใต้ อำเภอดงเจริญจังหวัดพิจิตร</t>
  </si>
  <si>
    <t>1500437056410656</t>
  </si>
  <si>
    <t>งานปรับปรุงพื้นที่ ตามแบบมาตรฐาน โคก หนอง นาขนาด 3 ไร่ สำนักงานพัฒนาชุมชนอำเภอตะพานหินตำบลตะพานหิน อำเภอตะพานหิน จังหวัดพิจิตร</t>
  </si>
  <si>
    <t>1500437056410657</t>
  </si>
  <si>
    <t>งานปรับปรุงพื้นที่ ตามแบบมาตรฐาน โคก หนอง นาขนาด 3 ไร่ สำนักงานพัฒนาชุมชนอำเภอทับคล้อ ตำบลทับคล้อ อำเภอทับคล้อจังหวัดพิจิตร</t>
  </si>
  <si>
    <t>1500437056410658</t>
  </si>
  <si>
    <t>งานปรับปรุงพื้นที่ ตามแบบมาตรฐาน โคก หนอง นาขนาด 1 ไร่ สำนักงานพัฒนาชุมชนอำเภอตาลสุม ตำบลตาลสุม อำเภอตาลสุมจังหวัดอุบลราชธานี</t>
  </si>
  <si>
    <t>1500437056410659</t>
  </si>
  <si>
    <t>งานปรับปรุงพื้นที่ ตามแบบมาตรฐาน โคก หนอง นาขนาด 1 ไร่ สำนักงานพัฒนาชุมชนอำเภอนาตาล ตำบลนาตาล อำเภอนาตาล จังหวัดอุบลราชธานี</t>
  </si>
  <si>
    <t>1500437056410660</t>
  </si>
  <si>
    <t>งานปรับปรุงพื้นที่ ตามแบบมาตรฐาน โคก หนอง นาขนาด 3 ไร่ สำนักงานพัฒนาชุมชนอำเภอบางมูลนากตำบลบางมูลนาก อำเภอบางมูลนาก จังหวัดพิจิตร</t>
  </si>
  <si>
    <t>1500437056410661</t>
  </si>
  <si>
    <t>งานปรับปรุงพื้นที่ ตามแบบมาตรฐาน โคก หนอง นาขนาด 3 ไร่ สำนักงานพัฒนาชุมชนอำเภอบึงนาราง ตำบลห้วยแก้ว อำเภอบึงนารางจังหวัดพิจิตร</t>
  </si>
  <si>
    <t>1500437056410663</t>
  </si>
  <si>
    <t>งานปรับปรุงพื้นที่ ตามแบบมาตรฐาน โคก หนอง นาขนาด 1 ไร่ สำนักงานพัฒนาชุมชนอำเภอน้ำยืน ตำบลสีวิเชียร อำเภอน้ำยืน จังหวัดอุบลราชธานี</t>
  </si>
  <si>
    <t>1500437056410664</t>
  </si>
  <si>
    <t>งานปรับปรุงพื้นที่ ตามแบบมาตรฐาน โคก หนอง นาขนาด 1 ไร่ สำนักงานพัฒนาชุมชนอำเภอบุณฑริก ตำบลโพนงาม อำเภอบุณฑริกจังหวัดอุบลราชธานี</t>
  </si>
  <si>
    <t>1500437056410665</t>
  </si>
  <si>
    <t>งานปรับปรุงพื้นที่ ตามแบบมาตรฐาน โคก หนอง นาขนาด 1 ไร่ สำนักงานพัฒนาชุมชนอำเภอพิบูลมังสาหารตำบลพิบูล อำเภอพิบูลมังสาหาร จังหวัดอุบลราชธานี</t>
  </si>
  <si>
    <t>1500437056410666</t>
  </si>
  <si>
    <t>งานปรับปรุงพื้นที่ ตามแบบมาตรฐาน โคก หนอง นาขนาด 1 ไร่ สำนักงานพัฒนาชุมชนอำเภอม่วงสามสิบตำบลม่วงสามสิบ อำเภอม่วงสามสิบ จังหวัดอุบลราชธานี</t>
  </si>
  <si>
    <t>1500437056410667</t>
  </si>
  <si>
    <t>งานปรับปรุงพื้นที่ ตามแบบมาตรฐาน โคก หนอง นาขนาด 1 ไร่ สำนักงานพัฒนาชุมชนอำเภอวารินชำราบตำบลวารินชำราบ อำเภอวารินชำราบ จังหวัดอุบลราชธานี</t>
  </si>
  <si>
    <t>งานปรับปรุงพื้นที่ ตามแบบมาตรฐาน โคก หนอง นาขนาด 1 ไร่ สำนักงานพัฒนาชุมชนอำเภอศรีเมืองใหม่ตำบลนาคำ อำเภอศรีเมืองใหม่ จังหวัดอุบลราชธานี</t>
  </si>
  <si>
    <t>1500437056410669</t>
  </si>
  <si>
    <t>งานปรับปรุงพื้นที่ ตามแบบมาตรฐาน โคก หนอง นาขนาด 1 ไร่ สำนักงานพัฒนาชุมชนอำเภอสำโรง ตำบลสำโรง อำเภอสำโรง จังหวัดอุบลราชธานี</t>
  </si>
  <si>
    <t>1500437056410670</t>
  </si>
  <si>
    <t>งานปรับปรุงพื้นที่ ตามแบบมาตรฐาน โคก หนอง นาขนาด 1 ไร่ สำนักงานพัฒนาชุมชนอำเภอเหล่าเสือโก้กตำบลเหล่าเสือโก้ก อำเภอเหล่าเสือโก้ก จังหวัดอุบลราชธานี</t>
  </si>
  <si>
    <t>งานปรับปรุงพื้นที่ ตามแบบมาตรฐาน โคก หนอง นาขนาด 3 ไร่ สำนักงานพัฒนาชุมชนอำเภอโพทะเล ตำบลท่าบัว อำเภอโพทะเลจังหวัดพิจิตร</t>
  </si>
  <si>
    <t>1500437056410672</t>
  </si>
  <si>
    <t>งานปรับปรุงพื้นที่ ตามแบบมาตรฐาน โคก หนอง นาขนาด 3 ไร่ สำนักงานพัฒนาชุมชนอำเภอเมืองพิจิตรตำบลในเมือง อำเภอเมืองพิจิตร จังหวัดพิจิตร</t>
  </si>
  <si>
    <t>1500437056410673</t>
  </si>
  <si>
    <t>งานปรับปรุงพื้นที่ ตามแบบมาตรฐาน โคก หนอง นาขนาด 3 ไร่ สำนักงานพัฒนาชุมชนอำเภอวชิรบารมี ตำบลบ้านนา อำเภอวชิรบารมีจังหวัดพิจิตร</t>
  </si>
  <si>
    <t>1500437056410674</t>
  </si>
  <si>
    <t>งานปรับปรุงพื้นที่ ตามแบบมาตรฐาน โคก หนอง นาขนาด 3 ไร่ สำนักงานพัฒนาชุมชนอำเภอสากเหล็ก ตำบลสากเหล็ก อำเภอสากเหล็กจังหวัดพิจิตร</t>
  </si>
  <si>
    <t>1500437056410675</t>
  </si>
  <si>
    <t>งานปรับปรุงพื้นที่ ตามแบบมาตรฐาน โคก หนอง นาขนาด 3 ไร่ สำนักงานพัฒนาชุมชนอำเภอสามง่าม ตำบลสามง่าม อำเภอสามง่ามจังหวัดพิจิตร</t>
  </si>
  <si>
    <t>1500437056410676</t>
  </si>
  <si>
    <t>งานปรับปรุงพื้นที่ ตามแบบมาตรฐาน โคก หนอง นาขนาด 3 ไร่ สำนักงานพัฒนาชุมชนอำเภอชาติตระการตำบลป่าแดง อำเภอชาติตระการ จังหวัดพิษณุโลก</t>
  </si>
  <si>
    <t>1500437056410677</t>
  </si>
  <si>
    <t>งานปรับปรุงพื้นที่ ตามแบบมาตรฐาน โคก หนอง นาขนาด 3 ไร่ สำนักงานพัฒนาชุมชนอำเภอเนินมะปรางตำบลเนินมะปราง อำเภอเนินมะปราง จังหวัดพิษณุโลก</t>
  </si>
  <si>
    <t>งานปรับปรุงพื้นที่ ตามแบบมาตรฐาน โคก หนอง นาขนาด 3 ไร่ สำนักงานพัฒนาชุมชนอำเภอบางกระทุ่มตำบลบางกระทุ่ม อำเภอบางกระทุ่ม จังหวัดพิษณุโลก</t>
  </si>
  <si>
    <t>งานปรับปรุงพื้นที่ ตามแบบมาตรฐาน โคก หนอง นาขนาด 3 ไร่ สำนักงานพัฒนาชุมชนอำเภอบางระกำ ตำบลบางระกำ อำเภอบางระกำจังหวัดพิษณุโลก</t>
  </si>
  <si>
    <t>งานปรับปรุงพื้นที่ ตามแบบมาตรฐาน โคก หนอง นาขนาด 3 ไร่ สำนักงานพัฒนาชุมชนอำเภอพรหมพิรามตำบลพรหมพิราม อำเภอพรหมพิราม จังหวัดพิษณุโลก</t>
  </si>
  <si>
    <t>งานปรับปรุงพื้นที่ ตามแบบมาตรฐาน โคก หนอง นาขนาด 3 ไร่ สำนักงานพัฒนาชุมชนอำเภอเมืองพิษณุโลกตำบลในเมือง อำเภอเมืองพิษณุโลก จังหวัดพิษณุโลก</t>
  </si>
  <si>
    <t>งานปรับปรุงพื้นที่ ตามแบบมาตรฐาน โคก หนอง นาขนาด 3 ไร่ สำนักงานพัฒนาชุมชนอำเภอวังทอง ตำบลวังทอง อำเภอวังทอง จังหวัดพิษณุโลก</t>
  </si>
  <si>
    <t>1500437056410683</t>
  </si>
  <si>
    <t>งานปรับปรุงพื้นที่ ตามแบบมาตรฐาน โคก หนอง นาขนาด 3 ไร่ สำนักงานพัฒนาชุมชนอำเภอวัดโบสถ์ ตำบลวัดโบสถ์ อำเภอวัดโบสถ์จังหวัดพิษณุโลก</t>
  </si>
  <si>
    <t>1500437056410684</t>
  </si>
  <si>
    <t>งานปรับปรุงพื้นที่ ตามแบบมาตรฐาน โคก หนอง นาขนาด 3 ไร่ สำนักงานพัฒนาชุมชนอำเภอชะอำ ตำบลชะอำ อำเภอชะอำ จังหวัดเพชรบุรี</t>
  </si>
  <si>
    <t>1500437056410685</t>
  </si>
  <si>
    <t>งานปรับปรุงพื้นที่ ตามแบบมาตรฐาน โคก หนอง นาขนาด 3 ไร่ สำนักงานพัฒนาชุมชนอำเภอบ้านลาด ตำบลบ้านลาด อำเภอบ้านลาดจังหวัดเพชรบุรี</t>
  </si>
  <si>
    <t>1500437056410686</t>
  </si>
  <si>
    <t>งานปรับปรุงพื้นที่ ตามแบบมาตรฐาน โคก หนอง นาขนาด 3 ไร่ สำนักงานพัฒนาชุมชนอำเภอบ้านแหลมตำบลบ้านแหลม อำเภอบ้านแหลม จังหวัดเพชรบุรี</t>
  </si>
  <si>
    <t>1500437056410687</t>
  </si>
  <si>
    <t>งานปรับปรุงพื้นที่ ตามแบบมาตรฐาน โคก หนอง นาขนาด 3 ไร่ สำนักงานพัฒนาชุมชนอำเภอหล่มเก่า ตำบลหล่มเก่า อำเภอหล่มเก่าจังหวัดเพชรบูรณ์</t>
  </si>
  <si>
    <t>งานปรับปรุงพื้นที่ ตามแบบมาตรฐาน โคก หนอง นาขนาด 3 ไร่ สำนักงานพัฒนาชุมชนอำเภอร้องกวาง ตำบลร้องกวาง อำเภอร้องกวางจังหวัดแพร่</t>
  </si>
  <si>
    <t>งานปรับปรุงพื้นที่ ตามแบบมาตรฐาน โคก หนอง นาขนาด 3 ไร่ สำนักงานพัฒนาชุมชนอำเภอวังชิ้น ตำบลวังชิ้น อำเภอวังชิ้น จังหวัดแพร่</t>
  </si>
  <si>
    <t>งานปรับปรุงพื้นที่ ตามแบบมาตรฐาน โคก หนอง นาขนาด 3 ไร่ สำนักงานพัฒนาชุมชนอำเภอหนองม่วงไข่ตำบลหนองม่วงไข่ อำเภอหนองม่วงไข่ จังหวัดแพร่</t>
  </si>
  <si>
    <t>งานปรับปรุงพื้นที่ ตามแบบมาตรฐาน โคก หนอง นาขนาด 3 ไร่ สำนักงานพัฒนาชุมชนอำเภอกันทรวิชัยตำบลโคกพระ อำเภอกันทรวิชัย จังหวัดมหาสารคาม</t>
  </si>
  <si>
    <t>1500437056410692</t>
  </si>
  <si>
    <t>งานปรับปรุงพื้นที่ ตามแบบมาตรฐาน โคก หนอง นาขนาด 3 ไร่ สำนักงานพัฒนาชุมชนอำเภอกุดรัง ตำบลกุดรัง อำเภอกุดรัง จังหวัดมหาสารคาม</t>
  </si>
  <si>
    <t>1500437056410693</t>
  </si>
  <si>
    <t>งานปรับปรุงพื้นที่ ตามแบบมาตรฐาน โคก หนอง นาขนาด 3 ไร่ สำนักงานพัฒนาชุมชนอำเภอแกดำ ตำบลแกดำ อำเภอแกดำ จังหวัดมหาสารคาม</t>
  </si>
  <si>
    <t>1500437056410694</t>
  </si>
  <si>
    <t>งานปรับปรุงพื้นที่ ตามแบบมาตรฐาน โคก หนอง นาขนาด 3 ไร่ สำนักงานพัฒนาชุมชนอำเภอโกสุมพิสัยตำบลหัวขวาง อำเภอโกสุมพิสัย จังหวัดมหาสารคาม</t>
  </si>
  <si>
    <t>1500437056410695</t>
  </si>
  <si>
    <t>งานปรับปรุงพื้นที่ ตามแบบมาตรฐาน โคก หนอง นาขนาด 3 ไร่ สำนักงานพัฒนาชุมชนอำเภอชื่นชม ตำบลชื่นชม อำเภอชื่นชม จังหวัดมหาสารคาม</t>
  </si>
  <si>
    <t>1500437056410696</t>
  </si>
  <si>
    <t>งานปรับปรุงพื้นที่ ตามแบบมาตรฐาน โคก หนอง นาขนาด 3 ไร่ สำนักงานพัฒนาชุมชนอำเภอเชียงยืน ตำบลเชียงยืน อำเภอเชียงยืนจังหวัดมหาสารคาม</t>
  </si>
  <si>
    <t>1500437056410697</t>
  </si>
  <si>
    <t>งานปรับปรุงพื้นที่ ตามแบบมาตรฐาน โคก หนอง นาขนาด 3 ไร่ สำนักงานพัฒนาชุมชนอำเภอนาเชือก ตำบลนาเชือก อำเภอนาเชือกจังหวัดมหาสารคาม</t>
  </si>
  <si>
    <t>1500437056410698</t>
  </si>
  <si>
    <t>งานปรับปรุงพื้นที่ ตามแบบมาตรฐาน โคก หนอง นาขนาด 3 ไร่ สำนักงานพัฒนาชุมชนอำเภอนาดูน ตำบลนาดูน อำเภอนาดูน จังหวัดมหาสารคาม</t>
  </si>
  <si>
    <t>1500437056410699</t>
  </si>
  <si>
    <t>งานปรับปรุงพื้นที่ ตามแบบมาตรฐาน โคก หนอง นาขนาด 3 ไร่ สำนักงานพัฒนาชุมชนอำเภอบรบือตำบลบรบือ อำเภอบรบือจังหวัดมหาสารคาม</t>
  </si>
  <si>
    <t>1500437056410700</t>
  </si>
  <si>
    <t>งานปรับปรุงพื้นที่ ตามแบบมาตรฐาน โคก หนอง นาขนาด 3 ไร่ สำนักงานพัฒนาชุมชนอำเภอพยัคฆภูมิพิสัยตำบลปะหลาน อำเภอพยัคฆภูมิพิสัย จังหวัดมหาสารคาม</t>
  </si>
  <si>
    <t>1500437056410701</t>
  </si>
  <si>
    <t>งานปรับปรุงพื้นที่ ตามแบบมาตรฐาน โคก หนอง นาขนาด 3 ไร่ สำนักงานพัฒนาชุมชนอำเภอเมืองมหาสารคาม ตำบลตลาดอำเภอเมืองมหาสารคามจังหวัดมหาสารคาม</t>
  </si>
  <si>
    <t>1500437056410702</t>
  </si>
  <si>
    <t>งานปรับปรุงพื้นที่ ตามแบบมาตรฐาน โคก หนอง นาขนาด 3 ไร่ สำนักงานพัฒนาชุมชนอำเภอยางสีสุราชตำบลยางสีสุราช อำเภอยางสีสุราช จังหวัดมหาสารคาม</t>
  </si>
  <si>
    <t>1500437056410703</t>
  </si>
  <si>
    <t>งานปรับปรุงพื้นที่ ตามแบบมาตรฐาน โคก หนอง นาขนาด 3 ไร่ สำนักงานพัฒนาชุมชนอำเภอวาปีปทุม ตำบลหนองแสง อำเภอวาปีปทุมจังหวัดมหาสารคาม</t>
  </si>
  <si>
    <t>1500437056410704</t>
  </si>
  <si>
    <t>งานปรับปรุงพื้นที่ ตามแบบมาตรฐาน โคก หนอง นาขนาด 3 ไร่ สำนักงานพัฒนาชุมชนอำเภอคำชะอี ตำบลน้ำเที่ยง อำเภอคำชะอี จังหวัดมุกดาหาร</t>
  </si>
  <si>
    <t>1500437056410705</t>
  </si>
  <si>
    <t>งานปรับปรุงพื้นที่ ตามแบบมาตรฐาน โคก หนอง นาขนาด 3 ไร่ สำนักงานพัฒนาชุมชนอำเภอดอนตาล ตำบลดอนตาล อำเภอดอนตาลจังหวัดมุกดาหาร</t>
  </si>
  <si>
    <t>1500437056410706</t>
  </si>
  <si>
    <t>งานปรับปรุงพื้นที่ ตามแบบมาตรฐาน โคก หนอง นาขนาด 3 ไร่ สำนักงานพัฒนาชุมชนอำเภอเมืองมุกดาหารตำบลมุกดาหาร อำเภอเมืองมุกดาหาร จังหวัดมุกดาหาร</t>
  </si>
  <si>
    <t>1500437056410707</t>
  </si>
  <si>
    <t>งานปรับปรุงพื้นที่ ตามแบบมาตรฐาน โคก หนอง นาขนาด 3 ไร่ สำนักงานพัฒนาชุมชนอำเภอหว้านใหญ่ตำบลหว้านใหญ่ อำเภอหว้านใหญ่ จังหวัดมุกดาหาร</t>
  </si>
  <si>
    <t>1500437056410708</t>
  </si>
  <si>
    <t>งานปรับปรุงพื้นที่ ตามแบบมาตรฐาน โคก หนอง นาขนาด 3 ไร่ สำนักงานพัฒนาชุมชนอำเภอกุดชุม ตำบลกุดชุม อำเภอกุดชุม จังหวัดยโสธร</t>
  </si>
  <si>
    <t>1500437056410709</t>
  </si>
  <si>
    <t>งานปรับปรุงพื้นที่ ตามแบบมาตรฐาน โคก หนอง นาขนาด 3 ไร่ สำนักงานพัฒนาชุมชนอำเภอคำเขื่อนแก้วตำบลลุมพุก อำเภอคำเขื่อนแก้ว จังหวัดยโสธร</t>
  </si>
  <si>
    <t>1500437056410710</t>
  </si>
  <si>
    <t>งานปรับปรุงพื้นที่ ตามแบบมาตรฐาน โคก หนอง นาขนาด 3 ไร่ สำนักงานพัฒนาชุมชนอำเภอทรายมูล ตำบลทรายมูล อำเภอทรายมูลจังหวัดยโสธร</t>
  </si>
  <si>
    <t>1500437056410711</t>
  </si>
  <si>
    <t>งานปรับปรุงพื้นที่ ตามแบบมาตรฐาน โคก หนอง นาขนาด 3 ไร่ สำนักงานพัฒนาชุมชนอำเภอไทยเจริญตำบลไทยเจริญ อำเภอไทยเจริญ จังหวัดยโสธร</t>
  </si>
  <si>
    <t>1500437056410712</t>
  </si>
  <si>
    <t>งานปรับปรุงพื้นที่ ตามแบบมาตรฐาน โคก หนอง นาขนาด 3 ไร่ สำนักงานพัฒนาชุมชนอำเภอป่าติ้ว ตำบลโพธิ์ไทร อำเภอป่าติ้วจังหวัดยโสธร</t>
  </si>
  <si>
    <t>1500437056410713</t>
  </si>
  <si>
    <t>งานปรับปรุงพื้นที่ ตามแบบมาตรฐาน โคก หนอง นาขนาด 3 ไร่ สำนักงานพัฒนาชุมชนอำเภอเมืองยโสธรตำบลในเมือง อำเภอเมืองยโสธร จังหวัดยโสธร</t>
  </si>
  <si>
    <t>1500437056410714</t>
  </si>
  <si>
    <t>งานปรับปรุงพื้นที่ ตามแบบมาตรฐาน โคก หนอง นาขนาด 3 ไร่ สำนักงานพัฒนาชุมชนอำเภอเลิงนกทา ตำบลสามแยก อำเภอเลิงนกทาจังหวัดยโสธร</t>
  </si>
  <si>
    <t>1500437056410715</t>
  </si>
  <si>
    <t>งานปรับปรุงพื้นที่ ตามแบบมาตรฐาน โคก หนอง นาขนาด 3 ไร่ สำนักงานพัฒนาชุมชนอำเภอเมืองยะลาตำบลสะเตง อำเภอเมืองยะลา จังหวัดยะลา</t>
  </si>
  <si>
    <t>งานปรับปรุงพื้นที่ ตามแบบมาตรฐาน โคก หนอง นาขนาด 3 ไร่ สำนักงานพัฒนาชุมชนอำเภอยะหา ตำบลยะหา อำเภอยะหา จังหวัดยะลา</t>
  </si>
  <si>
    <t>งานปรับปรุงพื้นที่ ตามแบบมาตรฐาน โคก หนอง นาขนาด 3 ไร่ สำนักงานพัฒนาชุมชนอำเภอรามัน ตำบลกายูบอเกาะ อำเภอรามัน จังหวัดยะลา</t>
  </si>
  <si>
    <t>งานปรับปรุงพื้นที่ ตามแบบมาตรฐาน โคก หนอง นาขนาด 3 ไร่ สำนักงานพัฒนาชุมชนอำเภอเกษตรวิสัยตำบลเกษตรวิสัย อำเภอเกษตรวิสัย จังหวัดร้อยเอ็ด</t>
  </si>
  <si>
    <t>1500437056410719</t>
  </si>
  <si>
    <t>งานปรับปรุงพื้นที่ ตามแบบมาตรฐาน โคก หนอง นาขนาด 3 ไร่ สำนักงานพัฒนาชุมชนอำเภอจังหาร ตำบลจังหาร อำเภอจังหาร จังหวัดร้อยเอ็ด</t>
  </si>
  <si>
    <t>1500437056410720</t>
  </si>
  <si>
    <t>งานปรับปรุงพื้นที่ ตามแบบมาตรฐาน โคก หนอง นาขนาด 3 ไร่ สำนักงานพัฒนาชุมชนอำเภอเชียงขวัญตำบลพระธาตุ อำเภอเชียงขวัญ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</si>
  <si>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สำนักงานพัฒนาชุมชนอำเภอทุ่งเขาหลวงตำบลบึงงาม อำเภอทุ่งเขาหลวง จังหวัดร้อยเอ็ด</t>
  </si>
  <si>
    <t>1500437056410722</t>
  </si>
  <si>
    <t>งานปรับปรุงพื้นที่ ตามแบบมาตรฐาน โคก หนอง นาขนาด 3 ไร่ สำนักงานพัฒนาชุมชนอำเภอธวัชบุรี ตำบลนิเวศน์ อำเภอธวัชบุรี จังหวัดร้อยเอ็ด</t>
  </si>
  <si>
    <t>1500437056410723</t>
  </si>
  <si>
    <t>งานปรับปรุงพื้นที่ ตามแบบมาตรฐาน โคก หนอง นาขนาด 3 ไร่ สำนักงานพัฒนาชุมชนอำเภอปทุมรัตต์ ตำบลบัวแดง อำเภอปทุมรัตต์จังหวัดร้อยเอ็ด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</si>
  <si>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สำนักงานพัฒนาชุมชนอำเภอโพธิ์ชัย ตำบลขามเปี้ย อำเภอโพธิ์ชัยจังหวัดร้อยเอ็ด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</si>
  <si>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สำนักงานพัฒนาชุมชนอำเภอโพนทรายตำบลโพนทราย อำเภอโพนทราย จังหวัดร้อยเอ็ด</t>
  </si>
  <si>
    <t>1500437056410727</t>
  </si>
  <si>
    <t>งานปรับปรุงพื้นที่ ตามแบบมาตรฐาน โคก หนอง นาขนาด 3 ไร่ สำนักงานพัฒนาชุมชนอำเภอโพนทอง ตำบลแวง อำเภอโพนทอง จังหวัดร้อยเอ็ด</t>
  </si>
  <si>
    <t>1500437056410728</t>
  </si>
  <si>
    <t>งานปรับปรุงพื้นที่ ตามแบบมาตรฐาน โคก หนอง นาขนาด 3 ไร่ สำนักงานพัฒนาชุมชนอำเภอเมยวดี ตำบลเมยวดี อำเภอเมยวดี จังหวัดร้อยเอ็ด</t>
  </si>
  <si>
    <t>1500437056410729</t>
  </si>
  <si>
    <t>งานปรับปรุงพื้นที่ ตามแบบมาตรฐาน โคก หนอง นาขนาด 3 ไร่ สำนักงานพัฒนาชุมชนอำเภอเมืองร้อยเอ็ดตำบลในเมือง อำเภอเมืองร้อยเอ็ด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</si>
  <si>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สำนักงานพัฒนาชุมชนอำเภอเมืองสรวงตำบลหนองผือ อำเภอเมืองสรวง จังหวัดร้อยเอ็ด</t>
  </si>
  <si>
    <t>1500437056410731</t>
  </si>
  <si>
    <t>งานปรับปรุงพื้นที่ ตามแบบมาตรฐาน โคก หนอง นาขนาด 3 ไร่ สำนักงานพัฒนาชุมชนอำเภอศรีสมเด็จ ตำบลบ้านบาก อำเภอศรีสมเด็จจังหวัดร้อยเอ็ด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</si>
  <si>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สำนักงานพัฒนาชุมชนอำเภอสุวรรณภูมิตำบลสระคู อำเภอสุวรรณภูมิจังหวัดร้อยเอ็ด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</si>
  <si>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สำนักงานพัฒนาชุมชนอำเภออาจสามารถตำบลอาจสามารถ อำเภออาจสามารถ จังหวัดร้อยเอ็ด</t>
  </si>
  <si>
    <t>งานปรับปรุงพื้นที่ ตามแบบมาตรฐาน โคก หนอง นาขนาด 3 ไร่ สำนักงานพัฒนาชุมชนอำเภอกระบุรี ตำบลน้ำจืดน้อย อำเภอกระบุรี จังหวัดระนอง</t>
  </si>
  <si>
    <t>1500437056410735</t>
  </si>
  <si>
    <t>งานปรับปรุงพื้นที่ ตามแบบมาตรฐาน โคก หนอง นาขนาด 3 ไร่ สำนักงานพัฒนาชุมชนอำเภอแกลง ตำบลทางเกวียน อำเภอแกลงจังหวัดระยอง</t>
  </si>
  <si>
    <t>งานปรับปรุงพื้นที่ ตามแบบมาตรฐาน โคก หนอง นาขนาด 3 ไร่ สำนักงานพัฒนาชุมชนอำเภอบ้านค่าย ตำบลบ้านค่าย อำเภอบ้านค่ายจังหวัดระยอง</t>
  </si>
  <si>
    <t>งานปรับปรุงพื้นที่ ตามแบบมาตรฐาน โคก หนอง นาขนาด 3 ไร่ สำนักงานพัฒนาชุมชนอำเภอปลวกแดงตำบลปลวกแดง อำเภอปลวกแดง จังหวัดระยอง</t>
  </si>
  <si>
    <t>1500437056410739</t>
  </si>
  <si>
    <t>งานปรับปรุงพื้นที่ ตามแบบมาตรฐาน โคก หนอง นาขนาด 3 ไร่ สำนักงานพัฒนาชุมชนอำเภอวังจันทร์ ตำบลชุมแสง อำเภอวังจันทร์จังหวัดระยอง</t>
  </si>
  <si>
    <t>งานปรับปรุงพื้นที่ ตามแบบมาตรฐาน โคก หนอง นาขนาด 3 ไร่ สำนักงานพัฒนาชุมชนอำเภอโคกสำโรงตำบลโคกสำโรง อำเภอโคกสำโรง จังหวัดลพบุรี</t>
  </si>
  <si>
    <t>1500437056410741</t>
  </si>
  <si>
    <t>งานปรับปรุงพื้นที่ ตามแบบมาตรฐาน โคก หนอง นาขนาด 3 ไร่ สำนักงานพัฒนาชุมชนอำเภอชัยบาดาลตำบลลำนารายณ์ อำเภอชัยบาดาล จังหวัดลพบุรี</t>
  </si>
  <si>
    <t>1500437056410742</t>
  </si>
  <si>
    <t>งานปรับปรุงพื้นที่ ตามแบบมาตรฐาน โคก หนอง นาขนาด 3 ไร่ สำนักงานพัฒนาชุมชนอำเภอท่าวุ้ง ตำบลท่าวุ้ง อำเภอท่าวุ้ง จังหวัดลพบุรี</t>
  </si>
  <si>
    <t>1500437056410743</t>
  </si>
  <si>
    <t>งานปรับปรุงพื้นที่ ตามแบบมาตรฐาน โคก หนอง นาขนาด 3 ไร่ สำนักงานพัฒนาชุมชนอำเภอพัฒนานิคมตำบลพัฒนานิคม อำเภอพัฒนานิคม จังหวัดลพบุรี</t>
  </si>
  <si>
    <t>1500437056410744</t>
  </si>
  <si>
    <t>งานปรับปรุงพื้นที่ ตามแบบมาตรฐาน โคก หนอง นาขนาด 3 ไร่ สำนักงานพัฒนาชุมชนอำเภอเกาะคา ตำบลท่าผา อำเภอเกาะคา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</si>
  <si>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สำนักงานพัฒนาชุมชนอำเภอแจ้ห่ม ตำบลวิเชตนคร อำเภอแจ้ห่ม จังหวัดลำปาง</t>
  </si>
  <si>
    <t>1500437056410746</t>
  </si>
  <si>
    <t>งานปรับปรุงพื้นที่ ตามแบบมาตรฐาน โคก หนอง นาขนาด 3 ไร่ สำนักงานพัฒนาชุมชนอำเภอเถิน ตำบลล้อมแรด อำเภอเถิน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</si>
  <si>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สำนักงานพัฒนาชุมชนอำเภอเมืองปาน ตำบลเมืองปาน อำเภอเมืองปานจังหวัดลำปาง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</si>
  <si>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สำนักงานพัฒนาชุมชนอำเภอแม่ทะ ตำบลนาครัว อำเภอแม่ทะ 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</si>
  <si>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สำนักงานพัฒนาชุมชนอำเภอแม่พริก ตำบลแม่พริก อำเภอแม่พริกจังหวัดลำปาง</t>
  </si>
  <si>
    <t>1500437056410750</t>
  </si>
  <si>
    <t>งานปรับปรุงพื้นที่ ตามแบบมาตรฐาน โคก หนอง นาขนาด 3 ไร่ สำนักงานพัฒนาชุมชนอำเภอแม่เมาะ ตำบลแม่เมาะ อำเภอแม่เมาะจังหวัดลำปาง</t>
  </si>
  <si>
    <t>งานปรับปรุงพื้นที่ ตามแบบมาตรฐาน โคก หนอง นาขนาด 3 ไร่ สำนักงานพัฒนาชุมชนอำเภอบ้านโฮ่ง ตำบลบ้านโฮ่ง อำเภอบ้านโฮ่งจังหวัดลำพูน</t>
  </si>
  <si>
    <t>งานปรับปรุงพื้นที่ ตามแบบมาตรฐาน โคก หนอง นาขนาด 3 ไร่ สำนักงานพัฒนาชุมชนอำเภอเมืองลำพูนตำบลเวียงยอง อำเภอเมืองลำพูน จังหวัดลำพูน</t>
  </si>
  <si>
    <t>1500437056410754</t>
  </si>
  <si>
    <t>งานปรับปรุงพื้นที่ ตามแบบมาตรฐาน โคก หนอง นาขนาด 3 ไร่ สำนักงานพัฒนาชุมชนอำเภอเวียงหนองล่องตำบลหนองล่อง อำเภอเวียงหนองล่อง จังหวัดลำพูน</t>
  </si>
  <si>
    <t>1500437056410755</t>
  </si>
  <si>
    <t>งานปรับปรุงพื้นที่ ตามแบบมาตรฐาน โคก หนอง นาขนาด 3 ไร่ สำนักงานพัฒนาชุมชนอำเภอด่านซ้าย ตำบลด่านซ้าย อำเภอด่านซ้ายจังหวัดเลย</t>
  </si>
  <si>
    <t>1500437056410756</t>
  </si>
  <si>
    <t>งานปรับปรุงพื้นที่ ตามแบบมาตรฐาน โคก หนอง นาขนาด 3 ไร่ สำนักงานพัฒนาชุมชนอำเภอท่าลี่ ตำบลท่าลี่อำเภอท่าลี่ จังหวัดเลย</t>
  </si>
  <si>
    <t>1500437056410757</t>
  </si>
  <si>
    <t>งานปรับปรุงพื้นที่ ตามแบบมาตรฐาน โคก หนอง นาขนาด 3 ไร่ สำนักงานพัฒนาชุมชนอำเภอเมืองเลย ตำบลกุดป่อง อำเภอเมืองเลยจังหวัดเลย</t>
  </si>
  <si>
    <t>1500437056410758</t>
  </si>
  <si>
    <t>งานปรับปรุงพื้นที่ ตามแบบมาตรฐาน โคก หนอง นาขนาด 3 ไร่ สำนักงานพัฒนาชุมชนอำเภอวังสะพุง ตำบลวังสะพุง อำเภอวังสะพุงจังหวัดเลย</t>
  </si>
  <si>
    <t>1500437056410759</t>
  </si>
  <si>
    <t>งานปรับปรุงพื้นที่ ตามแบบมาตรฐาน โคก หนอง นาขนาด 3 ไร่ สำนักงานพัฒนาชุมชนอำเภอกันทรลักษณ์ตำบลน้ำอ้อม อำเภอกันทรลักษ์ จังหวัดศรีสะเกษ</t>
  </si>
  <si>
    <t>1500437056410760</t>
  </si>
  <si>
    <t>งานปรับปรุงพื้นที่ ตามแบบมาตรฐาน โคก หนอง นาขนาด 3 ไร่ สำนักงานพัฒนาชุมชนอำเภอกันทรารมย์ตำบลดูน อำเภอกันทรารมย์จังหวัดศรีสะเกษ</t>
  </si>
  <si>
    <t>1500437056410761</t>
  </si>
  <si>
    <t>งานปรับปรุงพื้นที่ ตามแบบมาตรฐาน โคก หนอง นาขนาด 3 ไร่ สำนักงานพัฒนาชุมชนอำเภอขุขันธ์ ตำบลห้วยเหนือ อำเภอขุขันธ์จังหวัดศรีสะเกษ</t>
  </si>
  <si>
    <t>งานปรับปรุงพื้นที่ ตามแบบมาตรฐาน โคก หนอง นาขนาด 3 ไร่ สำนักงานพัฒนาชุมชนอำเภอขุนหาญ ตำบลสิอำเภอขุนหาญ จังหวัดศรีสะเกษ</t>
  </si>
  <si>
    <t>1500437056410763</t>
  </si>
  <si>
    <t>งานปรับปรุงพื้นที่ ตามแบบมาตรฐาน โคก หนอง นาขนาด 3 ไร่ สำนักงานพัฒนาชุมชนอำเภอน้ำเกลี้ยง ตำบลน้ำเกลี้ยง อำเภอน้ำเกลี้ยงจังหวัดศรีสะเกษ</t>
  </si>
  <si>
    <t>1500437056410764</t>
  </si>
  <si>
    <t>งานปรับปรุงพื้นที่ ตามแบบมาตรฐาน โคก หนอง นาขนาด 3 ไร่ สำนักงานพัฒนาชุมชนอำเภอโนนคูณ ตำบลโนนค้อ อำเภอโนนคูณจังหวัดศรีสะเกษ</t>
  </si>
  <si>
    <t>1500437056410765</t>
  </si>
  <si>
    <t>งานปรับปรุงพื้นที่ ตามแบบมาตรฐาน โคก หนอง นาขนาด 3 ไร่ สำนักงานพัฒนาชุมชนอำเภอเบญจลักษณ์ตำบลเสียว อำเภอเบญจลักษ์จังหวัดศรีสะเกษ</t>
  </si>
  <si>
    <t>1500437056410766</t>
  </si>
  <si>
    <t>งานปรับปรุงพื้นที่ ตามแบบมาตรฐาน โคก หนอง นาขนาด 3 ไร่ สำนักงานพัฒนาชุมชนอำเภอปรางค์กู่ตำบลพิมาย อำเภอปรางค์กู่จังหวัดศรีสะเกษ</t>
  </si>
  <si>
    <t>1500437056410767</t>
  </si>
  <si>
    <t>งานปรับปรุงพื้นที่ ตามแบบมาตรฐาน โคก หนอง นาขนาด 3 ไร่ สำนักงานพัฒนาชุมชนอำเภอพยุห์ ตำบลพยุห์อำเภอพยุห์ จังหวัดศรีสะเกษ</t>
  </si>
  <si>
    <t>1500437056410768</t>
  </si>
  <si>
    <t>งานปรับปรุงพื้นที่ ตามแบบมาตรฐาน โคก หนอง นาขนาด 3 ไร่ สำนักงานพัฒนาชุมชนอำเภอไพรบึง ตำบลไพรบึง อำเภอไพรบึง จังหวัดศรีสะเกษ</t>
  </si>
  <si>
    <t>1500437056410769</t>
  </si>
  <si>
    <t>งานปรับปรุงพื้นที่ ตามแบบมาตรฐาน โคก หนอง นาขนาด 3 ไร่ สำนักงานพัฒนาชุมชนอำเภอเมืองจันทร์ตำบลหนองใหญ่ อำเภอเมืองจันทร์ จังหวัดศรีสะเกษ</t>
  </si>
  <si>
    <t>1500437056410770</t>
  </si>
  <si>
    <t>งานปรับปรุงพื้นที่ ตามแบบมาตรฐาน โคก หนอง นาขนาด 3 ไร่ สำนักงานพัฒนาชุมชนอำเภอราษีไศล ตำบลเมืองคง อำเภอราษีไศลจังหวัดศรีสะเกษ</t>
  </si>
  <si>
    <t>1500437056410771</t>
  </si>
  <si>
    <t>งานปรับปรุงพื้นที่ ตามแบบมาตรฐาน โคก หนอง นาขนาด 3 ไร่ สำนักงานพัฒนาชุมชนอำเภอศิลาลาด ตำบลกุง อำเภอศิลาลาด จังหวัดศรีสะเกษ</t>
  </si>
  <si>
    <t>1500437056410772</t>
  </si>
  <si>
    <t>งานปรับปรุงพื้นที่ ตามแบบมาตรฐาน โคก หนอง นาขนาด 3 ไร่ สำนักงานพัฒนาชุมชนอำเภอห้วยทับทันตำบลห้วยทับทัน อำเภอห้วยทับทัน จังหวัดศรีสะเกษ</t>
  </si>
  <si>
    <t>1500437056410773</t>
  </si>
  <si>
    <t>งานปรับปรุงพื้นที่ ตามแบบมาตรฐาน โคก หนอง นาขนาด 3 ไร่ สำนักงานพัฒนาชุมชนอำเภอกุดบาก ตำบลกุดบาก อำเภอกุดบากจังหวัดสกลนคร</t>
  </si>
  <si>
    <t>1500437056410774</t>
  </si>
  <si>
    <t>งานปรับปรุงพื้นที่ ตามแบบมาตรฐาน โคก หนอง นาขนาด 3 ไร่ สำนักงานพัฒนาชุมชนอำเภอกุสุมาลย์ ตำบลกุสุมาลย์ อำเภอกุสุมาลย์จังหวัดสกลนคร</t>
  </si>
  <si>
    <t>1500437056410775</t>
  </si>
  <si>
    <t>งานปรับปรุงพื้นที่ ตามแบบมาตรฐาน โคก หนอง นาขนาด 3 ไร่ สำนักงานพัฒนาชุมชนอำเภอคำตากล้า ตำบลคำตากล้า อำเภอคำตากล้าจังหวัดสกลนคร</t>
  </si>
  <si>
    <t>1500437056410776</t>
  </si>
  <si>
    <t>งานปรับปรุงพื้นที่ ตามแบบมาตรฐาน โคก หนอง นาขนาด 3 ไร่ สำนักงานพัฒนาชุมชนอำเภอเจริญศิลป์ตำบลเจริญศิลป์ อำเภอเจริญศิลป์ จังหวัดสกลนคร</t>
  </si>
  <si>
    <t>1500437056410777</t>
  </si>
  <si>
    <t>งานปรับปรุงพื้นที่ ตามแบบมาตรฐาน โคก หนอง นาขนาด 3 ไร่ สำนักงานพัฒนาชุมชนอำเภอเต่างอย ตำบลเต่างอย อำเภอเต่างอยจังหวัดสกลนคร</t>
  </si>
  <si>
    <t>1500437056410778</t>
  </si>
  <si>
    <t>งานปรับปรุงพื้นที่ ตามแบบมาตรฐาน โคก หนอง นาขนาด 3 ไร่ สำนักงานพัฒนาชุมชนอำเภอนิคมน้ำอูนตำบลหนองปลิง อำเภอนิคมน้ำอูน จังหวัดสกลนคร</t>
  </si>
  <si>
    <t>1500437056410779</t>
  </si>
  <si>
    <t>งานปรับปรุงพื้นที่ ตามแบบมาตรฐาน โคก หนอง นาขนาด 3 ไร่ สำนักงานพัฒนาชุมชนอำเภอบ้านม่วง ตำบลม่วง อำเภอบ้านม่วง จังหวัดสกลนคร</t>
  </si>
  <si>
    <t>1500437056410780</t>
  </si>
  <si>
    <t>งานปรับปรุงพื้นที่ ตามแบบมาตรฐาน โคก หนอง นาขนาด 3 ไร่ สำนักงานพัฒนาชุมชนอำเภอพรรณานิคมตำบลพรรณา อำเภอพรรณานิคม จังหวัดสกลนคร</t>
  </si>
  <si>
    <t>งานปรับปรุงพื้นที่ ตามแบบมาตรฐาน โคก หนอง นาขนาด 3 ไร่ สำนักงานพัฒนาชุมชนอำเภอพังโคน ตำบลพังโคน อำเภอพังโคนจังหวัดสกลนคร</t>
  </si>
  <si>
    <t>1500437056410782</t>
  </si>
  <si>
    <t>งานปรับปรุงพื้นที่ ตามแบบมาตรฐาน โคก หนอง นาขนาด 3 ไร่ สำนักงานพัฒนาชุมชนอำเภอโพนนาแก้วตำบลนาแก้ว อำเภอโพนนาแก้ว จังหวัดสกลนคร</t>
  </si>
  <si>
    <t>1500437056410783</t>
  </si>
  <si>
    <t>งานปรับปรุงพื้นที่ ตามแบบมาตรฐาน โคก หนอง นาขนาด 3 ไร่ สำนักงานพัฒนาชุมชนอำเภอเมืองสกลนครตำบลธาตุเชิงชุม อำเภอเมืองสกลนคร จังหวัดสกลนคร</t>
  </si>
  <si>
    <t>1500437056410784</t>
  </si>
  <si>
    <t>งานปรับปรุงพื้นที่ ตามแบบมาตรฐาน โคก หนอง นาขนาด 3 ไร่ สำนักงานพัฒนาชุมชนอำเภอวานรนิวาสตำบลวานรนิวาส อำเภอวานรนิวาส จังหวัดสกลนคร</t>
  </si>
  <si>
    <t>1500437056410785</t>
  </si>
  <si>
    <t>งานปรับปรุงพื้นที่ ตามแบบมาตรฐาน โคก หนอง นาขนาด 3 ไร่ สำนักงานพัฒนาชุมชนอำเภอวาริชภูมิ ตำบลวาริชภูมิ อำเภอวาริชภูมิจังหวัดสกลนคร</t>
  </si>
  <si>
    <t>1500437056410786</t>
  </si>
  <si>
    <t>งานปรับปรุงพื้นที่ ตามแบบมาตรฐาน โคก หนอง นาขนาด 3 ไร่ สำนักงานพัฒนาชุมชนอำเภอสว่างแดนดินตำบลสว่างแดนดิน อำเภอสว่างแดนดิน จังหวัดสกลนคร</t>
  </si>
  <si>
    <t>1500437056410787</t>
  </si>
  <si>
    <t>งานปรับปรุงพื้นที่ ตามแบบมาตรฐาน โคก หนอง นาขนาด 3 ไร่ สำนักงานพัฒนาชุมชนอำเภอส่องดาว ตำบลส่องดาว อำเภอส่องดาวจังหวัดสกลนคร</t>
  </si>
  <si>
    <t>1500437056410788</t>
  </si>
  <si>
    <t>งานปรับปรุงพื้นที่ ตามแบบมาตรฐาน โคก หนอง นาขนาด 3 ไร่ สำนักงานพัฒนาชุมชนอำเภออากาศอำนวยตำบลอากาศ อำเภออากาศอำนวย จังหวัดสกลนคร</t>
  </si>
  <si>
    <t>1500437056410789</t>
  </si>
  <si>
    <t>งานปรับปรุงพื้นที่ ตามแบบมาตรฐาน โคก หนอง นาขนาด 3 ไร่ สำนักงานพัฒนาชุมชนอำเภอจะนะ ตำบลบ้านนา อำเภอจะนะ จังหวัดสงขลา</t>
  </si>
  <si>
    <t>1500437056410790</t>
  </si>
  <si>
    <t>งานปรับปรุงพื้นที่ ตามแบบมาตรฐาน โคก หนอง นาขนาด 3 ไร่ สำนักงานพัฒนาชุมชนอำเภอนาหม่อม ตำบลนาหม่อม อำเภอนาหม่อมจังหวัดสงขลา</t>
  </si>
  <si>
    <t>งานปรับปรุงพื้นที่ ตามแบบมาตรฐาน โคก หนอง นาขนาด 3 ไร่ สำนักงานพัฒนาชุมชนอำเภอสทิงพระ ตำบลจะทิ้งพระ อำเภอสทิงพระจังหวัดสงขลา</t>
  </si>
  <si>
    <t>งานปรับปรุงพื้นที่ ตามแบบมาตรฐาน โคก หนอง นาขนาด 3 ไร่ สำนักงานพัฒนาชุมชนอำเภอสะบ้าย้อยตำบลสะบ้าย้อย อำเภอสะบ้าย้อย จังหวัดสงขลา</t>
  </si>
  <si>
    <t>งานปรับปรุงพื้นที่ ตามแบบมาตรฐาน โคก หนอง นาขนาด 3 ไร่ สำนักงานพัฒนาชุมชนอำเภอสิงหนคร ตำบลสทิงหม้อ อำเภอสิงหนครจังหวัดสงขลา</t>
  </si>
  <si>
    <t>1500437056410794</t>
  </si>
  <si>
    <t>งานปรับปรุงพื้นที่ ตามแบบมาตรฐาน โคก หนอง นาขนาด 3 ไร่ สำนักงานพัฒนาชุมชนอำเภอควนกาหลงตำบลควนกาหลง อำเภอควนกาหลง จังหวัดสตูล</t>
  </si>
  <si>
    <t>1500437056410796</t>
  </si>
  <si>
    <t>งานปรับปรุงพื้นที่ ตามแบบมาตรฐาน โคก หนอง นาขนาด 3 ไร่ สำนักงานพัฒนาชุมชนอำเภอควนโดน ตำบลควนสตอ อำเภอควนโดนจังหวัดสตูล</t>
  </si>
  <si>
    <t>1500437056410797</t>
  </si>
  <si>
    <t>งานปรับปรุงพื้นที่ ตามแบบมาตรฐาน โคก หนอง นาขนาด 3 ไร่ สำนักงานพัฒนาชุมชนอำเภอท่าแพ ตำบลท่าแพ อำเภอท่าแพ จังหวัดสตูล</t>
  </si>
  <si>
    <t>1500437056410798</t>
  </si>
  <si>
    <t>งานปรับปรุงพื้นที่ ตามแบบมาตรฐาน โคก หนอง นาขนาด 3 ไร่ สำนักงานพัฒนาชุมชนอำเภอละงู ตำบลละงูอำเภอละงู จังหวัดสตูล</t>
  </si>
  <si>
    <t>1500437056410799</t>
  </si>
  <si>
    <t>งานปรับปรุงพื้นที่ ตามแบบมาตรฐาน โคก หนอง นาขนาด 3 ไร่ สำนักงานพัฒนาชุมชนอำเภอบางบ่อ ตำบลบางบ่อ อำเภอบางบ่อจังหวัดสมุทรปราการ</t>
  </si>
  <si>
    <t>1500437056410800</t>
  </si>
  <si>
    <t>งานปรับปรุงพื้นที่ ตามแบบมาตรฐาน โคก หนอง นาขนาด 3 ไร่ สำนักงานพัฒนาชุมชนอำเภอวัฒนานครตำบลวัฒนานคร อำเภอวัฒนานคร จังหวัดสระแก้ว</t>
  </si>
  <si>
    <t>งานปรับปรุงพื้นที่ ตามแบบมาตรฐาน โคก หนอง นาขนาด 3 ไร่ สำนักงานพัฒนาชุมชนอำเภออรัญประเทศตำบลบ้านใหม่หนองไทรอำเภออรัญประเทศ จังหวัดสระแก้ว</t>
  </si>
  <si>
    <t>งานปรับปรุงพื้นที่ ตามแบบมาตรฐาน โคก หนอง นาขนาด 3 ไร่ สำนักงานพัฒนาชุมชนอำเภอแก่งคอย ตำบลแก่งคอย อำเภอแก่งคอยจังหวัดสระบุรี</t>
  </si>
  <si>
    <t>1500437056410805</t>
  </si>
  <si>
    <t>งานปรับปรุงพื้นที่ ตามแบบมาตรฐาน โคก หนอง นาขนาด 3 ไร่ สำนักงานพัฒนาชุมชนอำเภอเฉลิมพระเกียรติตำบลเขาดินพัฒนา อำเภอเฉลิมพระเกียรติ จังหวัดสระบุรี</t>
  </si>
  <si>
    <t>งานปรับปรุงพื้นที่ ตามแบบมาตรฐาน โคก หนอง นาขนาด 3 ไร่ สำนักงานพัฒนาชุมชนอำเภอบ้านหมอ ตำบลบ้านหมอ อำเภอบ้านหมอจังหวัดสระบุรี</t>
  </si>
  <si>
    <t>1500437056410807</t>
  </si>
  <si>
    <t>งานปรับปรุงพื้นที่ ตามแบบมาตรฐาน โคก หนอง นาขนาด 3 ไร่ สำนักงานพัฒนาชุมชนอำเภอพระพุทธบาทตำบลขุนโขลน อำเภอพระพุทธบาท จังหวัดสระบุรี</t>
  </si>
  <si>
    <t>1500437056410808</t>
  </si>
  <si>
    <t>งานปรับปรุงพื้นที่ ตามแบบมาตรฐาน โคก หนอง นาขนาด 3 ไร่ สำนักงานพัฒนาชุมชนอำเภอเมืองสระบุรีตำบลปากเพรียว อำเภอเมืองสระบุรี จังหวัดสระบุรี</t>
  </si>
  <si>
    <t>งานปรับปรุงพื้นที่ ตามแบบมาตรฐาน โคก หนอง นาขนาด 3 ไร่ สำนักงานพัฒนาชุมชนอำเภอวังม่วง ตำบลวังม่วง อำเภอวังม่วง จังหวัดสระบุรี</t>
  </si>
  <si>
    <t>งานปรับปรุงพื้นที่ ตามแบบมาตรฐาน โคก หนอง นาขนาด 3 ไร่ สำนักงานพัฒนาชุมชนอำเภอวิหารแดง ตำบลหนองสรวง อำเภอวิหารแดงจังหวัดสระบุรี</t>
  </si>
  <si>
    <t>1500437056410811</t>
  </si>
  <si>
    <t>งานปรับปรุงพื้นที่ ตามแบบมาตรฐาน โคก หนอง นาขนาด 3 ไร่ สำนักงานพัฒนาชุมชนอำเภอเสาไห้ ตำบลเสาไห้ อำเภอเสาไห้ จังหวัดสระบุรี</t>
  </si>
  <si>
    <t>งานปรับปรุงพื้นที่ ตามแบบมาตรฐาน โคก หนอง นาขนาด 3 ไร่ สำนักงานพัฒนาชุมชนอำเภอหนองแค ตำบลหนองแค อำเภอหนองแคจังหวัดสระบุรี</t>
  </si>
  <si>
    <t>1500437056410813</t>
  </si>
  <si>
    <t>งานปรับปรุงพื้นที่ ตามแบบมาตรฐาน โคก หนอง นาขนาด 3 ไร่ สำนักงานพัฒนาชุมชนอำเภอหนองแซงตำบลหนองแซง อำเภอหนองแซง จังหวัดสระบุรี</t>
  </si>
  <si>
    <t>1500437056410814</t>
  </si>
  <si>
    <t>งานปรับปรุงพื้นที่ ตามแบบมาตรฐาน โคก หนอง นาขนาด 3 ไร่ สำนักงานพัฒนาชุมชนอำเภอหนองโดนตำบลหนองโดน อำเภอหนองโดน จังหวัดสระบุรี</t>
  </si>
  <si>
    <t>งานปรับปรุงพื้นที่ ตามแบบมาตรฐาน โคก หนอง นาขนาด 3 ไร่ สำนักงานพัฒนาชุมชนอำเภอค่ายบางระจันตำบลบางระจัน อำเภอค่ายบางระจัน จังหวัดสิงห์บุรี</t>
  </si>
  <si>
    <t>1500437056410816</t>
  </si>
  <si>
    <t>งานปรับปรุงพื้นที่ ตามแบบมาตรฐาน โคก หนอง นาขนาด 3 ไร่ สำนักงานพัฒนาชุมชนอำเภอท่าช้าง ตำบลถอนสมอ อำเภอท่าช้างจังหวัดสิงห์บุรี</t>
  </si>
  <si>
    <t>1500437056410817</t>
  </si>
  <si>
    <t>งานปรับปรุงพื้นที่ ตามแบบมาตรฐาน โคก หนอง นาขนาด 3 ไร่ สำนักงานพัฒนาชุมชนอำเภอบางระจัน ตำบลสิงห์ อำเภอบางระจัน จังหวัดสิงห์บุรี</t>
  </si>
  <si>
    <t>1500437056410818</t>
  </si>
  <si>
    <t>งานปรับปรุงพื้นที่ ตามแบบมาตรฐาน โคก หนอง นาขนาด 3 ไร่ สำนักงานพัฒนาชุมชนอำเภอพรหมบุรี ตำบลบางน้ำเชี่ยว อำเภอพรหมบุรีจังหวัดสิงห์บุรี</t>
  </si>
  <si>
    <t>1500437056410819</t>
  </si>
  <si>
    <t>งานปรับปรุงพื้นที่ ตามแบบมาตรฐาน โคก หนอง นาขนาด 3 ไร่ สำนักงานพัฒนาชุมชนอำเภอเมืองสิงห์บุรีตำบลบางพุทรา อำเภอเมืองสิงห์บุรี จังหวัดสิงห์บุรี</t>
  </si>
  <si>
    <t>1500437056410820</t>
  </si>
  <si>
    <t>งานปรับปรุงพื้นที่ ตามแบบมาตรฐาน โคก หนอง นาขนาด 3 ไร่ สำนักงานพัฒนาชุมชนอำเภออินทร์บุรี ตำบลอินทร์บุรี อำเภออินทร์บุรีจังหวัดสิงห์บุรี</t>
  </si>
  <si>
    <t>1500437056410821</t>
  </si>
  <si>
    <t>งานปรับปรุงพื้นที่ ตามแบบมาตรฐาน โคก หนอง นาขนาด 3 ไร่ สำนักงานพัฒนาชุมชนอำเภอกงไกรลาศตำบลบ้านกร่าง อำเภอกงไกรลาศ จังหวัดสุโขทัย</t>
  </si>
  <si>
    <t>1500437056410822</t>
  </si>
  <si>
    <t>งานปรับปรุงพื้นที่ ตามแบบมาตรฐาน โคก หนอง นาขนาด 3 ไร่ สำนักงานพัฒนาชุมชนอำเภอคีรีมาศ ตำบลโตนด อำเภอคีรีมาศ จังหวัดสุโขทัย</t>
  </si>
  <si>
    <t>1500437056410823</t>
  </si>
  <si>
    <t>งานปรับปรุงพื้นที่ ตามแบบมาตรฐาน โคก หนอง นาขนาด 3 ไร่ สำนักงานพัฒนาชุมชนอำเภอทุ่งเสลี่ยมตำบลทุ่งเสลี่ยม อำเภอทุ่งเสลี่ยม จังหวัดสุโขทัย</t>
  </si>
  <si>
    <t>1500437056410824</t>
  </si>
  <si>
    <t>งานปรับปรุงพื้นที่ ตามแบบมาตรฐาน โคก หนอง นาขนาด 3 ไร่ สำนักงานพัฒนาชุมชนอำเภอเมืองสุโขทัยตำบลธานี อำเภอเมืองสุโขทัย จังหวัดสุโขทัย</t>
  </si>
  <si>
    <t>1500437056410825</t>
  </si>
  <si>
    <t>งานปรับปรุงพื้นที่ ตามแบบมาตรฐาน โคก หนอง นาขนาด 3 ไร่ สำนักงานพัฒนาชุมชนอำเภอศรีสำโรง ตำบลคลองตาล อำเภอศรีสำโรงจังหวัดสุโขทัย</t>
  </si>
  <si>
    <t>1500437056410826</t>
  </si>
  <si>
    <t>งานปรับปรุงพื้นที่ ตามแบบมาตรฐาน โคก หนอง นาขนาด 3 ไร่ สำนักงานพัฒนาชุมชนอำเภอดอนเจดีย์ ตำบลดอนเจดีย์ อำเภอดอนเจดีย์จังหวัดสุพรรณบุรี</t>
  </si>
  <si>
    <t>งานปรับปรุงพื้นที่ ตามแบบมาตรฐาน โคก หนอง นาขนาด 3 ไร่ สำนักงานพัฒนาชุมชนอำเภอเดิมบางนางบวชตำบลเขาพระ อำเภอเดิมบางนางบวช จังหวัดสุพรรณบุรี</t>
  </si>
  <si>
    <t>งานปรับปรุงพื้นที่ ตามแบบมาตรฐาน โคก หนอง นาขนาด 3 ไร่ สำนักงานพัฒนาชุมชนอำเภออู่ทอง ตำบลอู่ทอง อำเภออู่ทอง จังหวัดสุพรรณบุรี</t>
  </si>
  <si>
    <t>1500437056410831</t>
  </si>
  <si>
    <t>งานปรับปรุงพื้นที่ ตามแบบมาตรฐาน โคก หนอง นาขนาด 3 ไร่ สำนักงานพัฒนาชุมชนอำเภอกาญจนดิษฐ์ตำบลกะแดะ อำเภอกาญจนดิษฐ์ จังหวัดสุราษฎร์ธานี</t>
  </si>
  <si>
    <t>1500437056410832</t>
  </si>
  <si>
    <t>งานปรับปรุงพื้นที่ ตามแบบมาตรฐาน โคก หนอง นาขนาด 3 ไร่ สำนักงานพัฒนาชุมชนอำเภอคีรีรัฐนิคม ตำบลท่าขนอน อำเภอคีรีรัฐนิคมจังหวัดสุราษฎร์ธานี</t>
  </si>
  <si>
    <t>งานปรับปรุงพื้นที่ ตามแบบมาตรฐาน โคก หนอง นาขนาด 3 ไร่ สำนักงานพัฒนาชุมชนอำเภอเคียนซา ตำบลเคียนซา อำเภอเคียนซาจังหวัดสุราษฎร์ธานี</t>
  </si>
  <si>
    <t>1500437056410834</t>
  </si>
  <si>
    <t>งานปรับปรุงพื้นที่ ตามแบบมาตรฐาน โคก หนอง นาขนาด 3 ไร่ สำนักงานพัฒนาชุมชนอำเภอไชยา ตำบลตลาดไชยา อำเภอไชยาจังหวัดสุราษฎร์ธานี</t>
  </si>
  <si>
    <t>งานปรับปรุงพื้นที่ ตามแบบมาตรฐาน โคก หนอง นาขนาด 3 ไร่ สำนักงานพัฒนาชุมชนอำเภอพนม ตำบลพนมอำเภอพนม จังหวัดสุราษฎร์ธานี</t>
  </si>
  <si>
    <t>1500437056410837</t>
  </si>
  <si>
    <t>งานปรับปรุงพื้นที่ ตามแบบมาตรฐาน โคก หนอง นาขนาด 3 ไร่ สำนักงานพัฒนาชุมชนอำเภอพระแสง ตำบลอิปัน อำเภอพระแสง จังหวัดสุราษฎร์ธานี</t>
  </si>
  <si>
    <t>งานปรับปรุงพื้นที่ ตามแบบมาตรฐาน โคก หนอง นาขนาด 3 ไร่ สำนักงานพัฒนาชุมชนอำเภอพุนพิน ตำบลท่าข้าม อำเภอพุนพิน จังหวัดสุราษฎร์ธานี</t>
  </si>
  <si>
    <t>งานปรับปรุงพื้นที่ ตามแบบมาตรฐาน โคก หนอง นาขนาด 3 ไร่ สำนักงานพัฒนาชุมชนอำเภอกาบเชิง ตำบลกาบเชิง อำเภอกาบเชิงจังหวัดสุรินทร์</t>
  </si>
  <si>
    <t>1500437056410840</t>
  </si>
  <si>
    <t>งานปรับปรุงพื้นที่ ตามแบบมาตรฐาน โคก หนอง นาขนาด 3 ไร่ สำนักงานพัฒนาชุมชนอำเภอจอมพระ ตำบลจอมพระ อำเภอจอมพระจังหวัดสุรินทร์</t>
  </si>
  <si>
    <t>1500437056410841</t>
  </si>
  <si>
    <t>งานปรับปรุงพื้นที่ ตามแบบมาตรฐาน โคก หนอง นาขนาด 3 ไร่ สำนักงานพัฒนาชุมชนอำเภอท่าตูม ตำบลท่าตูม อำเภอท่าตูม จังหวัดสุรินทร์</t>
  </si>
  <si>
    <t>1500437056410842</t>
  </si>
  <si>
    <t>งานปรับปรุงพื้นที่ ตามแบบมาตรฐาน โคก หนอง นาขนาด 3 ไร่ สำนักงานพัฒนาชุมชนอำเภอโนนนารายณ์ตำบลหนองหลวง อำเภอโนนนารายณ์ จังหวัดสุรินทร์</t>
  </si>
  <si>
    <t>1500437056410843</t>
  </si>
  <si>
    <t>งานปรับปรุงพื้นที่ ตามแบบมาตรฐาน โคก หนอง นาขนาด 3 ไร่ สำนักงานพัฒนาชุมชนอำเภอเมืองสุรินทร์ตำบลในเมือง อำเภอเมืองสุรินทร์ จังหวัดสุรินทร์</t>
  </si>
  <si>
    <t>1500437056410844</t>
  </si>
  <si>
    <t>งานปรับปรุงพื้นที่ ตามแบบมาตรฐาน โคก หนอง นาขนาด 3 ไร่ สำนักงานพัฒนาชุมชนอำเภอรัตนบุรี ตำบลรัตนบุรี อำเภอรัตนบุรี จังหวัดสุรินทร์</t>
  </si>
  <si>
    <t>1500437056410845</t>
  </si>
  <si>
    <t>งานปรับปรุงพื้นที่ ตามแบบมาตรฐาน โคก หนอง นาขนาด 3 ไร่ สำนักงานพัฒนาชุมชนอำเภอลำดวน ตำบลลำดวน อำเภอลำดวนจังหวัดสุรินทร์</t>
  </si>
  <si>
    <t>1500437056410846</t>
  </si>
  <si>
    <t>งานปรับปรุงพื้นที่ ตามแบบมาตรฐาน โคก หนอง นาขนาด 3 ไร่ สำนักงานพัฒนาชุมชนอำเภอศรีณรงค์ ตำบลณรงค์ อำเภอศรีณรงค์จังหวัดสุรินทร์</t>
  </si>
  <si>
    <t>1500437056410847</t>
  </si>
  <si>
    <t>งานปรับปรุงพื้นที่ ตามแบบมาตรฐาน โคก หนอง นาขนาด 3 ไร่ สำนักงานพัฒนาชุมชนอำเภอศีขรภูมิ ตำบลระแงง อำเภอศีขรภูมิ จังหวัดสุรินทร์</t>
  </si>
  <si>
    <t>1500437056410848</t>
  </si>
  <si>
    <t>งานปรับปรุงพื้นที่ ตามแบบมาตรฐาน โคก หนอง นาขนาด 3 ไร่ สำนักงานพัฒนาชุมชนอำเภอสังขะตำบลสังขะ อำเภอสังขะจังหวัดสุรินทร์</t>
  </si>
  <si>
    <t>1500437056410849</t>
  </si>
  <si>
    <t>งานปรับปรุงพื้นที่ ตามแบบมาตรฐาน โคก หนอง นาขนาด 3 ไร่ สำนักงานพัฒนาชุมชนอำเภอสำโรงทาบตำบลหนองไผ่ล้อม อำเภอสำโรงทาบ จังหวัดสุรินทร์</t>
  </si>
  <si>
    <t>1500437056410850</t>
  </si>
  <si>
    <t>งานปรับปรุงพื้นที่ ตามแบบมาตรฐาน โคก หนอง นาขนาด 3 ไร่ สำนักงานพัฒนาชุมชนอำเภอท่าบ่อ ตำบลท่าบ่อ อำเภอท่าบ่อ จังหวัดหนองคาย</t>
  </si>
  <si>
    <t>1500437056410851</t>
  </si>
  <si>
    <t>งานปรับปรุงพื้นที่ ตามแบบมาตรฐาน โคก หนอง นาขนาด 3 ไร่ สำนักงานพัฒนาชุมชนอำเภอเฝ้าไร่ ตำบลเฝ้าไร่ อำเภอเฝ้าไร่ จังหวัดหนองคาย</t>
  </si>
  <si>
    <t>งานปรับปรุงพื้นที่ ตามแบบมาตรฐาน โคก หนอง นาขนาด 3 ไร่ สำนักงานพัฒนาชุมชนอำเภอโพธิ์ตาก ตำบลโพธิ์ตาก อำเภอโพธิ์ตากจังหวัดหนองคาย</t>
  </si>
  <si>
    <t>1500437056410853</t>
  </si>
  <si>
    <t>งานปรับปรุงพื้นที่ ตามแบบมาตรฐาน โคก หนอง นาขนาด 3 ไร่ สำนักงานพัฒนาชุมชนอำเภอโพนพิสัย ตำบลจุมพล อำเภอโพนพิสัยจังหวัดหนองคาย</t>
  </si>
  <si>
    <t>1500437056410854</t>
  </si>
  <si>
    <t>งานปรับปรุงพื้นที่ ตามแบบมาตรฐาน โคก หนอง นาขนาด 3 ไร่ สำนักงานพัฒนาชุมชนอำเภอเมืองหนองคายตำบลมีชัย อำเภอเมืองหนองคาย จังหวัดหนองคาย</t>
  </si>
  <si>
    <t>งานปรับปรุงพื้นที่ ตามแบบมาตรฐาน โคก หนอง นาขนาด 3 ไร่ สำนักงานพัฒนาชุมชนอำเภอรัตนวาปี ตำบลรัตนวาปี อำเภอรัตนวาปีจังหวัดหนองคาย</t>
  </si>
  <si>
    <t>งานปรับปรุงพื้นที่ ตามแบบมาตรฐาน โคก หนอง นาขนาด 3 ไร่ สำนักงานพัฒนาชุมชนอำเภอศรีเชียงใหม่ตำบลพานพร้าว อำเภอศรีเชียงใหม่ จังหวัดหนองคาย</t>
  </si>
  <si>
    <t>1500437056410857</t>
  </si>
  <si>
    <t>งานปรับปรุงพื้นที่ ตามแบบมาตรฐาน โคก หนอง นาขนาด 3 ไร่ สำนักงานพัฒนาชุมชนอำเภอสระใคร ตำบลสระใคร อำเภอสระใครจังหวัดหนองคาย</t>
  </si>
  <si>
    <t>1500437056410858</t>
  </si>
  <si>
    <t>งานปรับปรุงพื้นที่ ตามแบบมาตรฐาน โคก หนอง นาขนาด 3 ไร่ สำนักงานพัฒนาชุมชนอำเภอสังคม ตำบลแก้งไก่ อำเภอสังคม จังหวัดหนองคาย</t>
  </si>
  <si>
    <t>งานปรับปรุงพื้นที่ ตามแบบมาตรฐาน โคก หนอง นาขนาด 3 ไร่ สำนักงานพัฒนาชุมชนอำเภอนากลาง ตำบลนากลาง อำเภอนากลางจังหวัดหนองบัวลำภู</t>
  </si>
  <si>
    <t>1500437056410860</t>
  </si>
  <si>
    <t>งานปรับปรุงพื้นที่ ตามแบบมาตรฐาน โคก หนอง นาขนาด 3 ไร่ สำนักงานพัฒนาชุมชนอำเภอนาวัง ตำบลนาเหล่า อำเภอนาวัง จังหวัดหนองบัวลำภู</t>
  </si>
  <si>
    <t>1500437056410861</t>
  </si>
  <si>
    <t>งานปรับปรุงพื้นที่ ตามแบบมาตรฐาน โคก หนอง นาขนาด 3 ไร่ สำนักงานพัฒนาชุมชนอำเภอโนนสัง ตำบลโนนสัง อำเภอโนนสังจังหวัดหนองบัวลำภู</t>
  </si>
  <si>
    <t>1500437056410862</t>
  </si>
  <si>
    <t>งานปรับปรุงพื้นที่ ตามแบบมาตรฐาน โคก หนอง นาขนาด 3 ไร่ สำนักงานพัฒนาชุมชนอำเภอเมืองหนองบัวลำภู ตำบลหนองบัวอำเภอเมืองหนองบัวลำภูจังหวัดหนองบัวลำภู</t>
  </si>
  <si>
    <t>1500437056410863</t>
  </si>
  <si>
    <t>งานปรับปรุงพื้นที่ ตามแบบมาตรฐาน โคก หนอง นาขนาด 3 ไร่ สำนักงานพัฒนาชุมชนอำเภอศรีบุญเรืองตำบลเมืองใหม่ อำเภอศรีบุญเรือง จังหวัดหนองบัวลำภู</t>
  </si>
  <si>
    <t>1500437056410864</t>
  </si>
  <si>
    <t>งานปรับปรุงพื้นที่ ตามแบบมาตรฐาน โคก หนอง นาขนาด 3 ไร่ สำนักงานพัฒนาชุมชนอำเภอสุวรรณคูหาตำบลสุวรรณคูหา อำเภอสุวรรณคูหา จังหวัดหนองบัวลำภู</t>
  </si>
  <si>
    <t>1500437056410865</t>
  </si>
  <si>
    <t>งานปรับปรุงพื้นที่ ตามแบบมาตรฐาน โคก หนอง นาขนาด 3 ไร่ สำนักงานพัฒนาชุมชนอำเภอเมืองอ่างทองตำบลบางแก้ว อำเภอเมืองอ่างทอง จังหวัดอ่างทอง</t>
  </si>
  <si>
    <t>1500437056410866</t>
  </si>
  <si>
    <t>งานปรับปรุงพื้นที่ ตามแบบมาตรฐาน โคก หนอง นาขนาด 3 ไร่ สำนักงานพัฒนาชุมชนอำเภอวิเศษชัยชาญตำบลศาลเจ้าโรงทอง อำเภอวิเศษชัยชาญ จังหวัดอ่างทอง</t>
  </si>
  <si>
    <t>1500437056410867</t>
  </si>
  <si>
    <t>งานปรับปรุงพื้นที่ ตามแบบมาตรฐาน โคก หนอง นาขนาด 3 ไร่ สำนักงานพัฒนาชุมชนอำเภอแสวงหา ตำบลแสวงหา อำเภอแสวงหาจังหวัดอ่างทอง</t>
  </si>
  <si>
    <t>1500437056410868</t>
  </si>
  <si>
    <t>งานปรับปรุงพื้นที่ ตามแบบมาตรฐาน โคก หนอง นาขนาด 3 ไร่ สำนักงานพัฒนาชุมชนอำเภอปทุมราชวงศาตำบลนาหว้า อำเภอปทุมราชวงศา จังหวัดอำนาจเจริญ</t>
  </si>
  <si>
    <t>1500437056410869</t>
  </si>
  <si>
    <t>งานปรับปรุงพื้นที่ ตามแบบมาตรฐาน โคก หนอง นาขนาด 3 ไร่ สำนักงานพัฒนาชุมชนอำเภอพนา ตำบลพนาอำเภอพนา จังหวัดอำนาจเจริญ</t>
  </si>
  <si>
    <t>1500437056410870</t>
  </si>
  <si>
    <t>งานปรับปรุงพื้นที่ ตามแบบมาตรฐาน โคก หนอง นาขนาด 3 ไร่ สำนักงานพัฒนาชุมชนอำเภอเมืองอำนาจเจริญ ตำบลบุ่ง อำเภอเมืองอำนาจเจริญ จังหวัดอำนาจเจริญ</t>
  </si>
  <si>
    <t>1500437056410871</t>
  </si>
  <si>
    <t>งานปรับปรุงพื้นที่ ตามแบบมาตรฐาน โคก หนอง นาขนาด 3 ไร่ สำนักงานพัฒนาชุมชนอำเภอลืออำนาจตำบลอำนาจ อำเภอลืออำนาจ จังหวัดอำนาจเจริญ</t>
  </si>
  <si>
    <t>1500437056410872</t>
  </si>
  <si>
    <t>งานปรับปรุงพื้นที่ ตามแบบมาตรฐาน โคก หนอง นาขนาด 3 ไร่ สำนักงานพัฒนาชุมชนอำเภอเสนางคนิคมตำบลเสนางคนิคม อำเภอเสนางคนิคม จังหวัดอำนาจเจริญ</t>
  </si>
  <si>
    <t>1500437056410873</t>
  </si>
  <si>
    <t>งานปรับปรุงพื้นที่ ตามแบบมาตรฐาน โคก หนอง นาขนาด 3 ไร่ สำนักงานพัฒนาชุมชนอำเภอหัวตะพานตำบลรัตนวารี อำเภอหัวตะพาน จังหวัดอำนาจเจริญ</t>
  </si>
  <si>
    <t>1500437056410874</t>
  </si>
  <si>
    <t>งานปรับปรุงพื้นที่ ตามแบบมาตรฐาน โคก หนอง นาขนาด 3 ไร่ สำนักงานพัฒนาชุมชนอำเภอกุดจับ ตำบลเมืองเพีย อำเภอกุดจับจังหวัดอุดรธานี</t>
  </si>
  <si>
    <t>1500437056410875</t>
  </si>
  <si>
    <t>งานปรับปรุงพื้นที่ ตามแบบมาตรฐาน โคก หนอง นาขนาด 3 ไร่ สำนักงานพัฒนาชุมชนอำเภอกุมภวาปี ตำบลกุมภวาปี อำเภอกุมภวาปีจังหวัดอุดรธานี</t>
  </si>
  <si>
    <t>1500437056410876</t>
  </si>
  <si>
    <t>งานปรับปรุงพื้นที่ ตามแบบมาตรฐาน โคก หนอง นาขนาด 3 ไร่ สำนักงานพัฒนาชุมชนอำเภอกู่แก้ว ตำบลบ้านจีต อำเภอกู่แก้ว จังหวัดอุดรธานี</t>
  </si>
  <si>
    <t>1500437056410877</t>
  </si>
  <si>
    <t>งานปรับปรุงพื้นที่ ตามแบบมาตรฐาน โคก หนอง นาขนาด 3 ไร่ สำนักงานพัฒนาชุมชนอำเภอไชยวาน ตำบลไชยวาน อำเภอไชยวานจังหวัดอุดรธานี</t>
  </si>
  <si>
    <t>1500437056410878</t>
  </si>
  <si>
    <t>งานปรับปรุงพื้นที่ ตามแบบมาตรฐาน โคก หนอง นาขนาด 3 ไร่ สำนักงานพัฒนาชุมชนอำเภอทุ่งฝน ตำบลทุ่งฝน อำเภอทุ่งฝน จังหวัดอุดรธานี</t>
  </si>
  <si>
    <t>1500437056410879</t>
  </si>
  <si>
    <t>งานปรับปรุงพื้นที่ ตามแบบมาตรฐาน โคก หนอง นาขนาด 3 ไร่ สำนักงานพัฒนาชุมชนอำเภอโนนสะอาดตำบลโนนสะอาด อำเภอโนนสะอาด จังหวัดอุดรธานี</t>
  </si>
  <si>
    <t>1500437056410880</t>
  </si>
  <si>
    <t>งานปรับปรุงพื้นที่ ตามแบบมาตรฐาน โคก หนอง นาขนาด 3 ไร่ สำนักงานพัฒนาชุมชนอำเภอบ้านดุง ตำบลศรีสุทโธ อำเภอบ้านดุง จังหวัดอุดรธานี</t>
  </si>
  <si>
    <t>1500437056410881</t>
  </si>
  <si>
    <t>งานปรับปรุงพื้นที่ ตามแบบมาตรฐาน โคก หนอง นาขนาด 3 ไร่ สำนักงานพัฒนาชุมชนอำเภอพิบูลย์รักษ์ตำบลบ้านแดง อำเภอพิบูลย์รักษ์ จังหวัดอุดรธานี</t>
  </si>
  <si>
    <t>1500437056410882</t>
  </si>
  <si>
    <t>งานปรับปรุงพื้นที่ ตามแบบมาตรฐาน โคก หนอง นาขนาด 3 ไร่ สำนักงานพัฒนาชุมชนอำเภอศรีธาตุ ตำบลศรีธาตุ อำเภอศรีธาตุ จังหวัดอุดรธานี</t>
  </si>
  <si>
    <t>1500437056410883</t>
  </si>
  <si>
    <t>งานปรับปรุงพื้นที่ ตามแบบมาตรฐาน โคก หนอง นาขนาด 3 ไร่ สำนักงานพัฒนาชุมชนอำเภอหนองวัวซอตำบลโนนหวาย อำเภอหนองวัวซอ จังหวัดอุดรธานี</t>
  </si>
  <si>
    <t>1500437056410884</t>
  </si>
  <si>
    <t>งานปรับปรุงพื้นที่ ตามแบบมาตรฐาน โคก หนอง นาขนาด 3 ไร่ สำนักงานพัฒนาชุมชนอำเภอหนองแสงตำบลทับกุง อำเภอหนองแสง จังหวัดอุดรธานี</t>
  </si>
  <si>
    <t>1500437056410885</t>
  </si>
  <si>
    <t>งานปรับปรุงพื้นที่ ตามแบบมาตรฐาน โคก หนอง นาขนาด 3 ไร่ สำนักงานพัฒนาชุมชนอำเภอหนองหานตำบลหนองหาน อำเภอหนองหาน จังหวัดอุดรธานี</t>
  </si>
  <si>
    <t>1500437056410886</t>
  </si>
  <si>
    <t>งานปรับปรุงพื้นที่ ตามแบบมาตรฐาน โคก หนอง นาขนาด 3 ไร่ สำนักงานพัฒนาชุมชนอำเภอตรอน ตำบลวังแดง อำเภอตรอน จังหวัดอุตรดิตถ์</t>
  </si>
  <si>
    <t>1500437056410887</t>
  </si>
  <si>
    <t>งานปรับปรุงพื้นที่ ตามแบบมาตรฐาน โคก หนอง นาขนาด 3 ไร่ สำนักงานพัฒนาชุมชนอำเภอทองแสนขันตำบลบ่อทอง อำเภอทองแสนขัน จังหวัดอุตรดิตถ์</t>
  </si>
  <si>
    <t>1500437056410888</t>
  </si>
  <si>
    <t>งานปรับปรุงพื้นที่ ตามแบบมาตรฐาน โคก หนอง นาขนาด 3 ไร่ สำนักงานพัฒนาชุมชนอำเภอท่าปลา ตำบลท่าปลา อำเภอท่าปลาจังหวัดอุตรดิตถ์</t>
  </si>
  <si>
    <t>1500437056410889</t>
  </si>
  <si>
    <t>งานปรับปรุงพื้นที่ ตามแบบมาตรฐาน โคก หนอง นาขนาด 3 ไร่ สำนักงานพัฒนาชุมชนอำเภอน้ำปาด ตำบลแสนตอ อำเภอน้ำปาดจังหวัดอุตรดิตถ์</t>
  </si>
  <si>
    <t>งานปรับปรุงพื้นที่ ตามแบบมาตรฐาน โคก หนอง นาขนาด 3 ไร่ สำนักงานพัฒนาชุมชนอำเภอฟากท่า ตำบลฟากท่า อำเภอฟากท่าจังหวัดอุตรดิตถ์</t>
  </si>
  <si>
    <t>1500437056410891</t>
  </si>
  <si>
    <t>งานปรับปรุงพื้นที่ ตามแบบมาตรฐาน โคก หนอง นาขนาด 3 ไร่ สำนักงานพัฒนาชุมชนอำเภอเมืองอุตรดิตถ์ตำบลท่าอิฐ อำเภอเมืองอุตรดิตถ์ จังหวัดอุตรดิตถ์</t>
  </si>
  <si>
    <t>งานปรับปรุงพื้นที่ ตามแบบมาตรฐาน โคก หนอง นาขนาด 3 ไร่ สำนักงานพัฒนาชุมชนอำเภอลับแล ตำบลศรีพนมมาศ อำเภอลับแลจังหวัดอุตรดิตถ์</t>
  </si>
  <si>
    <t>1500437056410893</t>
  </si>
  <si>
    <t>งานปรับปรุงพื้นที่ ตามแบบมาตรฐาน โคก หนอง นาขนาด 3 ไร่ สำนักงานพัฒนาชุมชนอำเภอบ้านไร่ ตำบลบ้านไร่ อำเภอบ้านไร่ จังหวัดอุทัยธานี</t>
  </si>
  <si>
    <t>1500437056410894</t>
  </si>
  <si>
    <t>งานปรับปรุงพื้นที่ ตามแบบมาตรฐาน โคก หนอง นาขนาด 3 ไร่ สำนักงานพัฒนาชุมชนอำเภอเมืองอุทัยธานีตำบลอุทัยใหม่ อำเภอเมืองอุทัยธานี จังหวัดอุทัยธานี</t>
  </si>
  <si>
    <t>งานปรับปรุงพื้นที่ ตามแบบมาตรฐาน โคก หนอง นาขนาด 3 ไร่ สำนักงานพัฒนาชุมชนอำเภอลานสัก ตำบลลานสัก อำเภอลานสักจังหวัดอุทัยธานี</t>
  </si>
  <si>
    <t>1500437056410896</t>
  </si>
  <si>
    <t>งานปรับปรุงพื้นที่ ตามแบบมาตรฐาน โคก หนอง นาขนาด 3 ไร่ สำนักงานพัฒนาชุมชนอำเภอหนองฉางตำบลหนองสรวง อำเภอหนองฉาง จังหวัดอุทัยธานี</t>
  </si>
  <si>
    <t>งานปรับปรุงพื้นที่ ตามแบบมาตรฐาน โคก หนอง นาขนาด 3 ไร่ สำนักงานพัฒนาชุมชนอำเภอกุดข้าวปุ้นตำบลข้าวปุ้น อำเภอกุดข้าวปุ้น จังหวัดอุบลราชธานี</t>
  </si>
  <si>
    <t>1500437056410899</t>
  </si>
  <si>
    <t>งานปรับปรุงพื้นที่ ตามแบบมาตรฐาน โคก หนอง นาขนาด 3 ไร่ สำนักงานพัฒนาชุมชนอำเภอเขมราฐ ตำบลเขมราฐ อำเภอเขมราฐจังหวัดอุบลราชธานี</t>
  </si>
  <si>
    <t>1500437056410900</t>
  </si>
  <si>
    <t>งานปรับปรุงพื้นที่ ตามแบบมาตรฐาน โคก หนอง นาขนาด 3 ไร่ สำนักงานพัฒนาชุมชนอำเภอเขื่องใน ตำบลเขื่องใน อำเภอเขื่องในจังหวัดอุบลราชธานี</t>
  </si>
  <si>
    <t>1500437056410901</t>
  </si>
  <si>
    <t>งานปรับปรุงพื้นที่ ตามแบบมาตรฐาน โคก หนอง นาขนาด 3 ไร่ สำนักงานพัฒนาชุมชนอำเภอดอนมดแดงตำบลเหล่าแดง อำเภอดอนมดแดง จังหวัดอุบลราชธานี</t>
  </si>
  <si>
    <t>งานปรับปรุงพื้นที่ ตามแบบมาตรฐาน โคก หนอง นาขนาด 3 ไร่ สำนักงานพัฒนาชุมชนอำเภอเดชอุดม ตำบลเมืองเดช อำเภอเดชอุดมจังหวัดอุบลราชธานี</t>
  </si>
  <si>
    <t>1500437056410903</t>
  </si>
  <si>
    <t>งานปรับปรุงพื้นที่ ตามแบบมาตรฐาน โคก หนอง นาขนาด 3 ไร่ สำนักงานพัฒนาชุมชนอำเภอตาลสุม ตำบลตาลสุม อำเภอตาลสุมจังหวัดอุบลราชธานี</t>
  </si>
  <si>
    <t>1500437056410904</t>
  </si>
  <si>
    <t>งานปรับปรุงพื้นที่ ตามแบบมาตรฐาน โคก หนอง นาขนาด 3 ไร่ สำนักงานพัฒนาชุมชนอำเภอทุ่งศรีอุดมตำบลโคกชำแระ อำเภอทุ่งศรีอุดม จังหวัดอุบลราชธานี</t>
  </si>
  <si>
    <t>1500437056410905</t>
  </si>
  <si>
    <t>งานปรับปรุงพื้นที่ ตามแบบมาตรฐาน โคก หนอง นาขนาด 3 ไร่ สำนักงานพัฒนาชุมชนอำเภอนาตาล ตำบลนาตาล อำเภอนาตาล จังหวัดอุบลราชธานี</t>
  </si>
  <si>
    <t>1500437056410906</t>
  </si>
  <si>
    <t>งานปรับปรุงพื้นที่ ตามแบบมาตรฐาน โคก หนอง นาขนาด 3 ไร่ สำนักงานพัฒนาชุมชนอำเภอน้ำยืน ตำบลสีวิเชียร อำเภอน้ำยืน จังหวัดอุบลราชธานี</t>
  </si>
  <si>
    <t>1500437056410908</t>
  </si>
  <si>
    <t>งานปรับปรุงพื้นที่ ตามแบบมาตรฐาน โคก หนอง นาขนาด 3 ไร่ สำนักงานพัฒนาชุมชนอำเภอบุณฑริก ตำบลโพนงาม อำเภอบุณฑริกจังหวัดอุบลราชธานี</t>
  </si>
  <si>
    <t>1500437056410909</t>
  </si>
  <si>
    <t>งานปรับปรุงพื้นที่ ตามแบบมาตรฐาน โคก หนอง นาขนาด 3 ไร่ สำนักงานพัฒนาชุมชนอำเภอพิบูลมังสาหารตำบลพิบูล อำเภอพิบูลมังสาหาร จังหวัดอุบลราชธานี</t>
  </si>
  <si>
    <t>1500437056410910</t>
  </si>
  <si>
    <t>งานปรับปรุงพื้นที่ ตามแบบมาตรฐาน โคก หนอง นาขนาด 3 ไร่ สำนักงานพัฒนาชุมชนอำเภอม่วงสามสิบตำบลม่วงสามสิบ อำเภอม่วงสามสิบ จังหวัดอุบลราชธานี</t>
  </si>
  <si>
    <t>1500437056410911</t>
  </si>
  <si>
    <t>งานปรับปรุงพื้นที่ ตามแบบมาตรฐาน โคก หนอง นาขนาด 3 ไร่ สำนักงานพัฒนาชุมชนอำเภอวารินชำราบตำบลวารินชำราบ อำเภอวารินชำราบ จังหวัดอุบลราชธานี</t>
  </si>
  <si>
    <t>งานปรับปรุงพื้นที่ ตามแบบมาตรฐาน โคก หนอง นาขนาด 3 ไร่ สำนักงานพัฒนาชุมชนอำเภอเหล่าเสือโก้กตำบลเหล่าเสือโก้ก อำเภอเหล่าเสือโก้ก จังหวัดอุบลราชธานี</t>
  </si>
  <si>
    <t>1500437056410914</t>
  </si>
  <si>
    <t>งานปรับปรุงพื้นที่ ตามแบบมาตรฐาน โคก หนอง นาขนาด 3 ไร่ สำนักงานพัฒนาชุมชนอำเภอศรีเมืองใหม่ตำบลนาคำ อำเภอศรีเมืองใหม่ จังหวัดอุบลราชธานี</t>
  </si>
  <si>
    <t>1500437056410915</t>
  </si>
  <si>
    <t>งานปรับปรุงพื้นที่ ตามแบบมาตรฐาน โคก หนอง นาขนาด 1 ไร่ สำนักงานพัฒนาชุมชนอำเภอศรีสำโรง ตำบลคลองตาล อำเภอศรีสำโรงจังหวัดสุโขทัย</t>
  </si>
  <si>
    <t>1500437056410916</t>
  </si>
  <si>
    <t>งานปรับปรุงพื้นที่ ตามแบบมาตรฐาน โคก หนอง นาขนาด 3 ไร่ สำนักงานพัฒนาชุมชนอำเภอนามน ตำบลนามน อำเภอนามน จังหวัดกาฬสินธุ์</t>
  </si>
  <si>
    <t>1500437056410917</t>
  </si>
  <si>
    <t>งานปรับปรุงพื้นที่ ตามแบบมาตรฐาน โคก หนอง นาขนาด 3 ไร่ สำนักงานพัฒนาชุมชนอำเภออุบลรัตน์ ตำบลเขื่อนอุบลรัตน์ อำเภออุบลรัตน์ จังหวัดขอนแก่น</t>
  </si>
  <si>
    <t>1500437056410918</t>
  </si>
  <si>
    <t>งานปรับปรุงพื้นที่ ตามแบบมาตรฐาน โคก หนอง นาขนาด 3 ไร่ สำนักงานพัฒนาชุมชนอำเภอเขาย้อย ตำบลเขาย้อย อำเภอเขาย้อยจังหวัดเพชรบุรี</t>
  </si>
  <si>
    <t>1500437056410919</t>
  </si>
  <si>
    <t>งานปรับปรุงพื้นที่ ตามแบบมาตรฐาน โคก หนอง นาขนาด 3 ไร่ สำนักงานพัฒนาชุมชนอำเภอจอมบึง ตำบลจอมบึง อำเภอจอมบึงจังหวัดราชบุรี</t>
  </si>
  <si>
    <t>1500437056410920</t>
  </si>
  <si>
    <t>สพจ. จันทบุรี</t>
  </si>
  <si>
    <t>สพจ. นครราชสีมา</t>
  </si>
  <si>
    <t>สพจ. อุดรธานี</t>
  </si>
  <si>
    <t>สพจ. ร้อยเอ็ด</t>
  </si>
  <si>
    <t>สพจ. มุกดาหาร</t>
  </si>
  <si>
    <t>สพจ. อุตรดิตถ์</t>
  </si>
  <si>
    <t>สพจ. น่าน</t>
  </si>
  <si>
    <t>สพจ. เชียงราย</t>
  </si>
  <si>
    <t>สพจ. แม่ฮ่องสอน</t>
  </si>
  <si>
    <t>สพจ. กำแพงเพชร</t>
  </si>
  <si>
    <t>สพจ. เพชรบูรณ์</t>
  </si>
  <si>
    <t>สพจ. สมุทรสงคราม</t>
  </si>
  <si>
    <t>สพจ. นครศรีธรรมราช</t>
  </si>
  <si>
    <t>สพจ. กระบี่</t>
  </si>
  <si>
    <t>สพจ. ชุมพร</t>
  </si>
  <si>
    <t>สพจ. สงขลา</t>
  </si>
  <si>
    <t>สพจ. สตูล</t>
  </si>
  <si>
    <t>สพจ. ปัตตานี</t>
  </si>
  <si>
    <t>สพจ. ยะลา</t>
  </si>
  <si>
    <t>สพจ. นราธิวาส</t>
  </si>
  <si>
    <t>อุบลราชธานี</t>
  </si>
  <si>
    <t>ใบสั่งซื้อสั่งจ้าง (PO)</t>
  </si>
  <si>
    <t>ก่อสร้างบ้านพักข้าราชการระดับชำนาญการ สำนักงานพัฒนาชุมชน จังหวัดร้อยเอ็ด</t>
  </si>
  <si>
    <t>ก่อสร้างรั้วคอนกรีตและปรับปรุงทางระบายน้ำบ้านพักพัฒนาการจังหวัดร้อยเอ็ด สำนักงานพัฒนาชุมชน จังหวัดร้อยเอ็ด</t>
  </si>
  <si>
    <t>งานปรับปรุงพื้นที่ ตามแบบมาตรฐาน โคก หนอง นาขนาด 1 ไร่ สำนักงานพัฒนาชุมชนอำเภอมัญจาคีรี ตำบลกุดเค้า อำเภอมัญจาคีรี 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</si>
  <si>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สำนักงานพัฒนาชุมชนอำเภอหนองเรือ ตำบลหนองเรือ อำเภอหนองเรือ  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</si>
  <si>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สำนักงานพัฒนาชุมชนอำเภอราชสาส์น ตำบลบางคา อำเภอราชสาส์น จังหวัดฉะเชิงเทรา</t>
  </si>
  <si>
    <t>งานปรับปรุงพื้นที่ ตามแบบมาตรฐาน โคก หนอง นาขนาด 1 ไร่ สำนักงานพัฒนาชุมชนอำเภอบ่อทอง ตำบลบ่อทอง อำเภอบ่อทอง 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</si>
  <si>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สำนักงานพัฒนาชุมชนอำเภอบ้านบึง ตำบลบ้านบึง อำเภอบ้านบึง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</si>
  <si>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สำนักงานพัฒนาชุมชนอำเภอพนัสนิคม ตำบลพนัสนิคม อำเภอพนัสนิคม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</si>
  <si>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สำนักงานพัฒนาชุมชนอำเภอพานทอง ตำบลพานทอง อำเภอพานทอง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</si>
  <si>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สำนักงานพัฒนาชุมชนอำเภอศรีราชา ตำบลศรีราชา อำเภอศรีราชา 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</si>
  <si>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สำนักงานพัฒนาชุมชนอำเภอโนนแดง ตำบลดอนยาวใหญ่ อำเภอโนนแดง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</si>
  <si>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สำนักงานพัฒนาชุมชนอำเภอโนนสูง ตำบลโนนสูง อำเภอโนนสูง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</si>
  <si>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สำนักงานพัฒนาชุมชนอำเภอบัวลาย ตำบลเมืองพะไล อำเภอบัวลาย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</si>
  <si>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สำนักงานพัฒนาชุมชนอำเภอประทาย ตำบลประทาย อำเภอประทาย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</si>
  <si>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สำนักงานพัฒนาชุมชนอำเภอเมืองนครราชสีมา ตำบลบ้านเกาะอำเภอเมืองนครราชสีมา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</si>
  <si>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สำนักงานพัฒนาชุมชนอำเภอเมืองยาง ตำบลเมืองยาง อำเภอเมืองยาง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</si>
  <si>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สำนักงานพัฒนาชุมชนอำเภอลำทะเมนชัยตำบลขุย อำเภอลำทะเมนชัย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</si>
  <si>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สำนักงานพัฒนาชุมชนอำเภอเสิงสาง ตำบลเสิงสาง อำเภอเสิงสาง จังหวัดนครราชสีมา</t>
  </si>
  <si>
    <t>งานปรับปรุงพื้นที่ ตามแบบมาตรฐาน โคก หนอง นาขนาด 1 ไร่ สำนักงานพัฒนาชุมชนอำเภอช้างกลาง ตำบลช้างกลาง อำเภอช้างกลาง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</si>
  <si>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สำนักงานพัฒนาชุมชนอำเภอเชียรใหญ่ ตำบลเชียรใหญ่ อำเภอเชียรใหญ่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</si>
  <si>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สำนักงานพัฒนาชุมชนอำเภอท่าศาลา ตำบลท่าศาลา อำเภอท่าศาลา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</si>
  <si>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สำนักงานพัฒนาชุมชนอำเภอทุ่งสง ตำบลปากแพรก อำเภอทุ่งสง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</si>
  <si>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สำนักงานพัฒนาชุมชนอำเภอทุ่งใหญ่ ตำบลทุ่งใหญ่ อำเภอทุ่งใหญ่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</si>
  <si>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สำนักงานพัฒนาชุมชนอำเภอนบพิตำ ตำบลนบพิตำ อำเภอนบพิตำ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</si>
  <si>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สำนักงานพัฒนาชุมชนอำเภอนาบอน ตำบลนาบอน อำเภอนาบอน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</si>
  <si>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สำนักงานพัฒนาชุมชนอำเภอบางขัน ตำบลบ้านลำนาว อำเภอบางขัน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</si>
  <si>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สำนักงานพัฒนาชุมชนอำเภอพรหมคีรี ตำบลพรหมโลก อำเภอพรหมคีรี 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</si>
  <si>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สำนักงานพัฒนาชุมชนอำเภอพระพรหมตำบลนาพรุ อำเภอพระพรหม 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</si>
  <si>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สำนักงานพัฒนาชุมชนอำเภอหัวไทร ตำบลหัวไทร อำเภอหัวไทร 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</si>
  <si>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สำนักงานพัฒนาชุมชนอำเภอเก้าเลี้ยว ตำบลเก้าเลี้ยว อำเภอเก้าเลี้ยว  จังหวัดนครสวรรค์</t>
  </si>
  <si>
    <t>งานปรับปรุงพื้นที่ ตามแบบมาตรฐาน โคก หนอง นาขนาด 1 ไร่ สำนักงานพัฒนาชุมชนอำเภอตากฟ้า ตำบลตากฟ้า อำเภอตากฟ้า จังหวัดนครสวรรค์</t>
  </si>
  <si>
    <t>งานปรับปรุงพื้นที่ ตามแบบมาตรฐาน โคก หนอง นาขนาด 1 ไร่ สำนักงานพัฒนาชุมชนอำเภอท่าตะโก ตำบลท่าตะโก อำเภอท่าตะโก จังหวัดนครสวรรค์</t>
  </si>
  <si>
    <t>งานปรับปรุงพื้นที่ ตามแบบมาตรฐาน โคก หนอง นาขนาด 1 ไร่ สำนักงานพัฒนาชุมชนอำเภอพยุหะคีรี ตำบลสระทะเล อำเภอพยุหะคีรี จังหวัดนครสวรรค์</t>
  </si>
  <si>
    <t>งานปรับปรุงพื้นที่ ตามแบบมาตรฐาน โคก หนอง นาขนาด 1 ไร่ สำนักงานพัฒนาชุมชนอำเภอลาดยาว ตำบลลาดยาว อำเภอลาดยาว จังหวัดนครสวรรค์</t>
  </si>
  <si>
    <t>งานปรับปรุงพื้นที่ ตามแบบมาตรฐาน โคก หนอง นาขนาด 3 ไร่ สำนักงานพัฒนาชุมชนอำเภอท่ามะกา ตำบลท่ามะกา อำเภอท่ามะกา จังหวัดกาญจนบุรี</t>
  </si>
  <si>
    <t>งานปรับปรุงพื้นที่ ตามแบบมาตรฐาน โคก หนอง นาขนาด 3 ไร่ สำนักงานพัฒนาชุมชนอำเภอฆ้องชัย ตำบลฆ้องชัยพัฒนา อำเภอฆ้องชัย จังหวัดกาฬสินธุ์</t>
  </si>
  <si>
    <t>งานปรับปรุงพื้นที่ ตามแบบมาตรฐาน โคก หนอง นาขนาด 3 ไร่ สำนักงานพัฒนาชุมชนอำเภอสามชัย ตำบลสำราญ อำเภอสามชัย จังหวัดกาฬสินธุ์</t>
  </si>
  <si>
    <t>งานปรับปรุงพื้นที่ ตามแบบมาตรฐาน โคก หนอง นาขนาด 3 ไร่ สำนักงานพัฒนาชุมชนอำเภอห้วยเม็ก ตำบลห้วยเม็ก อำเภอห้วยเม็ก จังหวัดกาฬสินธุ์</t>
  </si>
  <si>
    <t>งานปรับปรุงพื้นที่ ตามแบบมาตรฐาน โคก หนอง นาขนาด 3 ไร่ สำนักงานพัฒนาชุมชนอำเภอเมืองกำแพงเพชร ตำบลในเมืองอำเภอเมืองกำแพงเพชร จังหวัดกำแพงเพชร</t>
  </si>
  <si>
    <t>งานปรับปรุงพื้นที่ ตามแบบมาตรฐาน โคก หนอง นาขนาด 3 ไร่ สำนักงานพัฒนาชุมชนอำเภอกระนวน ตำบลหนองโก อำเภอกระนวน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</si>
  <si>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สำนักงานพัฒนาชุมชนอำเภอชุมแพ ตำบลหนองไผ่ อำเภอชุมแพ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</si>
  <si>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สำนักงานพัฒนาชุมชนอำเภอโนนศิลา ตำบลโนนศิลา อำเภอโนนศิลา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</si>
  <si>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สำนักงานพัฒนาชุมชนอำเภอบ้านไผ่ ตำบลในเมือง อำเภอบ้านไผ่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</si>
  <si>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สำนักงานพัฒนาชุมชนอำเภอบ้านฝาง ตำบลบ้านฝาง อำเภอบ้านฝาง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</si>
  <si>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สำนักงานพัฒนาชุมชนอำเภอบ้านแฮด ตำบลบ้านแฮด อำเภอบ้านแฮด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</si>
  <si>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สำนักงานพัฒนาชุมชนอำเภอภูผาม่าน ตำบลภูผาม่าน อำเภอภูผาม่าน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</si>
  <si>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สำนักงานพัฒนาชุมชนอำเภอมัญจาคีรี ตำบลกุดเค้า อำเภอมัญจาคีรี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</si>
  <si>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สำนักงานพัฒนาชุมชนอำเภอเวียงเก่า ตำบลในเมือง อำเภอเวียงเก่า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</si>
  <si>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สำนักงานพัฒนาชุมชนอำเภอแวงน้อย ตำบลแวงน้อย อำเภอแวงน้อย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</si>
  <si>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สำนักงานพัฒนาชุมชนอำเภอแวงใหญ่ ตำบลแวงใหญ่ อำเภอแวงใหญ่ จังหวัดขอนแก่น</t>
  </si>
  <si>
    <t>งานปรับปรุงพื้นที่ ตามแบบมาตรฐาน โคก หนอง นาขนาด 3 ไร่ สำนักงานพัฒนาชุมชนอำเภอหนองเรือ ตำบลหนองเรือ อำเภอหนองเรือ จังหวัดขอนแก่น</t>
  </si>
  <si>
    <t>งานปรับปรุงพื้นที่ ตามแบบมาตรฐาน โคก หนอง นาขนาด 1 ไร่ สำนักงานพัฒนาชุมชนอำเภอบุ่งคล้า ตำบลหนองเดิ่น อำเภอบุ่งคล้า จังหวัดบึงกาฬ</t>
  </si>
  <si>
    <t>งานปรับปรุงพื้นที่ ตามแบบมาตรฐาน โคก หนอง นาขนาด 1 ไร่ สำนักงานพัฒนาชุมชนอำเภอปากคาด ตำบลโนนศิลา อำเภอปากคาด จังหวัดบึงกาฬ</t>
  </si>
  <si>
    <t>งานปรับปรุงพื้นที่ ตามแบบมาตรฐาน โคก หนอง นาขนาด 1 ไร่ สำนักงานพัฒนาชุมชนอำเภอพรเจริญ ตำบลพรเจริญ อำเภอพรเจริญ จังหวัดบึงกาฬ</t>
  </si>
  <si>
    <t>งานปรับปรุงพื้นที่ ตามแบบมาตรฐาน โคก หนอง นาขนาด 1 ไร่ สำนักงานพัฒนาชุมชนอำเภอแคนดง ตำบลแคนดง อำเภอแคนดง 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</si>
  <si>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สำนักงานพัฒนาชุมชนอำเภอนางรอง ตำบล*หนองปล่อง อำเภอนางรอง 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</si>
  <si>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สำนักงานพัฒนาชุมชนอำเภอนาโพธิ์ ตำบลนาโพธิ์ อำเภอนาโพธิ์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</si>
  <si>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สำนักงานพัฒนาชุมชนอำเภอบ้านกรวด ตำบลปราสาท อำเภอบ้านกรวด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</si>
  <si>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สำนักงานพัฒนาชุมชนอำเภอบ้านด่าน ตำบลบ้านด่าน อำเภอบ้านด่าน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</si>
  <si>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สำนักงานพัฒนาชุมชนอำเภอพุทไธสง ตำบลพุทไธสง อำเภอพุทไธสง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</si>
  <si>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สำนักงานพัฒนาชุมชนอำเภอห้วยราช ตำบลห้วยราช อำเภอห้วยราช จังหวัดบุรีรัมย์</t>
  </si>
  <si>
    <t>งานปรับปรุงพื้นที่ ตามแบบมาตรฐาน โคก หนอง นาขนาด 1 ไร่ สำนักงานพัฒนาชุมชนอำเภอลำลูกกา ตำบลลำลูกกา อำเภอลำลูกกา จังหวัดปทุมธานี</t>
  </si>
  <si>
    <t>งานปรับปรุงพื้นที่ ตามแบบมาตรฐาน โคก หนอง นาขนาด 1 ไร่ สำนักงานพัฒนาชุมชนอำเภอหนองเสือ ตำบลบึงบา อำเภอหนองเสือ จังหวัดปทุมธานี</t>
  </si>
  <si>
    <t>งานปรับปรุงพื้นที่ ตามแบบมาตรฐาน โคก หนอง นาขนาด 1 ไร่ สำนักงานพัฒนาชุมชนอำเภอบ้านสร้าง ตำบลบ้านสร้าง อำเภอบ้านสร้าง จังหวัดปราจีนบุรี</t>
  </si>
  <si>
    <t>งานปรับปรุงพื้นที่ ตามแบบมาตรฐาน โคก หนอง นาขนาด 1 ไร่ สำนักงานพัฒนาชุมชนอำเภอแม่ลาน ตำบลแม่ลาน อำเภอแม่ลาน จังหวัดปัตตานี</t>
  </si>
  <si>
    <t>งานปรับปรุงพื้นที่ ตามแบบมาตรฐาน โคก หนอง นาขนาด 1 ไร่ สำนักงานพัฒนาชุมชนอำเภอเชียงม่วน ตำบลเชียงม่วน อำเภอเชียงม่วน จังหวัดพะเยา</t>
  </si>
  <si>
    <t>งานปรับปรุงพื้นที่ ตามแบบมาตรฐาน โคก หนอง นาขนาด 1 ไร่ สำนักงานพัฒนาชุมชนอำเภอภูกามยาว ตำบลห้วยแก้ว อำเภอภูกามยาว จังหวัดพะเยา</t>
  </si>
  <si>
    <t>งานปรับปรุงพื้นที่ ตามแบบมาตรฐาน โคก หนอง นาขนาด 1 ไร่ สำนักงานพัฒนาชุมชนอำเภอตะกั่วทุ่ง ตำบลกระโสม อำเภอตะกั่วทุ่ง จังหวัดพังงา</t>
  </si>
  <si>
    <t>งานปรับปรุงพื้นที่ ตามแบบมาตรฐาน โคก หนอง นาขนาด 1 ไร่ สำนักงานพัฒนาชุมชนอำเภอตะกั่วป่า ตำบลตะกั่วป่า อำเภอตะกั่วป่า จังหวัดพังงา</t>
  </si>
  <si>
    <t>งานปรับปรุงพื้นที่ ตามแบบมาตรฐาน โคก หนอง นาขนาด 1 ไร่ สำนักงานพัฒนาชุมชนอำเภอบางแก้ว ตำบลนาปะขอ อำเภอบางแก้ว จังหวัดพัทลุง</t>
  </si>
  <si>
    <t>งานปรับปรุงพื้นที่ ตามแบบมาตรฐาน โคก หนอง นาขนาด 1 ไร่ สำนักงานพัฒนาชุมชนอำเภอศรีบรรพต ตำบลเขาย่า อำเภอศรีบรรพต จังหวัดพัทลุง</t>
  </si>
  <si>
    <t>งานปรับปรุงพื้นที่ ตามแบบมาตรฐาน โคก หนอง นาขนาด 1 ไร่ สำนักงานพัฒนาชุมชนอำเภอดงเจริญ ตำบลวังงิ้วใต้ อำเภอดงเจริญ จังหวัดพิจิตร</t>
  </si>
  <si>
    <t>งานปรับปรุงพื้นที่ ตามแบบมาตรฐาน โคก หนอง นาขนาด 1 ไร่ สำนักงานพัฒนาชุมชนอำเภอทับคล้อ ตำบลทับคล้อ อำเภอทับคล้อ จังหวัดพิจิตร</t>
  </si>
  <si>
    <t>งานปรับปรุงพื้นที่ ตามแบบมาตรฐาน โคก หนอง นาขนาด 1 ไร่ สำนักงานพัฒนาชุมชนอำเภอบึงนาราง ตำบลห้วยแก้ว อำเภอบึงนาราง จังหวัดพิจิตร</t>
  </si>
  <si>
    <t>งานปรับปรุงพื้นที่ ตามแบบมาตรฐาน โคก หนอง นาขนาด 1 ไร่ สำนักงานพัฒนาชุมชนอำเภอโพทะเล ตำบลท่าบัว อำเภอโพทะเล จังหวัดพิจิตร</t>
  </si>
  <si>
    <t>งานปรับปรุงพื้นที่ ตามแบบมาตรฐาน โคก หนอง นาขนาด 1 ไร่ สำนักงานพัฒนาชุมชนอำเภอสามง่าม ตำบลสามง่าม อำเภอสามง่าม จังหวัดพิจิตร</t>
  </si>
  <si>
    <t>งานปรับปรุงพื้นที่ ตามแบบมาตรฐาน โคก หนอง นาขนาด 1 ไร่ สำนักงานพัฒนาชุมชนอำเภอบางระกำ ตำบลบางระกำ อำเภอบางระกำ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</si>
  <si>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สำนักงานพัฒนาชุมชนอำเภอเขาย้อย ตำบลเขาย้อย อำเภอเขาย้อย จังหวัดเพชรบุรี</t>
  </si>
  <si>
    <t>งานปรับปรุงพื้นที่ ตามแบบมาตรฐาน โคก หนอง นาขนาด 1 ไร่ สำนักงานพัฒนาชุมชนอำเภอถลาง ตำบลเทพกระษัตรี อำเภอถลาง จังหวัดภูเก็ต</t>
  </si>
  <si>
    <t>งานปรับปรุงพื้นที่ ตามแบบมาตรฐาน โคก หนอง นาขนาด 3 ไร่ สำนักงานพัฒนาชุมชนอำเภอบางคล้า ตำบลบางคล้า อำเภอบางคล้า จังหวัดฉะเชิงเทรา</t>
  </si>
  <si>
    <t>งานปรับปรุงพื้นที่ ตามแบบมาตรฐาน โคก หนอง นาขนาด 3 ไร่ สำนักงานพัฒนาชุมชนอำเภอบ่อทอง ตำบลบ่อทอง อำเภอบ่อทอง จังหวัดชลบุรี</t>
  </si>
  <si>
    <t>งานปรับปรุงพื้นที่ ตามแบบมาตรฐาน โคก หนอง นาขนาด 3 ไร่ สำนักงานพัฒนาชุมชนอำเภอบ้านบึง ตำบลบ้านบึง อำเภอบ้านบึง จังหวัดชลบุรี</t>
  </si>
  <si>
    <t>งานปรับปรุงพื้นที่ ตามแบบมาตรฐาน โคก หนอง นาขนาด 3 ไร่ สำนักงานพัฒนาชุมชนอำเภอพนัสนิคม ตำบลพนัสนิคม อำเภอพนัสนิคม จังหวัดชลบุรี</t>
  </si>
  <si>
    <t>งานปรับปรุงพื้นที่ ตามแบบมาตรฐาน โคก หนอง นาขนาด 3 ไร่ สำนักงานพัฒนาชุมชนอำเภอพานทอง ตำบลพานทอง อำเภอพานทอง จังหวัดชลบุรี</t>
  </si>
  <si>
    <t>งานปรับปรุงพื้นที่ ตามแบบมาตรฐาน โคก หนอง นาขนาด 3 ไร่ สำนักงานพัฒนาชุมชนอำเภอศรีราชา ตำบลศรีราชา อำเภอศรีราชา จังหวัดชลบุรี</t>
  </si>
  <si>
    <t>งานปรับปรุงพื้นที่ ตามแบบมาตรฐาน โคก หนอง นาขนาด 1 ไร่ สำนักงานพัฒนาชุมชนอำเภอเชียงยืน ตำบลเชียงยืน อำเภอเชียงยืน จังหวัดมหาสารคาม</t>
  </si>
  <si>
    <t>งานปรับปรุงพื้นที่ ตามแบบมาตรฐาน โคก หนอง นาขนาด 1 ไร่ สำนักงานพัฒนาชุมชนอำเภอนาเชือก ตำบลนาเชือก อำเภอนาเชือก จังหวัดมหาสารคาม</t>
  </si>
  <si>
    <t>งานปรับปรุงพื้นที่ ตามแบบมาตรฐาน โคก หนอง นาขนาด 1 ไร่ สำนักงานพัฒนาชุมชนอำเภอบรบือตำบลบรบือ อำเภอบรบือ จังหวัดมหาสารคาม</t>
  </si>
  <si>
    <t>งานปรับปรุงพื้นที่ ตามแบบมาตรฐาน โคก หนอง นาขนาด 1 ไร่ สำนักงานพัฒนาชุมชนอำเภอเมืองมหาสารคาม ตำบลตลาดอำเภอเมืองมหาสารคาม จังหวัดมหาสารคาม</t>
  </si>
  <si>
    <t>งานปรับปรุงพื้นที่ ตามแบบมาตรฐาน โคก หนอง นาขนาด 3 ไร่ สำนักงานพัฒนาชุมชนอำเภอเนินขาม ตำบลเนินขาม อำเภอเนินขาม จังหวัดชัยนาท</t>
  </si>
  <si>
    <t>งานปรับปรุงพื้นที่ ตามแบบมาตรฐาน โคก หนอง นาขนาด 3 ไร่ สำนักงานพัฒนาชุมชนอำเภอสรรคบุรี ตำบลแพรกศรีราชา อำเภอสรรคบุรี จังหวัดชัยนาท</t>
  </si>
  <si>
    <t>งานปรับปรุงพื้นที่ ตามแบบมาตรฐาน โคก หนอง นาขนาด 1 ไร่ สำนักงานพัฒนาชุมชนอำเภอวาปีปทุม ตำบลหนองแสง อำเภอวาปีปทุม จังหวัดมหาสารคาม</t>
  </si>
  <si>
    <t>งานปรับปรุงพื้นที่ ตามแบบมาตรฐาน โคก หนอง นาขนาด 3 ไร่ สำนักงานพัฒนาชุมชนอำเภอแก้งคร้อ ตำบลช่องสามหมอ อำเภอแก้งคร้อ จังหวัดชัยภูมิ</t>
  </si>
  <si>
    <t>งานปรับปรุงพื้นที่ ตามแบบมาตรฐาน โคก หนอง นาขนาด 1 ไร่ สำนักงานพัฒนาชุมชนอำเภอดอนตาล ตำบลดอนตาล อำเภอดอนตาล จังหวัดมุกดาหาร</t>
  </si>
  <si>
    <t>งานปรับปรุงพื้นที่ ตามแบบมาตรฐาน โคก หนอง นาขนาด 3 ไร่ สำนักงานพัฒนาชุมชนอำเภอคอนสาร ตำบลคอนสาร อำเภอคอนสาร จังหวัดชัยภูมิ</t>
  </si>
  <si>
    <t>งานปรับปรุงพื้นที่ ตามแบบมาตรฐาน โคก หนอง นาขนาด 1 ไร่ สำนักงานพัฒนาชุมชนอำเภอขุนยวม ตำบลขุนยวม อำเภอขุนยวม จังหวัดแม่ฮ่องสอน</t>
  </si>
  <si>
    <t>งานปรับปรุงพื้นที่ ตามแบบมาตรฐาน โคก หนอง นาขนาด 3 ไร่ สำนักงานพัฒนาชุมชนอำเภอบุ่งคล้า ตำบลหนองเดิ่น อำเภอบุ่งคล้า จังหวัดบึงกาฬ</t>
  </si>
  <si>
    <t>งานปรับปรุงพื้นที่ ตามแบบมาตรฐาน โคก หนอง นาขนาด 3 ไร่ สำนักงานพัฒนาชุมชนอำเภอปากคาด ตำบลโนนศิลา อำเภอปากคาด จังหวัดบึงกาฬ</t>
  </si>
  <si>
    <t>งานปรับปรุงพื้นที่ ตามแบบมาตรฐาน โคก หนอง นาขนาด 3 ไร่ สำนักงานพัฒนาชุมชนอำเภอพรเจริญ ตำบลพรเจริญ อำเภอพรเจริญ จังหวัดบึงกาฬ</t>
  </si>
  <si>
    <t>งานปรับปรุงพื้นที่ ตามแบบมาตรฐาน โคก หนอง นาขนาด 1 ไร่ สำนักงานพัฒนาชุมชนอำเภอโพนนาแก้ว อำเภอโพนนาแก้ว จังหวัดสกลนคร</t>
  </si>
  <si>
    <t>1500437056410921</t>
  </si>
  <si>
    <t>งานปรับปรุงพื้นที่ ตามแบบมาตรฐาน โคก หนอง นาขนาด 1 ไร่ สำนักงานพัฒนาชุมชนอำเภอโคกศรีสุพรรณ อำเภอโพนนาแก้ว จังหวัดสกลนคร</t>
  </si>
  <si>
    <t>1500437056410922</t>
  </si>
  <si>
    <t>งานปรับปรุงพื้นที่ ตามแบบมาตรฐาน โคก หนอง นาขนาด 3 ไร่ สำนักงานพัฒนาชุมชนอำเภอโคกศรีสุพรรณ อำเภอโพนนาแก้ว จังหวัดสกลนคร</t>
  </si>
  <si>
    <t>1500437056410923</t>
  </si>
  <si>
    <t>150043756410924</t>
  </si>
  <si>
    <t>งานปรับปรุงพื้นที่ ตามแบบมาตรฐาน โคก หนอง นาขนาด 1 ไร่ สำนักงานพัฒนาชุมชนอำเภอพะโต๊ะ จังหวัดชุมพร</t>
  </si>
  <si>
    <t>1500437056410925</t>
  </si>
  <si>
    <t>งานปรับปรุงพื้นที่ ตามแบบมาตรฐาน โคก หนอง นาขนาด 1 ไร่ สำนักงานพัฒนาชุมชนอำเภอท่าแซะ จังหวัดชุมพร</t>
  </si>
  <si>
    <t>1500437056410926</t>
  </si>
  <si>
    <t>งานปรับปรุงพื้นที่ ตามแบบมาตรฐาน โคก หนอง นาขนาด 1 ไร่ สำนักงานพัฒนาชุมชนอำเภอสวี จังหวัดชุมพร</t>
  </si>
  <si>
    <t>1500437056410927</t>
  </si>
  <si>
    <t>งานปรับปรุงพื้นที่ ตามแบบมาตรฐาน โคก หนอง นาขนาด 3 ไร่ สำนักงานพัฒนาชุมชนอำเภอทุ่งตะโก อำเภอทุ่งตะโก จังหวัดชุมพร</t>
  </si>
  <si>
    <t>1500437056410928</t>
  </si>
  <si>
    <t>งานปรับปรุงพื้นที่ ตามแบบมาตรฐาน โคก หนอง นาขนาด 3 ไร่ สำนักงานพัฒนาชุมชนอำเภอท่าแซะ อำเภอท่าแซะ จังหวัดชุมพร</t>
  </si>
  <si>
    <t>1500437056410929</t>
  </si>
  <si>
    <t>งานปรับปรุงพื้นที่ ตามแบบมาตรฐาน โคก หนอง นาขนาด 3 ไร่ สำนักงานพัฒนาชุมชนอำเภอละแม อำเภอละแม จังหวัดชุมพร</t>
  </si>
  <si>
    <t>1500437056410930</t>
  </si>
  <si>
    <t>1500437056410049  บอ.61</t>
  </si>
  <si>
    <t>1500437056410054    บอ.61</t>
  </si>
  <si>
    <t>1500437056410058   บอ.61</t>
  </si>
  <si>
    <t>1500437056410078    บอ.61</t>
  </si>
  <si>
    <t>1500437056410222  บอ.61</t>
  </si>
  <si>
    <t>1500437056410226 บอ.61</t>
  </si>
  <si>
    <t>1500437056410227 บอ.61</t>
  </si>
  <si>
    <t>จันทบุรี</t>
  </si>
  <si>
    <t>1500437056410237  บอ.61</t>
  </si>
  <si>
    <t>1500437056410282 บอ.61</t>
  </si>
  <si>
    <t>1500437056410283  บอ.61</t>
  </si>
  <si>
    <t>1500437056410334   บอ.61</t>
  </si>
  <si>
    <t>1500437056410336  บอ.61</t>
  </si>
  <si>
    <t>1500437056410337  บอ.61</t>
  </si>
  <si>
    <t>1500437056410338  บอ.61</t>
  </si>
  <si>
    <t>1500437056410339  บอ.61</t>
  </si>
  <si>
    <t>1500437056410340  บอ.61</t>
  </si>
  <si>
    <t>1500437056410344  บอ.61</t>
  </si>
  <si>
    <t>1500437056410346  บอ.61</t>
  </si>
  <si>
    <t>1500437056410348  บอ.61</t>
  </si>
  <si>
    <t>1500437056410349  บอ.61</t>
  </si>
  <si>
    <t>1500437056410351  บอ.61</t>
  </si>
  <si>
    <t>1500437056410354  บอ.61</t>
  </si>
  <si>
    <t>1500437056410360  บอ.61</t>
  </si>
  <si>
    <t>1500437056410361   บอ.61</t>
  </si>
  <si>
    <t>1500437056410375    บอ.61</t>
  </si>
  <si>
    <t>ลพบุรี</t>
  </si>
  <si>
    <t>1500437056410466   บอ.61</t>
  </si>
  <si>
    <t>1500437056410472  บอ.61</t>
  </si>
  <si>
    <t>1500437056410476  บอ.61</t>
  </si>
  <si>
    <t>สิงห์บุรี</t>
  </si>
  <si>
    <t>สุพรรณบุรี</t>
  </si>
  <si>
    <t>1500437056410586  บอ.61</t>
  </si>
  <si>
    <t>1500437056410588 บอ .61</t>
  </si>
  <si>
    <t>1500437056410591   บอ.61</t>
  </si>
  <si>
    <t>1500437056410593  บอ.61</t>
  </si>
  <si>
    <t>1500437056410595  บอ.61</t>
  </si>
  <si>
    <t>1500437056410598  บอ.61</t>
  </si>
  <si>
    <t>1500437056410668    บอ.61</t>
  </si>
  <si>
    <t>1500437056410671    บอ.61</t>
  </si>
  <si>
    <t>1500437056410688   บอ.61</t>
  </si>
  <si>
    <t>1500437056410689 (บอ48)</t>
  </si>
  <si>
    <t>1500437056410690 (บอ 48)</t>
  </si>
  <si>
    <t>1500437056410753   บอ.61</t>
  </si>
  <si>
    <t>1500437056410791   บอ.61</t>
  </si>
  <si>
    <t>1500437056410792   บอ.61</t>
  </si>
  <si>
    <t>1500437056410793  บอ.61</t>
  </si>
  <si>
    <t>1500437056410852  บอ.61</t>
  </si>
  <si>
    <t>1500437056410855   บอ.61</t>
  </si>
  <si>
    <t>1500437056410856  บอ.61</t>
  </si>
  <si>
    <t>1500437056410859   บอ.61</t>
  </si>
  <si>
    <t>1500437056410902    บอ.61</t>
  </si>
  <si>
    <t>1500437056410912    บอ.61</t>
  </si>
  <si>
    <t>งานปรับปรุงพื้นที่ ตามแบบมาตรฐาน โคก หนอง นา ขนาด 1 ไร่ สำนักงานพัฒนาชุมชนอำเภอร้องกวาง อำเภอร้องกวาง จังหวัดแพร่</t>
  </si>
  <si>
    <t>150043756410932 (บอ.48)</t>
  </si>
  <si>
    <t>งานปรับปรุงพื้นที่ ตามแบบมาตรฐาน โคก หนอง นา ขนาด 1 ไร่ สำนักงานพัฒนาชุมชนอำเภอสอง อำเภอสอง จังหวัดแพร่</t>
  </si>
  <si>
    <t>1500437056410933 (บอ.48)</t>
  </si>
  <si>
    <t>งานปรับปรุงพื้นที่ ตามแบบมาตรฐาน โคก หนอง นา ขนาด 1 ไร่ สำนักงานพัฒนาชุมชนอำเภอเด่นชัย อำเภอเด่นชัย จังหวัดแพร่</t>
  </si>
  <si>
    <t>งานปรับปรุงพื้นที่ ตามแบบมาตรฐาน โคก หนอง นา ขนาด 1 ไร่ สำนักงานพัฒนาชุมชนอำเภอเมืองแพร่ จังหวัดแพร่</t>
  </si>
  <si>
    <t>1500437056410935 (บอ.48)</t>
  </si>
  <si>
    <t xml:space="preserve">แพร่ </t>
  </si>
  <si>
    <t>งานปรับปรุงพื้นที่ ตามแบบมาตรฐาน โคก หนอง นา ขนาด 1 ไร่ สำนักงานพัฒนาชุมชนอำเภอเมืองนครศรีธรรมราช  จังหวัดนศรีธรรมราช</t>
  </si>
  <si>
    <t>1500437056410936</t>
  </si>
  <si>
    <t>งานปรับปรุงพื้นที่ ตามแบบมาตรฐาน โคก หนอง นา ขนาด 1 ไร่ สำนักงานพัฒนาชุมชนอำเภอลานสกา จังหวัด นครศรีธรรมราช</t>
  </si>
  <si>
    <t>1500437056410937</t>
  </si>
  <si>
    <t>งานปรับปรุงพื้นที่ ตามแบบมาตรฐาน โคก หนอง นา ขนาด 1 ไร่ สำนักงานพัฒนาชุมชนอำเภอฉวาง จังวัดนครศรีธรรมราช</t>
  </si>
  <si>
    <t>1500437056410938</t>
  </si>
  <si>
    <t>งานปรับปรุงพื้นที่ ตามแบบมาตรฐาน โคก หนอง นา ขนาด 1 ไร่ สำนักงานพัฒนาชุมชนอำเภอปากพนัง จังวัดนครศรีธรรมราช</t>
  </si>
  <si>
    <t>1500437056410939</t>
  </si>
  <si>
    <t>งานปรับปรุงพื้นที่ ตามแบบมาตรฐาน โคก หนอง นา ขนาด 1 ไร่ สำนักงานพัฒนาชุมชนอำเภอถ้ำพรรณรา จังวัดนครศรีธรรมราช</t>
  </si>
  <si>
    <t>1500437056410940</t>
  </si>
  <si>
    <t>งานปรับปรุงพื้นที่ ตามแบบมาตรฐาน โคก หนอง นา ขนาด 3 ไร่ สำนักงานพัฒนาชุมชนอำเภอฉวาง จังวัดนครศรีธรรมราช</t>
  </si>
  <si>
    <t>1500437056410941</t>
  </si>
  <si>
    <t>งานปรับปรุงพื้นที่ ตามแบบมาตรฐาน โคก หนอง นา ขนาด 3 ไร่ สำนักงานพัฒนาชุมชนอำเภอพิปูน จังวัดนครศรีธรรมราช</t>
  </si>
  <si>
    <t>1500437056410942</t>
  </si>
  <si>
    <t>งานปรับปรุงพื้นที่ ตามแบบมาตรฐาน โคก หนอง นา ขนาด 3 ไร่ สำนักงานพัฒนาชุมชนอำเภอปากพนัง จังวัดนครศรีธรรมราช</t>
  </si>
  <si>
    <t>1500437056410943</t>
  </si>
  <si>
    <t>งานปรับปรุงพื้นที่ ตามแบบมาตรฐาน โคก หนอง นา ขนาด 3 ไร่ สำนักงานพัฒนาชุมชนอำเภอถ้ำพรรณรา จังวัดนครศรีธรรมราช</t>
  </si>
  <si>
    <t>1500437056410944</t>
  </si>
  <si>
    <t>งานปรับปรุงพื้นที่ ตามแบบมาตรฐาน โคก หนอง นา ขนาด 3 ไร่ สำนักงานพัฒนาชุมชนอำเภอจุฬาภรณ์ จังวัดนครศรีธรรมราช</t>
  </si>
  <si>
    <t>1500437056410945</t>
  </si>
  <si>
    <t>งานปรับปรุงพื้นที่ ตามแบบมาตรฐาน โคก หนอง นา ขนาด 3 ไร่ สำนักงานพัฒนาชุมชนอำเภอเด่นชัย อำเภอเด่นชัย จังหวัดแพร่</t>
  </si>
  <si>
    <t>งานปรับปรุงพื้นที่ ตามแบบมาตรฐาน โคก หนอง นา ขนาด 3 ไร่ สำนักงานพัฒนาชุมชนอำเภอเมืองแพร่  จังหวัดแพร่</t>
  </si>
  <si>
    <t>1500437056410947</t>
  </si>
  <si>
    <t>งานปรับปรุงพื้นที่ ตามแบบมาตรฐาน โคก หนอง นา ขนาด 3 ไร่ สำนักงานพัฒนาชุมชนอำเภอลอง อำเภอลอง  จังหวัดแพร่</t>
  </si>
  <si>
    <t>1500437056410948</t>
  </si>
  <si>
    <t>งานปรับปรุงพื้นที่ ตามแบบมาตรฐาน โคก หนอง นา ขนาด 3 ไร่ สำนักงานพัฒนาชุมชนอำเภอสูงเม่น  จังหวัดแพร่</t>
  </si>
  <si>
    <t>งานปรับปรุงพื้นที่ ตามแบบมาตรฐาน โคก หนอง นา ขนาด 1 ไร่ สำนักงานพัฒนาชุมชนอำเภอเมืองฉะเชิงเทรา จังหวัดฉะเชิงเทรา</t>
  </si>
  <si>
    <t>1500437056410950</t>
  </si>
  <si>
    <t>งานปรับปรุงพื้นที่ ตามแบบมาตรฐาน โคก หนอง นา ขนาด 1 ไร่ สำนักงานพัฒนาชุมชนอำเภอท่าตะเกียบ จังหวัดฉะเชิงเทรา</t>
  </si>
  <si>
    <t>1500437056410952</t>
  </si>
  <si>
    <t>งานปรับปรุงพื้นที่ ตามแบบมาตรฐาน โคก หนอง นาขนาด 3 ไร่ สำนักงานพัฒนาชุมชนอำเภอเมืองฉะเชิงเทรา จังหวัดฉะเชิงเทรา</t>
  </si>
  <si>
    <t>1500437056410953</t>
  </si>
  <si>
    <t>งานปรับปรุงพื้นที่ ตามแบบมาตรฐาน โคก หนอง นาขนาด 3 ไร่ สำนักงานพัฒนาชุมชนอำเภอแปลงยาว จังหวัดฉะเชิงเทรา</t>
  </si>
  <si>
    <t>งานปรับปรุงพื้นที่ ตามแบบมาตรฐาน โคก หนอง นาขนาด 3 ไร่ สำนักงานพัฒนาชุมชนอำเภอสนามชัยเขต จังหวัดฉะเชิงเทรา</t>
  </si>
  <si>
    <t>1500437056410956</t>
  </si>
  <si>
    <t>งานปรับปรุงพื้นที่ ตามแบบมาตรฐาน โคก หนอง นาขนาด 1 ไร่ สำนักงานพัฒนาชุมชนอำเภอเฝ้าไร่ จังหวัดหนองคาย</t>
  </si>
  <si>
    <t>1500437056410958</t>
  </si>
  <si>
    <t>งานปรับปรุงพื้นที่ ตามแบบมาตรฐาน โคก หนอง นาขนาด 1 ไร่ สำนักงานพัฒนาชุมชนอำเภอแม่จัน  อำเภอเวียงม่จัน จังหวัดเชียงราย</t>
  </si>
  <si>
    <t>1500437056410959</t>
  </si>
  <si>
    <t>1500437056410960</t>
  </si>
  <si>
    <t>งานปรับปรุงพื้นที่ ตามแบบมาตรฐาน โคก หนอง นาขนาด 1 ไร่ สำนักงานพัฒนาชุมชนอำเภอกุยบุรี ตำบลกุยบุรี อำเภอปรานบุรี จังหวัดประจวบคีรีขันธ์</t>
  </si>
  <si>
    <t>1500437056410961</t>
  </si>
  <si>
    <t>งานปรับปรุงพื้นที่ ตามแบบมาตรฐาน โคก หนอง นาขนาด 1 ไร่ สำนักงานพัฒนาชุมชนอำเภอไม้แก่น อำเภอไม้แก่น จังหวัดปัตตานี</t>
  </si>
  <si>
    <t>1500437056410962</t>
  </si>
  <si>
    <t>งานปรับปรุงพื้นที่ ตามแบบมาตรฐาน โคก หนอง นาขนาด 1 ไร่ สำนักงานพัฒนาชุมชนอำเภอทุ่งยางแดง อำเภอทุ่งยางแดง จังหวัดปัตตานี</t>
  </si>
  <si>
    <t>1500437056410963</t>
  </si>
  <si>
    <t>งานปรับปรุงพื้นที่ ตามแบบมาตรฐาน โคก หนอง นาขนาด 3 ไร่ สำนักงานพัฒนาชุมชนอำเภอรือเสาะอำเภอรือเสาะ จังหวัดนราธิวาส</t>
  </si>
  <si>
    <t>งานปรับปรุงพื้นที่ ตามแบบมาตรฐาน โคก หนอง นาขนาด 3 ไร่ สำนักงานพัฒนาชุมชนอำเภอระแงะ อำเภอระแงะ จังหวัดนราธิวาส</t>
  </si>
  <si>
    <t>งานปรับปรุงพื้นที่ ตามแบบมาตรฐาน โคก หนอง นาขนาด 3 ไร่ สำนักงานพัฒนาชุมชนอำเภอเมืองปราจีนบุรี จังหวัดปราจีนบุรี</t>
  </si>
  <si>
    <t>1500437056410966</t>
  </si>
  <si>
    <t>งานปรับปรุงพื้นที่ ตามแบบมาตรฐาน โคก หนอง นาขนาด 1 ไร่ สำนักงานพัฒนาชุมชนอำเภอสิงหนคร อำเภอสิงหนคร จังหวัดสงขลา</t>
  </si>
  <si>
    <t>งานปรับปรุงพื้นที่ ตามแบบมาตรฐาน โคก หนอง นาขนาด 1 ไร่ สำนักงานพัฒนาชุมชนอำเภอนาทวี อำเภอนาทวี จังหวัดสงขลา</t>
  </si>
  <si>
    <t>1500437056410968</t>
  </si>
  <si>
    <t>งานปรับปรุงพื้นที่ ตามแบบมาตรฐาน โคก หนอง นาขนาด 1 ไร่ สำนักงานพัฒนาชุมชนอำเภอเทพา อำเภอเทพา จังหวัดสงขลา</t>
  </si>
  <si>
    <t>1500437056410969</t>
  </si>
  <si>
    <t>งานปรับปรุงพื้นที่ ตามแบบมาตรฐาน โคก หนอง นาขนาด 1 ไร่ สำนักงานพัฒนาชุมชนอำเภอรัตภูมิ อำเภอรัตภูมิ จังหวัดสงขลา</t>
  </si>
  <si>
    <t>1500437056410970</t>
  </si>
  <si>
    <t>งานปรับปรุงพื้นที่ ตามแบบมาตรฐาน โคก หนอง นาขนาด 1 ไร่ สำนักงานพัฒนาชุมชนอำเภอควนเนียง อำเภอควนเนียง จังหวัดสงขลา</t>
  </si>
  <si>
    <t>1500437056410971</t>
  </si>
  <si>
    <t>งานปรับปรุงพื้นที่ ตามแบบมาตรฐาน โคก หนอง นาขนาด 3 ไร่ สำนักงานพัฒนาชุมชนอำเภอคลองหอยโข่ง อำเภอคลองหอยโข่ง จังหวัดสงขลา</t>
  </si>
  <si>
    <t>1500437056410972</t>
  </si>
  <si>
    <t>งานปรับปรุงพื้นที่ ตามแบบมาตรฐาน โคก หนอง นาขนาด 3 ไร่ สำนักงานพัฒนาชุมชนอำเภอคลองรัตนภูมิ อำเภอรัตูมิ จังหวัดสงขลา</t>
  </si>
  <si>
    <t>1500437056410973</t>
  </si>
  <si>
    <t>งานปรับปรุงพื้นที่ ตามแบบมาตรฐาน โคก หนอง นาขนาด 3 ไร่ สำนักงานพัฒนาชุมชนอำเภอระโนด อำเภอระโนด จังหวัดสงขลา</t>
  </si>
  <si>
    <t>1500437056410974</t>
  </si>
  <si>
    <t>งานปรับปรุงพื้นที่ ตามแบบมาตรฐาน โคก หนอง นาขนาด 3 ไร่ สำนักงานพัฒนาชุมชนอำเภอสะเดา  อำเภอสะเดา จังหวัดสงขลา</t>
  </si>
  <si>
    <t>1500437056410975</t>
  </si>
  <si>
    <t>งานปรับปรุงพื้นที่ ตามแบบมาตรฐาน โคก หนอง นาขนาด 1 ไร่ สำนักงานพัฒนาชุมชนอำเภอนาจะหลวย จังหวัดอุบลราชธานี</t>
  </si>
  <si>
    <t>1500437056410976</t>
  </si>
  <si>
    <t>งานปรับปรุงพื้นที่ ตามแบบมาตรฐาน โคก หนอง นาขนาด 3 ไร่ สำนักงานพัฒนาชุมชนอำเภอสำโรง อำเภอสำโรง จังหวัดอุบลราชธานี</t>
  </si>
  <si>
    <t>1500437056410977</t>
  </si>
  <si>
    <t>งานปรับปรุงพื้นที่ ตามแบบมาตรฐาน โคก หนอง นาขนาด 3 ไร่ สำนักงานพัฒนาชุมชนอำเภอสิรินธร อำเภอสิรินธร จังหวัดอุบลราชธานี</t>
  </si>
  <si>
    <t>1500437056410978</t>
  </si>
  <si>
    <t>งานปรับปรุงพื้นที่ ตามแบบมาตรฐาน โคก หนอง นาขนาด 3 ไร่ สำนักงานพัฒนาชุมชนอำเภอนาจะหลวย อำเภอนาจะหลวย จังหวัดอุบลราชธานี</t>
  </si>
  <si>
    <t>1500437056410979</t>
  </si>
  <si>
    <t>งานปรับปรุงพื้นที่ ตามแบบมาตรฐาน โคก หนอง นาขนาด 1 ไร่ สำนักงานพัฒนาชุมชนอำเภอเมืองตาก จังหวัดตาก</t>
  </si>
  <si>
    <t>1500437056410980</t>
  </si>
  <si>
    <t>งานปรับปรุงพื้นที่ ตามแบบมาตรฐาน โคก หนอง นาขนาด 3 ไร่ สำนักงานพัฒนาชุมชนอำเภออุ้มผาง  จังหวัดตาก</t>
  </si>
  <si>
    <t>1500437056410981</t>
  </si>
  <si>
    <t>งานปรับปรุงพื้นที่ ตามแบบมาตรฐาน โคก หนอง นาขนาด 3 ไร่ สำนักงานพัฒนาชุมชนอำเภอหล่มสัก จังหวัดเพชรบูรณ์</t>
  </si>
  <si>
    <t>1500437056410982</t>
  </si>
  <si>
    <t>งานปรับปรุงพื้นที่ ตามแบบมาตรฐาน โคก หนอง นาขนาด 3 ไร่ สำนักงานพัฒนาชุมชนอำเภอศรีเทพ จังหวัดเพชรบูรณ์</t>
  </si>
  <si>
    <t>1500437056410983</t>
  </si>
  <si>
    <t>1500437056410984</t>
  </si>
  <si>
    <t>1500437056410985</t>
  </si>
  <si>
    <t>1500437056410986</t>
  </si>
  <si>
    <t>1500437056410987</t>
  </si>
  <si>
    <t>1500437056410988</t>
  </si>
  <si>
    <t>1500437056410989</t>
  </si>
  <si>
    <t>1500437056410990</t>
  </si>
  <si>
    <t>1500437056410198  บอ.71</t>
  </si>
  <si>
    <t>1500437056410269  บอ.71</t>
  </si>
  <si>
    <t>1500437056410270  บอ.71</t>
  </si>
  <si>
    <t>1500437056410272 บอ.71</t>
  </si>
  <si>
    <t>1500437056410274  บอ.71</t>
  </si>
  <si>
    <t>1500437056410342 บอ.73</t>
  </si>
  <si>
    <t>1500437056410343 บอ.73</t>
  </si>
  <si>
    <t>1500437056410345 บอ.73</t>
  </si>
  <si>
    <t>1500437056410347 บอ.73</t>
  </si>
  <si>
    <t>1500437056410350 บอ.73</t>
  </si>
  <si>
    <t>1500437056410359 บอ.73</t>
  </si>
  <si>
    <t>1500437056410518  บอ.71</t>
  </si>
  <si>
    <t>1500437056410539 บอ.71</t>
  </si>
  <si>
    <t xml:space="preserve">1500437056410640  บอ.73 </t>
  </si>
  <si>
    <t>1500437056410678  บอ71</t>
  </si>
  <si>
    <t>1500437056410679 บอ.71</t>
  </si>
  <si>
    <t>1500437056410680 บอ.71</t>
  </si>
  <si>
    <t>1500437056410681  บอ.71</t>
  </si>
  <si>
    <t>1500437056410682  บอ.71</t>
  </si>
  <si>
    <t>1500437056410721 บอ.73</t>
  </si>
  <si>
    <t>1500437056410724 บอ.73</t>
  </si>
  <si>
    <t>1500437056410726 บอ.73</t>
  </si>
  <si>
    <t>1500437056410730 บอ.73</t>
  </si>
  <si>
    <t>1500437056410732 บอ.73</t>
  </si>
  <si>
    <t>1500437056410733 บอ.73</t>
  </si>
  <si>
    <t>1500437056410734 บอ.73</t>
  </si>
  <si>
    <t>1500437056410806 บอ.71</t>
  </si>
  <si>
    <t>1500437056410809  บอ.71</t>
  </si>
  <si>
    <t>1500437056410810  บอ71</t>
  </si>
  <si>
    <t>1500437056410812  บอ.71</t>
  </si>
  <si>
    <t>1500437056410815  บอ.71</t>
  </si>
  <si>
    <t>1500437056410895  บอ.73</t>
  </si>
  <si>
    <t>1500437056410898  บอ.73</t>
  </si>
  <si>
    <t>งานปรับปรุงพื้นที่ ตามแบบมาตรฐาน โคก หนอง นาขนาด 1 ไร่ สำนักงานพัฒนาชุมชนอำเภอนครไทย อำเภอนครไทย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</si>
  <si>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สำนักงานพัฒนาชุมชนอำเภอวัดโบสถ์ อำเภอวัดโบสถ์ จังหวัดพิษณุโลก</t>
  </si>
  <si>
    <t>งานปรับปรุงพื้นที่ ตามแบบมาตรฐาน โคก หนอง นาขนาด 1 ไร่ สำนักงานพัฒนาชุมชนอำเภอเซกาอำเภอเวกา จังหวัดบึงกาฬ</t>
  </si>
  <si>
    <t>งานปรับปรุงพื้นที่ ตามแบบมาตรฐาน โคก หนอง นาขนาด 3 ไร่ สำนักงานพัฒนาชุมชนอำเภอธัญบุรี อำเภอธัญบุรี จังหวัดปทุมธานี</t>
  </si>
  <si>
    <t>งานปรับปรุงพื้นที่ ตามแบบมาตรฐาน โคก หนอง นาขนาด 1 ไร่ สำนักงานพัฒนาชุมชนอำเภอตาพระยา อำเภอตาพระยา จังหวัดสระแก้ว</t>
  </si>
  <si>
    <t>งานปรับปรุงพื้นที่ ตามแบบมาตรฐาน โคก หนอง นาขนาด 3 ไร่ สำนักงานพัฒนาชุมชนอำเภอตาพระยา อำเภอตาพระยา จังหวัดสระแก้ว</t>
  </si>
  <si>
    <t>งานปรับปรุงพื้นที่ ตามแบบมาตรฐาน โคก หนอง นาขนาด 1 ไร่ สำนักงานพัฒนาชุมชนอำเภอพนมไพร  อำเภอพนมไพร จังหวัดร้อยเอ็ด</t>
  </si>
  <si>
    <t>1500437056410991</t>
  </si>
  <si>
    <t>งานปรับปรุงพื้นที่ ตามแบบมาตรฐาน โคก หนอง นาขนาด 1 ไร่ สำนักงานพัฒนาชุมชนอำเภอจตุรพักตรพิมาน  อำเภอจตุรพักตรพิมาน  จังหวัดร้อยเอ็ด</t>
  </si>
  <si>
    <t>1500437056410992</t>
  </si>
  <si>
    <t>งานปรับปรุงพื้นที่ ตามแบบมาตรฐาน โคก หนอง นาขนาด 1 ไร่ สำนักงานพัฒนาชุมชนอำเภอหนองพอก อำเภอหนองพอก  จังหวัดร้อยเอ็ด</t>
  </si>
  <si>
    <t>1500437056410993</t>
  </si>
  <si>
    <t>งานปรับปรุงพื้นที่ ตามแบบมาตรฐาน โคก หนอง นาขนาด 3 ไร่ สำนักงานพัฒนาชุมชนอำเภอจตุรพักตรพิมาน อำเภอจตุรพักตรพิมาน จังหวัดร้อยเอ็ด</t>
  </si>
  <si>
    <t>1500437056410994</t>
  </si>
  <si>
    <t>1500437056410995</t>
  </si>
  <si>
    <t>1500437056410996</t>
  </si>
  <si>
    <t>ผลการเบิกจ่ายแล้ว</t>
  </si>
  <si>
    <t>ก่อสร้างบ้านพักพัฒนาการจังหวัดสตูล สำนักงานพัฒนาชุมชนจังหวัดสตูล บอ.76 (ส่งคืน)</t>
  </si>
  <si>
    <t>1500437056410030  บอ.87</t>
  </si>
  <si>
    <t>1500437056410032 บอ.87</t>
  </si>
  <si>
    <t>1500437056410033  บอ87</t>
  </si>
  <si>
    <t>1500437056410034  บอ.87</t>
  </si>
  <si>
    <t>1500437056410035  บอ87</t>
  </si>
  <si>
    <t>1500437056410241  บอ77</t>
  </si>
  <si>
    <t>1500437056410244 บอ77</t>
  </si>
  <si>
    <t>1500437056410286 บอ.87</t>
  </si>
  <si>
    <t>1500437056410287 บอ.87</t>
  </si>
  <si>
    <t>1500437056410290  บอ.87</t>
  </si>
  <si>
    <t>1500437056410292  บอ.87</t>
  </si>
  <si>
    <t>1500437056410295  บอ87</t>
  </si>
  <si>
    <t>1500437056410300  บอ.87</t>
  </si>
  <si>
    <t>1500437056410392  บอ77</t>
  </si>
  <si>
    <t>1500437056410394 บอ77</t>
  </si>
  <si>
    <t>1500437056410398  บอ.77</t>
  </si>
  <si>
    <t>1500437056410402  บอ.77</t>
  </si>
  <si>
    <t>1500437056410409  บอ.77</t>
  </si>
  <si>
    <t>1500437056410515  บอ 87</t>
  </si>
  <si>
    <t>1500437056410550  บอ 87</t>
  </si>
  <si>
    <t>1500437056410624 บอ77</t>
  </si>
  <si>
    <t>1500437056410628  บอ77</t>
  </si>
  <si>
    <t>1500437056410633 บอ.86</t>
  </si>
  <si>
    <t>1500437056410637  บอ.86</t>
  </si>
  <si>
    <t>1500437056410745  บอ77</t>
  </si>
  <si>
    <t>1500437056410747  บอ.77</t>
  </si>
  <si>
    <t>1500437056410748  บอ77</t>
  </si>
  <si>
    <t>1500437056410749  บอ77</t>
  </si>
  <si>
    <t>1500437056410751 บอ 77</t>
  </si>
  <si>
    <t xml:space="preserve">1500437056410833  บอ.87 </t>
  </si>
  <si>
    <t>1500437056410835 บอ.87</t>
  </si>
  <si>
    <t>1500437056410838  บอ.87</t>
  </si>
  <si>
    <t>1500437056410839  บอ.87</t>
  </si>
  <si>
    <t>1500437056410890  บอ.86</t>
  </si>
  <si>
    <t>1500437056410892  บอ.86</t>
  </si>
  <si>
    <t>งานปรับปรุงพื้นที่ ตามแบบมาตรฐาน โคก หนอง นาขนาด 1 ไร่ สำนักงานพัฒนาชุมชนอำเภอท่าเรือ อำเภอท่าเรือ จังหวัดพระนครศรีอยุธยา</t>
  </si>
  <si>
    <t>1500437056410997</t>
  </si>
  <si>
    <t>งานปรับปรุงพื้นที่ ตามแบบมาตรฐาน โคก หนอง นาขนาด 1 ไร่ สำนักงานพัฒนาชุมชนอำเภออุทัย อำเภออุทัย จังหวัดพระนครศรีอยุธยา</t>
  </si>
  <si>
    <t>1500437056410998</t>
  </si>
  <si>
    <t>งานปรับปรุงพื้นที่ ตามแบบมาตรฐาน โคก หนอง นาขนาด 1 ไร่ สำนักงานพัฒนาชุมชนอำเภอพระนครศรีอยุธยา อำเภอพระนครศรีอยุธยา จังหวัดพระนครศรีอยุธยา</t>
  </si>
  <si>
    <t>1500437056410999</t>
  </si>
  <si>
    <t>งานปรับปรุงพื้นที่ ตามแบบมาตรฐาน โคก หนอง นาขนาด 1 ไร่ สำนักงานพัฒนาชุมชนอำเภอบางไทร อำเภอบางไทร จังหวัดพระนครศรีอยุธยา</t>
  </si>
  <si>
    <t>1500437056410A00</t>
  </si>
  <si>
    <t>1500437056410A01</t>
  </si>
  <si>
    <t>งานปรับปรุงพื้นที่ ตามแบบมาตรฐาน โคก หนอง นาขนาด 3 ไร่ สำนักงานพัฒนาชุมชนอำเภอภาชี อำเภอภาชี จังหวัดพระนครศรีอยุธยา</t>
  </si>
  <si>
    <t>1500437056410A02</t>
  </si>
  <si>
    <t>งานปรับปรุงพื้นที่ ตามแบบมาตรฐาน โคก หนอง นาขนาด 3 ไร่ สำนักงานพัฒนาชุมชนอำเภอมหาราช อำเภอมหาราช จังหวัดพระนครศรีอยุธยา</t>
  </si>
  <si>
    <t>1500437056410A03</t>
  </si>
  <si>
    <t>งานปรับปรุงพื้นที่ ตามแบบมาตรฐาน โคก หนอง นาขนาด 3 ไร่ สำนักงานพัฒนาชุมชนอำเภอวังน้อย อำเภอวังน้อย จังหวัดพระนครศรีอยุธยา</t>
  </si>
  <si>
    <t>1500437056410A04</t>
  </si>
  <si>
    <t>งานปรับปรุงพื้นที่ ตามแบบมาตรฐาน โคก หนอง นาขนาด 3 ไร่ สำนักงานพัฒนาชุมชนอำเภอพระนครศรีอยุธยา อำเภอพระนครศรีอยุธยา จังหวัดพระนครศรีอยุธยา</t>
  </si>
  <si>
    <t>1500437056410A05</t>
  </si>
  <si>
    <t>งานปรับปรุงพื้นที่ ตามแบบมาตรฐาน โคก หนอง นาขนาด 3 ไร่ สำนักงานพัฒนาชุมชนอำเภอผักไห่ อำเภอผักไห่ จังหวัดพระนครศรีอยุธยา</t>
  </si>
  <si>
    <t>1500437056410A06</t>
  </si>
  <si>
    <t>งานปรับปรุงพื้นที่ ตามแบบมาตรฐาน โคก หนอง นาขนาด 3 ไร่ สำนักงานพัฒนาชุมชนอำเภอบ้านแพรก อำเภอบ้านแพรก จังหวัดพระนครศรีอยุธยา</t>
  </si>
  <si>
    <t>1500437056410A07</t>
  </si>
  <si>
    <t>งานปรับปรุงพื้นที่ ตามแบบมาตรฐาน โคก หนอง นาขนาด 3 ไร่ สำนักงานพัฒนาชุมชนอำเภอเสริมงาม  อำเภอเสริมงาม จังหวัดลำปาง</t>
  </si>
  <si>
    <t>1500437056410A08</t>
  </si>
  <si>
    <t>งานปรับปรุงพื้นที่ ตามแบบมาตรฐาน โคก หนอง นาขนาด 1 ไร่ สำนักงานพัฒนาชุมชนอำเภอเกาะจันทร์  อำเภอเกาะจันทร์ จังหวัดชลบุรี</t>
  </si>
  <si>
    <t>1500437056410A09</t>
  </si>
  <si>
    <t>งานปรับปรุงพื้นที่ ตามแบบมาตรฐาน โคก หนอง นาขนาด 3 ไร่ สำนักงานพัฒนาชุมชนอำเภอเมืองชลบุรี จังหวัดชลบุรี</t>
  </si>
  <si>
    <t>1500437056410A10</t>
  </si>
  <si>
    <t>งานปรับปรุงพื้นที่ ตามแบบมาตรฐาน โคก หนอง นาขนาด 3 ไร่ สำนักงานพัฒนาชุมชนอำเภอเมืองน่าน อำเภอเมืองน่าน  จังหวัดน่าน</t>
  </si>
  <si>
    <t>1500437056410A11</t>
  </si>
  <si>
    <t>งานปรับปรุงพื้นที่ ตามแบบมาตรฐาน โคก หนอง นาขนาด 1 ไร่ สำนักงานพัฒนาชุมชนอำเภอไทรโยค อำเภอไทรโยค จังหวัดกาญจนบุรี</t>
  </si>
  <si>
    <t>1500437056410A12</t>
  </si>
  <si>
    <t>งานปรับปรุงพื้นที่ ตามแบบมาตรฐาน โคก หนอง นาขนาด 1 ไร่ สำนักงานพัฒนาชุมชนอำเภอเมือง สุราษฎร์ธานี จังหวัดสุราษฎร์ธานี</t>
  </si>
  <si>
    <t>1500437056410A13</t>
  </si>
  <si>
    <t>งานปรับปรุงพื้นที่ ตามแบบมาตรฐาน โคก หนอง นาขนาด 1 ไร่ สำนักงานพัฒนาชุมชนอำเภอเวียงสระ  จังหวัดสุราษฎร์ธานี</t>
  </si>
  <si>
    <t>1500437056410A14</t>
  </si>
  <si>
    <t>งานปรับปรุงพื้นที่ ตามแบบมาตรฐาน โคก หนอง นาขนาด 1 ไร่ สำนักงานพัฒนาชุมชนอำเภอชัยบุรี  จังหวัดสุราษฎร์ธานี</t>
  </si>
  <si>
    <t>1500437056410A15</t>
  </si>
  <si>
    <t>งานปรับปรุงพื้นที่ ตามแบบมาตรฐาน โคก หนอง นาขนาด 3 ไร่ สำนักงานพัฒนาชุมชนอำเภอเวียงสระ  อำเภอเวียงสระ จังหวัดสุราษฎร์ธานี</t>
  </si>
  <si>
    <t>1500437056410A16</t>
  </si>
  <si>
    <t>งานปรับปรุงพื้นที่ ตามแบบมาตรฐาน โคก หนอง นาขนาด 3 ไร่ สำนักงานพัฒนาชุมชนอำเภอบ้านนาเดิม อำเภอบ้านนาเดิม จังหวัดสุราษฎร์ธานี</t>
  </si>
  <si>
    <t>1500437056410A17</t>
  </si>
  <si>
    <t>งานปรับปรุงพื้นที่ ตามแบบมาตรฐาน โคก หนอง นาขนาด 3 ไร่ สำนักงานพัฒนาชุมชนอำเภอท่าฉาง อำเภอท่าฉาง จังหวัดสุราษฎร์ธานี</t>
  </si>
  <si>
    <t>1500437056410A18</t>
  </si>
  <si>
    <t>งานปรับปรุงพื้นที่ ตามแบบมาตรฐาน โคก หนอง นาขนาด 3 ไร่ สำนักงานพัฒนาชุมชนอำเภอท่าชนะ อำเภอท่าชนะ จังหวัดสุราษฎร์ธานี</t>
  </si>
  <si>
    <t>1500437056410A19</t>
  </si>
  <si>
    <t>1500437056410A20</t>
  </si>
  <si>
    <t>งานปรับปรุงพื้นที่ ตามแบบมาตรฐาน โคก หนอง นาขนาด 3 ไร่ สำนักงานพัฒนาชุมชนอำเภอวิภาวดี อำเภอวิภาวดี จังหวัดสุราษฎร์ธานี</t>
  </si>
  <si>
    <t>1500437056410A21</t>
  </si>
  <si>
    <t>1500437056410A22</t>
  </si>
  <si>
    <t>1500437056410A23</t>
  </si>
  <si>
    <t>1500437056410A24</t>
  </si>
  <si>
    <t>1500437013110003,1500437013110004}1500437013410018,</t>
  </si>
  <si>
    <t>1500437013410019,1500437013110002</t>
  </si>
  <si>
    <t>1500437056410009  บอ.91</t>
  </si>
  <si>
    <t>งานปรับปรุงพื้นที่ ตามแบบมาตรฐาน โคก หนอง นาขนาด 1 ไร่ สำนักงานพัฒนาชุมชนอำเภอคลองเขื่อนตำบลคลองเขื่อน อำเภอคลองเขื่อน จังหวัดฉะเชิงเทรา</t>
  </si>
  <si>
    <t>1500437056410026 (บอ.61)</t>
  </si>
  <si>
    <t>1500437056410040  บอ92</t>
  </si>
  <si>
    <t>1500437056410060  บอ93</t>
  </si>
  <si>
    <t>1500437056410062  บอ93</t>
  </si>
  <si>
    <t>1500437056410064  บอ 93</t>
  </si>
  <si>
    <t>1500437056410068  บอ.93</t>
  </si>
  <si>
    <t>1500437056410096  บอ.92</t>
  </si>
  <si>
    <t>1500437056410097  บอ.92</t>
  </si>
  <si>
    <t>1500437056410102  บอ.92</t>
  </si>
  <si>
    <t>1500437056410140  บอ93</t>
  </si>
  <si>
    <t>1500437056410145  บอ93</t>
  </si>
  <si>
    <t>1500437056410147  บอ93</t>
  </si>
  <si>
    <t>1500437056410148  บอ93</t>
  </si>
  <si>
    <t>1500437056410168  บอ.91</t>
  </si>
  <si>
    <t>1500437056410311  บอ.92</t>
  </si>
  <si>
    <t>1500437056410314  บอ.92</t>
  </si>
  <si>
    <t>1500437056410331  บอ 93</t>
  </si>
  <si>
    <t>1500437056410333  บอ93</t>
  </si>
  <si>
    <t>1500437056410335  บอ93</t>
  </si>
  <si>
    <t>1500437056410363 บอ .92</t>
  </si>
  <si>
    <t>1500437056410368  บอ93</t>
  </si>
  <si>
    <t>1500437056410371  บอ93</t>
  </si>
  <si>
    <t>1500437056410415 บอ92</t>
  </si>
  <si>
    <t>1500437056410422  บอ91</t>
  </si>
  <si>
    <t>1500437056410426  บอ.92</t>
  </si>
  <si>
    <t>1500437056410429  บอ91</t>
  </si>
  <si>
    <t>1500437056410434  บอ.91</t>
  </si>
  <si>
    <t>1500437056410435  บอ.92</t>
  </si>
  <si>
    <t>1500437056410437  บอ.92</t>
  </si>
  <si>
    <t>1500437056410451  บอ92</t>
  </si>
  <si>
    <t>1500437056410455  บอ.92</t>
  </si>
  <si>
    <t>1500437056410462 บอ.92</t>
  </si>
  <si>
    <t>1500437056410498  บอ 93</t>
  </si>
  <si>
    <t>1500437056410499  บอ 93</t>
  </si>
  <si>
    <t>1500437056410503  บอ93</t>
  </si>
  <si>
    <t>1500437056410505  บอ.93</t>
  </si>
  <si>
    <t>1500437056410506  บอ93</t>
  </si>
  <si>
    <t>1500437056410507  บอ93</t>
  </si>
  <si>
    <t>1500437056410540  บอ.92</t>
  </si>
  <si>
    <t>1500437056410716   บอ93</t>
  </si>
  <si>
    <t>1500437056410717  บอ93</t>
  </si>
  <si>
    <t>1500437056410718  บอ 93</t>
  </si>
  <si>
    <t>1500437056410737  บอ.92</t>
  </si>
  <si>
    <t>1500437056410740  บอ 92</t>
  </si>
  <si>
    <t>1500437056410762  บอ.91</t>
  </si>
  <si>
    <t>1500437056410827  บอ.92</t>
  </si>
  <si>
    <t>1500437056410828  บอ.92</t>
  </si>
  <si>
    <t>งานปรับปรุงพื้นที่ ตามแบบมาตรฐาน โคก หนอง นาขนาด 1 ไร่ สำนักงานพัฒนาชุมชนอำเภอเทพสถิต  อำเภอเทพสถิต จังหวัดชัยภูมิ</t>
  </si>
  <si>
    <t>งานปรับปรุงพื้นที่ ตามแบบมาตรฐาน โคก หนอง นาขนาด 3 ไร่ สำนักงานพัฒนาชุมชนอำเภอเทพสถิต อำเภอเทพสถิต จังหวัดชัยภูมิ</t>
  </si>
  <si>
    <t>1500437056410A25</t>
  </si>
  <si>
    <t>งานปรับปรุงพื้นที่ ตามแบบมาตรฐาน โคก หนอง นาขนาด 3 ไร่ สำนักงานพัฒนาชุมชนอำเภอซับใหญ่ อำเภอซับใหญ่ จังหวัดชัยภูมิ</t>
  </si>
  <si>
    <t>1500437056410A26</t>
  </si>
  <si>
    <t>งานปรับปรุงพื้นที่ ตามแบบมาตรฐาน โคก หนอง นาขนาด 3 ไร่ สำนักงานพัฒนาชุมชนอำเภอบำเหน็จณรงค์ อำเภอบำเหน็จณรงค์ จังหวัดชัยภูมิ</t>
  </si>
  <si>
    <t>1500437056410A27</t>
  </si>
  <si>
    <t>งานปรับปรุงพื้นที่ ตามแบบมาตรฐาน โคก หนอง นาขนาด 3 ไร่ สำนักงานพัฒนาชุมชนอำเภอหนองบัวแดง อำเภอหนองบัวแดง จังหวัดชัยภูมิ</t>
  </si>
  <si>
    <t>1500437056410A28</t>
  </si>
  <si>
    <t>1500437056410A29</t>
  </si>
  <si>
    <t>งานปรับปรุงพื้นที่ ตามแบบมาตรฐาน โคก หนอง นาขนาด 3 ไร่ สำนักงานพัฒนาชุมชนอำเภอหนองหญ้าไซ อำเภอหนองหญ้าไซ จังหวัดสุพรรณบุรี</t>
  </si>
  <si>
    <t>1500437056410A30</t>
  </si>
  <si>
    <t>งานปรับปรุงพื้นที่ ตามแบบมาตรฐาน โคก หนอง นาขนาด 3 ไร่ สำนักงานพัฒนาชุมชนอำเภอเมืองสุพรรรบุรี อำเภอเมืองสุพรรณบุรี จังหวัดสุพรรณบุรี</t>
  </si>
  <si>
    <t>1500437056410A31</t>
  </si>
  <si>
    <t>งานปรับปรุงพื้นที่ ตามแบบมาตรฐาน โคก หนอง นาขนาด 1 ไร่ สำนักงานพัฒนาชุมชนอำเภอบ้านฉาง อำเภอบ้านฉาง จังหวัดระยอง</t>
  </si>
  <si>
    <t>1500437056410A32</t>
  </si>
  <si>
    <t>งานปรับปรุงพื้นที่ ตามแบบมาตรฐาน โคก หนอง นาขนาด 1 ไร่ สำนักงานพัฒนาชุมชนอำเภอเขาะเมา อำเภอเขาชะเมา จังหวัดระยอง</t>
  </si>
  <si>
    <t>1500437056410A33</t>
  </si>
  <si>
    <t>งานปรับปรุงพื้นที่ ตามแบบมาตรฐาน โคก หนอง นาขนาด 1 ไร่ สำนักงานพัฒนาชุมชนอำเภอนิคมพัฒนา อำเภอนิคมพัฒนา จังหวัดระยอง</t>
  </si>
  <si>
    <t>1500437056410A34</t>
  </si>
  <si>
    <t>งานปรับปรุงพื้นที่ ตามแบบมาตรฐาน โคก หนอง นาขนาด 3 ไร่ สำนักงานพัฒนาชุมชนอำเภอเขาชะเมา  อำเภอเขาชะเมา จังหวัดระยอง</t>
  </si>
  <si>
    <t>1500437056410A35</t>
  </si>
  <si>
    <t>งานปรับปรุงพื้นที่ ตามแบบมาตรฐาน โคก หนอง นาขนาด 3 ไร่ สำนักงานพัฒนาชุมชนอำเภอยางชุมน้อย อำเภอยางชุมน้อย จังหวัดศรีสะเกษ</t>
  </si>
  <si>
    <t>1500437056410A36</t>
  </si>
  <si>
    <t>งานปรับปรุงพื้นที่ ตามแบบมาตรฐาน โคก หนอง นาขนาด 3 ไร่ สำนักงานพัฒนาชุมชนอำเภอภูสิงห์ อำเภอภูสิงห์ จังหวัดศรีสะเกษ</t>
  </si>
  <si>
    <t>1500437056410A37</t>
  </si>
  <si>
    <t>งานปรับปรุงพื้นที่ ตามแบบมาตรฐาน โคก หนอง นาขนาด 3 ไร่ สำนักงานพัฒนาชุมชนอำเภอยางชุมน้อย  อำเภอยางชุมน้อย  จังหวัดศรีสะเกษ</t>
  </si>
  <si>
    <t>1500437056410A38</t>
  </si>
  <si>
    <t>งานปรับปรุงพื้นที่ ตามแบบมาตรฐาน โคก หนอง นาขนาด 3 ไร่ สำนักงานพัฒนาชุมชนอำเภอพรานกระต่าย อำเภอพรานกระต่าย จังหวัดกำแพงเพชร</t>
  </si>
  <si>
    <t>1500437056410A39</t>
  </si>
  <si>
    <t>งานปรับปรุงพื้นที่ ตามแบบมาตรฐาน โคก หนอง นาขนาด 3 ไร่ สำนักงานพัฒนาชุมชนอำเภอไทรงาม อำเภอไทรงาม จังหวัดกำแพงเพชร</t>
  </si>
  <si>
    <t>1500437056410A40</t>
  </si>
  <si>
    <t>งานปรับปรุงพื้นที่ ตามแบบมาตรฐาน โคก หนอง นาขนาด 3 ไร่ สำนักงานพัฒนาชุมชนอำเภอเกาะช้าง อำเภอเกาะช้าง จังหวัดตราด</t>
  </si>
  <si>
    <t>1500437056410A41</t>
  </si>
  <si>
    <t>งานปรับปรุงพื้นที่ ตามแบบมาตรฐาน โคก หนอง นาขนาด 1 ไร่ สำนักงานพัฒนาชุมชนอำเภอดอยหล่อ อำเภอดอยหล่อ จังหวัดเชียงใหม่</t>
  </si>
  <si>
    <t>1500437056410A42</t>
  </si>
  <si>
    <t>งานปรับปรุงพื้นที่ ตามแบบมาตรฐาน โคก หนอง นาขนาด 1 ไร่ สำนักงานพัฒนาชุมชนอำเภอแม่วาง อำเภอแม่วาง จังหวัดเชียงใหม่</t>
  </si>
  <si>
    <t>1500437056410A43</t>
  </si>
  <si>
    <t>งานปรับปรุงพื้นที่ ตามแบบมาตรฐาน โคก หนอง นาขนาด 1 ไร่ สำนักงานพัฒนาชุมชนอำเภอแม่ออน อำเภอแม่ออน จังหวัดเชียงใหม่</t>
  </si>
  <si>
    <t>1500437056410A44</t>
  </si>
  <si>
    <t>งานปรับปรุงพื้นที่ ตามแบบมาตรฐาน โคก หนอง นาขนาด 1 ไร่ สำนักงานพัฒนาชุมชนอำเภอหางดง อำเภอหางดง จังหวัดเชียงใหม่</t>
  </si>
  <si>
    <t>1500437056410A45</t>
  </si>
  <si>
    <t>งานปรับปรุงพื้นที่ ตามแบบมาตรฐาน โคก หนอง นาขนาด 3 ไร่ สำนักงานพัฒนาชุมชนอำเภอพร้าว  อำเภอพร้าว จังหวัดเชียงใหม่</t>
  </si>
  <si>
    <t>1500437056410A46</t>
  </si>
  <si>
    <t>งานปรับปรุงพื้นที่ ตามแบบมาตรฐาน โคก หนอง นาขนาด 3 ไร่ สำนักงานพัฒนาชุมชนอำเภอดอยหล่อ  อำเภอดอยหล่อ จังหวัดเชียงใหม่</t>
  </si>
  <si>
    <t>1500437056410A47</t>
  </si>
  <si>
    <t>งานปรับปรุงพื้นที่ ตามแบบมาตรฐาน โคก หนอง นาขนาด 1 ไร่ สำนักงานพัฒนาชุมชนอำเภอแม่วงก์ อำเภอแม่วงก์ จังหวัดนครสวรรค์</t>
  </si>
  <si>
    <t>1500437056410A48</t>
  </si>
  <si>
    <t>งานปรับปรุงพื้นที่ ตามแบบมาตรฐาน โคก หนอง นาขนาด 3 ไร่ สำนักงานพัฒนาชุมชนอำเภอแม่วงก์ อำเภอแม่วงก์  จังหวัดนครสวรรค์</t>
  </si>
  <si>
    <t>1500437056410A49</t>
  </si>
  <si>
    <t>งานปรับปรุงพื้นที่ ตามแบบมาตรฐาน โคก หนอง นาขนาด 3 ไร่ สำนักงานพัฒนาชุมชนอำเภอแม่เปิน อำเภอแม่เปิน  จังหวัดนครสวรรค์</t>
  </si>
  <si>
    <t>1500437056410A50</t>
  </si>
  <si>
    <t>งานปรับปรุงพื้นที่ ตามแบบมาตรฐาน โคก หนอง นาขนาด 1 ไร่ สำนักงานพัฒนาชุมชนอำเภอเบตง  อำเภอเบตง จังหวัดยะลา</t>
  </si>
  <si>
    <t>1500437056410A51</t>
  </si>
  <si>
    <t>งานปรับปรุงพื้นที่ ตามแบบมาตรฐาน โคก หนอง นาขนาด 3 ไร่ สำนักงานพัฒนาชุมชนอำเภอบันนังสตา อำเภอบันนังสตา จังหวัดยะลา</t>
  </si>
  <si>
    <t>1500437056410A52</t>
  </si>
  <si>
    <t>1500437056410A53</t>
  </si>
  <si>
    <t>1500437056410A54</t>
  </si>
  <si>
    <t>1500437056410A56</t>
  </si>
  <si>
    <t>1500437056410A57</t>
  </si>
  <si>
    <t>1500437056410A58</t>
  </si>
  <si>
    <t>1500437056410A59</t>
  </si>
  <si>
    <t>1500437056410A60</t>
  </si>
  <si>
    <t xml:space="preserve"> </t>
  </si>
  <si>
    <t>ครุภัณฑ์สำนักงาน (เก้าอี้ 75 ตัว , โทรศัพท์สำนักงาน)</t>
  </si>
  <si>
    <t>1500437013110005</t>
  </si>
  <si>
    <t>ครุภัณฑ์คอมพิวเตอร์ จำนวน 4 รายการ</t>
  </si>
  <si>
    <t>1500437013110006</t>
  </si>
  <si>
    <t>ปรับปรุงสำนักงานพัฒนาชุมชนจังหวัดอ่างทอง  บอ.79 (ส่งคืน) (บอ.118)</t>
  </si>
  <si>
    <t>1500437056410193 บอ122</t>
  </si>
  <si>
    <t>1500437056410252 บอ 127</t>
  </si>
  <si>
    <t>1500437056410253บอ 127</t>
  </si>
  <si>
    <t>1500437056410332  บอ93 บอ122</t>
  </si>
  <si>
    <t>1500437056410486 บอ122</t>
  </si>
  <si>
    <t>1500437056410491 บอ122</t>
  </si>
  <si>
    <t>1500437056410644บอ 127</t>
  </si>
  <si>
    <t>1500437056410648 บอ 127</t>
  </si>
  <si>
    <t>1500437056410650 บอ 127</t>
  </si>
  <si>
    <t>1500437056410736  บอ92 บอ122</t>
  </si>
  <si>
    <t>งานปรับปรุงพื้นที่ ตามแบบมาตรฐาน โคก หนอง นาขนาด 3 ไร่ สำนักงานพัฒนาชุมชนอำเภอสิชล  อำเภอสิชล  จังหวัดนครศรีธรรมราช</t>
  </si>
  <si>
    <t>งานปรับปรุงพื้นที่ ตามแบบมาตรฐาน โคก หนอง นาขนาด 1 ไร่ สำนักงานพัฒนาชุมชนอำเภอจะแนะ  อำเภอจะแนะ  จังหวัดนราธิวาส</t>
  </si>
  <si>
    <t>งานปรับปรุงพื้นที่ ตามแบบมาตรฐาน โคก หนอง นาขนาด 1 ไร่ สำนักงานพัฒนาชุมชนอำเภอเจาะไอร้อง  อำเภอเจาะไอร้อง  จังหวัดนราธิวาส</t>
  </si>
  <si>
    <t>งานปรับปรุงพื้นที่ ตามแบบมาตรฐาน โคก หนอง นาขนาด 1 ไร่ สำนักงานพัฒนาชุมชนอำเภอยี่งอ   อำเภอยี่งอ  จังหวัดนราธิวาส</t>
  </si>
  <si>
    <t>งานปรับปรุงพื้นที่ ตามแบบมาตรฐาน โคก หนอง นาขนาด 1 ไร่ สำนักงานพัฒนาชุมชนอำเภอระแงะ  อำเภอระแงะ  จังหวัดนราธิวาส</t>
  </si>
  <si>
    <t>งานปรับปรุงพื้นที่ ตามแบบมาตรฐาน โคก หนอง นาขนาด 1 ไร่ สำนักงานพัฒนาชุมชนอำเภอสุไหงปาดี  อำเภอสุไหงปาดี  จังหวัดนราธิวาส</t>
  </si>
  <si>
    <t>งานปรับปรุงพื้นที่ ตามแบบมาตรฐาน โคก หนอง นาขนาด 3 ไร่ สำนักงานพัฒนาชุมชนอำเภอยี่งอ อำเภอยี่งอ จังหวัดนราธิวาส</t>
  </si>
  <si>
    <t>งานปรับปรุงพื้นที่ ตามแบบมาตรฐาน โคก หนอง นาขนาด 3 ไร่ สำนักงานพัฒนาชุมชนอำเภอรือเสาะ อำเภอรือเสาะ จังหวัดนราธิวาส</t>
  </si>
  <si>
    <t>งานปรับปรุงพื้นที่ ตามแบบมาตรฐาน โคก หนอง นาขนาด 3 ไร่ สำนักงานพัฒนาชุมชนอำเภอสุไหงโก-ลก   อำเภอสุไหงโก-ลก  จังหวัดนราธิวาส</t>
  </si>
  <si>
    <t>1500437056410A61</t>
  </si>
  <si>
    <t>งานปรับปรุงพื้นที่ ตามแบบมาตรฐาน โคก หนอง นาขนาด 3 ไร่ สำนักงานพัฒนาชุมชนอำเภอบาเจาะ   อำเภอบาเจาะ  จังหวัดนราธิวาส</t>
  </si>
  <si>
    <t>1500437056410A62</t>
  </si>
  <si>
    <t>New</t>
  </si>
  <si>
    <t>15004370013003110001</t>
  </si>
  <si>
    <t>15004370013003120001</t>
  </si>
  <si>
    <t>15004370013003120002</t>
  </si>
  <si>
    <t>15004370013003210005</t>
  </si>
  <si>
    <t>15004370013003210037</t>
  </si>
  <si>
    <t>15004370013003210038</t>
  </si>
  <si>
    <t>15004370013003210040</t>
  </si>
  <si>
    <t>15004370013003210042</t>
  </si>
  <si>
    <t>15004370013003210046</t>
  </si>
  <si>
    <t>15004370013003210047</t>
  </si>
  <si>
    <t>15004370013003220001</t>
  </si>
  <si>
    <t>15004370013003220002</t>
  </si>
  <si>
    <t>15004370013003220003</t>
  </si>
  <si>
    <t>15004370013003210001</t>
  </si>
  <si>
    <t>15004370013003210002</t>
  </si>
  <si>
    <t>15004370013003210061</t>
  </si>
  <si>
    <t>15004370013003210006</t>
  </si>
  <si>
    <t>15004370013003210007</t>
  </si>
  <si>
    <t>15004370013003210003</t>
  </si>
  <si>
    <t>15004370013003210004</t>
  </si>
  <si>
    <t>15004370013003210039</t>
  </si>
  <si>
    <t>15004370013003210057</t>
  </si>
  <si>
    <t>15004370013003210020</t>
  </si>
  <si>
    <t>15004370013003210021</t>
  </si>
  <si>
    <t>15004370013003210022</t>
  </si>
  <si>
    <t>15004370013003210041</t>
  </si>
  <si>
    <t>15004370013003210058</t>
  </si>
  <si>
    <t>ก่อสร้างบ้านพักพัฒนาการจังหวัดบึงกาฬ สำนักงานพัฒนาชุมชนจังหวัดบึงกาฬ บอ.79 (ส่งคืน)</t>
  </si>
  <si>
    <t>15004370013003210011</t>
  </si>
  <si>
    <t>15004370013003210012</t>
  </si>
  <si>
    <t>15004370013003210013</t>
  </si>
  <si>
    <t>15004370013003210014</t>
  </si>
  <si>
    <t>15004370013003210033</t>
  </si>
  <si>
    <t>15004370013003210016</t>
  </si>
  <si>
    <t>15004370013003210017</t>
  </si>
  <si>
    <t>15004370013003210023</t>
  </si>
  <si>
    <t>15004370013003210024</t>
  </si>
  <si>
    <t>15004370013003210025</t>
  </si>
  <si>
    <t>15004370013003210026</t>
  </si>
  <si>
    <t>15004370013003210028</t>
  </si>
  <si>
    <t>15004370013003210029</t>
  </si>
  <si>
    <t>15004370013003210030</t>
  </si>
  <si>
    <t>15004370013003210031</t>
  </si>
  <si>
    <t>15004370013003210032</t>
  </si>
  <si>
    <t>15004370013003210034</t>
  </si>
  <si>
    <t>15004370013003210035</t>
  </si>
  <si>
    <t>15004370013003210010</t>
  </si>
  <si>
    <t>15004370013003210043</t>
  </si>
  <si>
    <t>15004370013003210036</t>
  </si>
  <si>
    <t>15004370013003210009</t>
  </si>
  <si>
    <t>15004370013003210062</t>
  </si>
  <si>
    <t>15004370013003210044</t>
  </si>
  <si>
    <t>15004370013003210049</t>
  </si>
  <si>
    <t>15004370013003210050</t>
  </si>
  <si>
    <t>15004370013003210051</t>
  </si>
  <si>
    <t>15004370013003210059</t>
  </si>
  <si>
    <t>15004370013003210060</t>
  </si>
  <si>
    <t>15004370013003210048</t>
  </si>
  <si>
    <t>15004370013003210054</t>
  </si>
  <si>
    <t>15004370013003210055</t>
  </si>
  <si>
    <t>15004370013003210056</t>
  </si>
  <si>
    <t>15004370013003210045</t>
  </si>
  <si>
    <t>15004370013003210063</t>
  </si>
  <si>
    <t>15004370013003210064</t>
  </si>
  <si>
    <t>15004370056003210001</t>
  </si>
  <si>
    <t>15004370056003210002</t>
  </si>
  <si>
    <t>15004370056003210003</t>
  </si>
  <si>
    <t>15004370056003210004</t>
  </si>
  <si>
    <t>15004370056003210006</t>
  </si>
  <si>
    <t>15004370056003210007</t>
  </si>
  <si>
    <t>15004370056003210008</t>
  </si>
  <si>
    <t>15004370056003210009</t>
  </si>
  <si>
    <t>15004370056003210010</t>
  </si>
  <si>
    <t>15004370056003210012</t>
  </si>
  <si>
    <t>15004370056003210013</t>
  </si>
  <si>
    <t>15004370056003210014</t>
  </si>
  <si>
    <t>15004370056003210015</t>
  </si>
  <si>
    <t>15004370056003210016</t>
  </si>
  <si>
    <t>15004370056003210017</t>
  </si>
  <si>
    <t>15004370056003210018</t>
  </si>
  <si>
    <t>15004370056003210019</t>
  </si>
  <si>
    <t>15004370056003210020</t>
  </si>
  <si>
    <t>15004370056003210021</t>
  </si>
  <si>
    <t>15004370056003210022</t>
  </si>
  <si>
    <t>15004370056003210023</t>
  </si>
  <si>
    <t>15004370056003210024</t>
  </si>
  <si>
    <t>15004370056003210025</t>
  </si>
  <si>
    <t>15004370056003210026</t>
  </si>
  <si>
    <t>15004370056003210028</t>
  </si>
  <si>
    <t>15004370056003210029</t>
  </si>
  <si>
    <t>15004370056003210030</t>
  </si>
  <si>
    <t>15004370056003210031</t>
  </si>
  <si>
    <t>15004370056003210032</t>
  </si>
  <si>
    <t>15004370056003210033</t>
  </si>
  <si>
    <t>15004370056003210034</t>
  </si>
  <si>
    <t>15004370056003210035</t>
  </si>
  <si>
    <t>15004370056003210036</t>
  </si>
  <si>
    <t>15004370056003210037</t>
  </si>
  <si>
    <t>15004370056003210038</t>
  </si>
  <si>
    <t>15004370056003210039</t>
  </si>
  <si>
    <t>15004370056003210040</t>
  </si>
  <si>
    <t>15004370056003210041</t>
  </si>
  <si>
    <t>15004370056003210042</t>
  </si>
  <si>
    <t>15004370056003210043</t>
  </si>
  <si>
    <t>15004370056003210044</t>
  </si>
  <si>
    <t>15004370056003210045</t>
  </si>
  <si>
    <t>15004370056003210046</t>
  </si>
  <si>
    <t>15004370056003210047</t>
  </si>
  <si>
    <t>15004370056003210048</t>
  </si>
  <si>
    <t>15004370056003210049</t>
  </si>
  <si>
    <t>15004370056003210050</t>
  </si>
  <si>
    <t>15004370056003210051</t>
  </si>
  <si>
    <t>15004370056003210052</t>
  </si>
  <si>
    <t>15004370056003210053</t>
  </si>
  <si>
    <t>15004370056003210054</t>
  </si>
  <si>
    <t>15004370056003210055</t>
  </si>
  <si>
    <t>15004370056003210056</t>
  </si>
  <si>
    <t>15004370056003210057</t>
  </si>
  <si>
    <t>15004370056003210058</t>
  </si>
  <si>
    <t>15004370056003210059</t>
  </si>
  <si>
    <t>15004370056003210060</t>
  </si>
  <si>
    <t>15004370056003210061</t>
  </si>
  <si>
    <t>15004370056003210062</t>
  </si>
  <si>
    <t>15004370056003210063</t>
  </si>
  <si>
    <t>15004370056003210064</t>
  </si>
  <si>
    <t>15004370056003210066</t>
  </si>
  <si>
    <t>15004370056003210067</t>
  </si>
  <si>
    <t>15004370056003210068</t>
  </si>
  <si>
    <t>15004370056003210069</t>
  </si>
  <si>
    <t>15004370056003210070</t>
  </si>
  <si>
    <t>15004370056003210071</t>
  </si>
  <si>
    <t>15004370056003210072</t>
  </si>
  <si>
    <t>15004370056003210073</t>
  </si>
  <si>
    <t>15004370056003210074</t>
  </si>
  <si>
    <t>15004370056003210075</t>
  </si>
  <si>
    <t>15004370056003210076</t>
  </si>
  <si>
    <t>15004370056003210077</t>
  </si>
  <si>
    <t>15004370056003210078</t>
  </si>
  <si>
    <t>15004370056003210079</t>
  </si>
  <si>
    <t>15004370056003210080</t>
  </si>
  <si>
    <t>15004370056003210081</t>
  </si>
  <si>
    <t>15004370056003210082</t>
  </si>
  <si>
    <t>15004370056003210083</t>
  </si>
  <si>
    <t>15004370056003210084</t>
  </si>
  <si>
    <t>15004370056003210085</t>
  </si>
  <si>
    <t>15004370056003210086</t>
  </si>
  <si>
    <t>15004370056003210087</t>
  </si>
  <si>
    <t>15004370056003210088</t>
  </si>
  <si>
    <t>15004370056003210089</t>
  </si>
  <si>
    <t>15004370056003210090</t>
  </si>
  <si>
    <t>15004370056003210091</t>
  </si>
  <si>
    <t>15004370056003210092</t>
  </si>
  <si>
    <t>15004370056003210093</t>
  </si>
  <si>
    <t>15004370056003210094</t>
  </si>
  <si>
    <t>15004370056003210095</t>
  </si>
  <si>
    <t>15004370056003210096</t>
  </si>
  <si>
    <t>15004370056003210097</t>
  </si>
  <si>
    <t>15004370056003210098</t>
  </si>
  <si>
    <t>15004370056003210099</t>
  </si>
  <si>
    <t>15004370056003210100</t>
  </si>
  <si>
    <t>15004370056003210101</t>
  </si>
  <si>
    <t>15004370056003210102</t>
  </si>
  <si>
    <t>15004370056003210103</t>
  </si>
  <si>
    <t>15004370056003210104</t>
  </si>
  <si>
    <t>15004370056003210105</t>
  </si>
  <si>
    <t>15004370056003210106</t>
  </si>
  <si>
    <t>15004370056003210107</t>
  </si>
  <si>
    <t>15004370056003210108</t>
  </si>
  <si>
    <t>15004370056003210109</t>
  </si>
  <si>
    <t>15004370056003210110</t>
  </si>
  <si>
    <t>15004370056003210111</t>
  </si>
  <si>
    <t>15004370056003210112</t>
  </si>
  <si>
    <t>15004370056003210113</t>
  </si>
  <si>
    <t>15004370056003210114</t>
  </si>
  <si>
    <t>15004370056003210115</t>
  </si>
  <si>
    <t>15004370056003210116</t>
  </si>
  <si>
    <t>15004370056003210117</t>
  </si>
  <si>
    <t>15004370056003210118</t>
  </si>
  <si>
    <t>15004370056003210119</t>
  </si>
  <si>
    <t>15004370056003210120</t>
  </si>
  <si>
    <t>15004370056003210121</t>
  </si>
  <si>
    <t>15004370056003210122</t>
  </si>
  <si>
    <t>15004370056003210123</t>
  </si>
  <si>
    <t>15004370056003210124</t>
  </si>
  <si>
    <t>15004370056003210125</t>
  </si>
  <si>
    <t>15004370056003210126</t>
  </si>
  <si>
    <t>15004370056003210127</t>
  </si>
  <si>
    <t>15004370056003210128</t>
  </si>
  <si>
    <t>15004370056003210129</t>
  </si>
  <si>
    <t>15004370056003210130</t>
  </si>
  <si>
    <t>15004370056003210131</t>
  </si>
  <si>
    <t>15004370056003210132</t>
  </si>
  <si>
    <t>15004370056003210133</t>
  </si>
  <si>
    <t>15004370056003210134</t>
  </si>
  <si>
    <t>15004370056003210135</t>
  </si>
  <si>
    <t>15004370056003210136</t>
  </si>
  <si>
    <t>15004370056003210137</t>
  </si>
  <si>
    <t>15004370056003210138</t>
  </si>
  <si>
    <t>15004370056003210139</t>
  </si>
  <si>
    <t>15004370056003210140</t>
  </si>
  <si>
    <t>15004370056003210143</t>
  </si>
  <si>
    <t>1500437056410143   บอ93  บอ.136</t>
  </si>
  <si>
    <t>15004370056003210144</t>
  </si>
  <si>
    <t>15004370056003210145</t>
  </si>
  <si>
    <t>15004370056003210146</t>
  </si>
  <si>
    <t>15004370056003210147</t>
  </si>
  <si>
    <t>15004370056003210148</t>
  </si>
  <si>
    <t>15004370056003210154</t>
  </si>
  <si>
    <t>15004370056003210155</t>
  </si>
  <si>
    <t>15004370056003210156</t>
  </si>
  <si>
    <t>15004370056003210157</t>
  </si>
  <si>
    <t>15004370056003210158</t>
  </si>
  <si>
    <t>15004370056003210159</t>
  </si>
  <si>
    <t>15004370056003210160</t>
  </si>
  <si>
    <t>15004370056003210161</t>
  </si>
  <si>
    <t>15004370056003210162</t>
  </si>
  <si>
    <t>15004370056003210163</t>
  </si>
  <si>
    <t>15004370056003210164</t>
  </si>
  <si>
    <t>15004370056003210166</t>
  </si>
  <si>
    <t>15004370056003210167</t>
  </si>
  <si>
    <t>15004370056003210168</t>
  </si>
  <si>
    <t>15004370056003210169</t>
  </si>
  <si>
    <t>15004370056003210170</t>
  </si>
  <si>
    <t>15004370056003210171</t>
  </si>
  <si>
    <t>15004370056003210172</t>
  </si>
  <si>
    <t>15004370056003210173</t>
  </si>
  <si>
    <t>15004370056003210174</t>
  </si>
  <si>
    <t>15004370056003210175</t>
  </si>
  <si>
    <t>15004370056003210176</t>
  </si>
  <si>
    <t>15004370056003210177</t>
  </si>
  <si>
    <t>15004370056003210178</t>
  </si>
  <si>
    <t>15004370056003210179</t>
  </si>
  <si>
    <t>15004370056003210180</t>
  </si>
  <si>
    <t>15004370056003210181</t>
  </si>
  <si>
    <t>15004370056003210182</t>
  </si>
  <si>
    <t>15004370056003210183</t>
  </si>
  <si>
    <t>15004370056003210184</t>
  </si>
  <si>
    <t>15004370056003210185</t>
  </si>
  <si>
    <t>15004370056003210186</t>
  </si>
  <si>
    <t>15004370056003210187</t>
  </si>
  <si>
    <t>15004370056003210188</t>
  </si>
  <si>
    <t>15004370056003210189</t>
  </si>
  <si>
    <t>15004370056003210190</t>
  </si>
  <si>
    <t>15004370056003210191</t>
  </si>
  <si>
    <t>15004370056003210193</t>
  </si>
  <si>
    <t>15004370056003210195</t>
  </si>
  <si>
    <t>15004370056003210196</t>
  </si>
  <si>
    <t>15004370056003210197</t>
  </si>
  <si>
    <t>15004370056003210198</t>
  </si>
  <si>
    <t>15004370056003210199</t>
  </si>
  <si>
    <t>15004370056003210200</t>
  </si>
  <si>
    <t>15004370056003210201</t>
  </si>
  <si>
    <t>15004370056003210202</t>
  </si>
  <si>
    <t>15004370056003210203</t>
  </si>
  <si>
    <t>15004370056003210204</t>
  </si>
  <si>
    <t>15004370056003210205</t>
  </si>
  <si>
    <t>15004370056003210206</t>
  </si>
  <si>
    <t>15004370056003210207</t>
  </si>
  <si>
    <t>15004370056003210208</t>
  </si>
  <si>
    <t>15004370056003210209</t>
  </si>
  <si>
    <t>15004370056003210210</t>
  </si>
  <si>
    <t>15004370056003210211</t>
  </si>
  <si>
    <t>15004370056003210212</t>
  </si>
  <si>
    <t>15004370056003210213</t>
  </si>
  <si>
    <t>15004370056003210214</t>
  </si>
  <si>
    <t>15004370056003210215</t>
  </si>
  <si>
    <t>15004370056003210216</t>
  </si>
  <si>
    <t>15004370056003210217</t>
  </si>
  <si>
    <t>15004370056003210218</t>
  </si>
  <si>
    <t>15004370056003210219</t>
  </si>
  <si>
    <t>15004370056003210220</t>
  </si>
  <si>
    <t>15004370056003210222</t>
  </si>
  <si>
    <t>15004370056003210223</t>
  </si>
  <si>
    <t>15004370056003210224</t>
  </si>
  <si>
    <t>15004370056003210225</t>
  </si>
  <si>
    <t>15004370056003210226</t>
  </si>
  <si>
    <t>15004370056003210227</t>
  </si>
  <si>
    <t>15004370056003210228</t>
  </si>
  <si>
    <t>15004370056003210229</t>
  </si>
  <si>
    <t>15004370056003210230</t>
  </si>
  <si>
    <t>15004370056003210231</t>
  </si>
  <si>
    <t>15004370056003210232</t>
  </si>
  <si>
    <t>15004370056003210234</t>
  </si>
  <si>
    <t>15004370056003210235</t>
  </si>
  <si>
    <t>15004370056003210236</t>
  </si>
  <si>
    <t>15004370056003210237</t>
  </si>
  <si>
    <t>15004370056003210238</t>
  </si>
  <si>
    <t>15004370056003210239</t>
  </si>
  <si>
    <t>15004370056003210240</t>
  </si>
  <si>
    <t>15004370056003210241</t>
  </si>
  <si>
    <t>15004370056003210244</t>
  </si>
  <si>
    <t>15004370056003210245</t>
  </si>
  <si>
    <t>15004370056003210246</t>
  </si>
  <si>
    <t>15004370056003210247</t>
  </si>
  <si>
    <t>15004370056003210248</t>
  </si>
  <si>
    <t>15004370056003210249</t>
  </si>
  <si>
    <t>15004370056003210250</t>
  </si>
  <si>
    <t>15004370056003210251</t>
  </si>
  <si>
    <t>15004370056003210252</t>
  </si>
  <si>
    <t>15004370056003210253</t>
  </si>
  <si>
    <t>15004370056003210254</t>
  </si>
  <si>
    <t>15004370056003210255</t>
  </si>
  <si>
    <t>15004370056003210256</t>
  </si>
  <si>
    <t>15004370056003210257</t>
  </si>
  <si>
    <t>15004370056003210258</t>
  </si>
  <si>
    <t>15004370056003210259</t>
  </si>
  <si>
    <t>15004370056003210260</t>
  </si>
  <si>
    <t>15004370056003210261</t>
  </si>
  <si>
    <t>15004370056003210262</t>
  </si>
  <si>
    <t>15004370056003210263</t>
  </si>
  <si>
    <t>15004370056003210265</t>
  </si>
  <si>
    <t>15004370056003210266</t>
  </si>
  <si>
    <t>15004370056003210267</t>
  </si>
  <si>
    <t>15004370056003210268</t>
  </si>
  <si>
    <t>15004370056003210269</t>
  </si>
  <si>
    <t>15004370056003210270</t>
  </si>
  <si>
    <t>15004370056003210271</t>
  </si>
  <si>
    <t>15004370056003210272</t>
  </si>
  <si>
    <t>15004370056003210273</t>
  </si>
  <si>
    <t>15004370056003210274</t>
  </si>
  <si>
    <t>15004370056003210275</t>
  </si>
  <si>
    <t>15004370056003210276</t>
  </si>
  <si>
    <t>15004370056003210277</t>
  </si>
  <si>
    <t>15004370056003210278</t>
  </si>
  <si>
    <t>15004370056003210279</t>
  </si>
  <si>
    <t>15004370056003210280</t>
  </si>
  <si>
    <t>15004370056003210281</t>
  </si>
  <si>
    <t>15004370056003210282</t>
  </si>
  <si>
    <t>15004370056003210283</t>
  </si>
  <si>
    <t>15004370056003210285</t>
  </si>
  <si>
    <t>15004370056003210286</t>
  </si>
  <si>
    <t>15004370056003210287</t>
  </si>
  <si>
    <t>15004370056003210288</t>
  </si>
  <si>
    <t>15004370056003210289</t>
  </si>
  <si>
    <t>15004370056003210290</t>
  </si>
  <si>
    <t>15004370056003210291</t>
  </si>
  <si>
    <t>15004370056003210292</t>
  </si>
  <si>
    <t>15004370056003210293</t>
  </si>
  <si>
    <t>15004370056003210294</t>
  </si>
  <si>
    <t>15004370056003210295</t>
  </si>
  <si>
    <t>15004370056003210296</t>
  </si>
  <si>
    <t>15004370056003210297</t>
  </si>
  <si>
    <t>15004370056003210298</t>
  </si>
  <si>
    <t>15004370056003210299</t>
  </si>
  <si>
    <t>15004370056003210300</t>
  </si>
  <si>
    <t>15004370056003210301</t>
  </si>
  <si>
    <t>15004370056003210302</t>
  </si>
  <si>
    <t>15004370056003210303</t>
  </si>
  <si>
    <t>15004370056003210304</t>
  </si>
  <si>
    <t>15004370056003210305</t>
  </si>
  <si>
    <t>15004370056003210306</t>
  </si>
  <si>
    <t>15004370056003210307</t>
  </si>
  <si>
    <t>15004370056003210308</t>
  </si>
  <si>
    <t>15004370056003210309</t>
  </si>
  <si>
    <t>15004370056003210310</t>
  </si>
  <si>
    <t>15004370056003210311</t>
  </si>
  <si>
    <t>15004370056003210312</t>
  </si>
  <si>
    <t>15004370056003210313</t>
  </si>
  <si>
    <t>15004370056003210314</t>
  </si>
  <si>
    <t>15004370056003210315</t>
  </si>
  <si>
    <t>15004370056003210316</t>
  </si>
  <si>
    <t>15004370056003210317</t>
  </si>
  <si>
    <t>15004370056003210318</t>
  </si>
  <si>
    <t>15004370056003210319</t>
  </si>
  <si>
    <t>15004370056003210320</t>
  </si>
  <si>
    <t>15004370056003210321</t>
  </si>
  <si>
    <t>15004370056003210322</t>
  </si>
  <si>
    <t>15004370056003210323</t>
  </si>
  <si>
    <t>15004370056003210325</t>
  </si>
  <si>
    <t>15004370056003210326</t>
  </si>
  <si>
    <t>15004370056003210327</t>
  </si>
  <si>
    <t>15004370056003210328</t>
  </si>
  <si>
    <t>15004370056003210329</t>
  </si>
  <si>
    <t>15004370056003210331</t>
  </si>
  <si>
    <t>15004370056003210332</t>
  </si>
  <si>
    <t>15004370056003210333</t>
  </si>
  <si>
    <t>15004370056003210334</t>
  </si>
  <si>
    <t>15004370056003210335</t>
  </si>
  <si>
    <t>15004370056003210336</t>
  </si>
  <si>
    <t>15004370056003210337</t>
  </si>
  <si>
    <t>15004370056003210338</t>
  </si>
  <si>
    <t>15004370056003210339</t>
  </si>
  <si>
    <t>15004370056003210340</t>
  </si>
  <si>
    <t>15004370056003210341</t>
  </si>
  <si>
    <t>15004370056003210342</t>
  </si>
  <si>
    <t>15004370056003210343</t>
  </si>
  <si>
    <t>15004370056003210344</t>
  </si>
  <si>
    <t>15004370056003210345</t>
  </si>
  <si>
    <t>15004370056003210346</t>
  </si>
  <si>
    <t>15004370056003210347</t>
  </si>
  <si>
    <t>15004370056003210348</t>
  </si>
  <si>
    <t>15004370056003210349</t>
  </si>
  <si>
    <t>15004370056003210350</t>
  </si>
  <si>
    <t>15004370056003210351</t>
  </si>
  <si>
    <t>15004370056003210353</t>
  </si>
  <si>
    <t>15004370056003210354</t>
  </si>
  <si>
    <t>15004370056003210355</t>
  </si>
  <si>
    <t>15004370056003210356</t>
  </si>
  <si>
    <t>15004370056003210357</t>
  </si>
  <si>
    <t>15004370056003210358</t>
  </si>
  <si>
    <t>15004370056003210359</t>
  </si>
  <si>
    <t>15004370056003210360</t>
  </si>
  <si>
    <t>15004370056003210361</t>
  </si>
  <si>
    <t>15004370056003210362</t>
  </si>
  <si>
    <t>15004370056003210363</t>
  </si>
  <si>
    <t>15004370056003210364</t>
  </si>
  <si>
    <t>15004370056003210367</t>
  </si>
  <si>
    <t>15004370056003210368</t>
  </si>
  <si>
    <t>15004370056003210369</t>
  </si>
  <si>
    <t>15004370056003210370</t>
  </si>
  <si>
    <t>15004370056003210371</t>
  </si>
  <si>
    <t>15004370056003210372</t>
  </si>
  <si>
    <t>15004370056003210373</t>
  </si>
  <si>
    <t>15004370056003210374</t>
  </si>
  <si>
    <t>15004370056003210375</t>
  </si>
  <si>
    <t>15004370056003210376</t>
  </si>
  <si>
    <t>15004370056003210377</t>
  </si>
  <si>
    <t>15004370056003210378</t>
  </si>
  <si>
    <t>15004370056003210379</t>
  </si>
  <si>
    <t>15004370056003210380</t>
  </si>
  <si>
    <t>15004370056003210381</t>
  </si>
  <si>
    <t>15004370056003210382</t>
  </si>
  <si>
    <t>15004370056003210383</t>
  </si>
  <si>
    <t>15004370056003210384</t>
  </si>
  <si>
    <t>15004370056003210385</t>
  </si>
  <si>
    <t>15004370056003210386</t>
  </si>
  <si>
    <t>15004370056003210387</t>
  </si>
  <si>
    <t>15004370056003210388</t>
  </si>
  <si>
    <t>15004370056003210389</t>
  </si>
  <si>
    <t>15004370056003210390</t>
  </si>
  <si>
    <t>15004370056003210391</t>
  </si>
  <si>
    <t>15004370056003210392</t>
  </si>
  <si>
    <t>15004370056003210393</t>
  </si>
  <si>
    <t>15004370056003210394</t>
  </si>
  <si>
    <t>15004370056003210395</t>
  </si>
  <si>
    <t>15004370056003210396</t>
  </si>
  <si>
    <t>15004370056003210397</t>
  </si>
  <si>
    <t>15004370056003210398</t>
  </si>
  <si>
    <t>15004370056003210399</t>
  </si>
  <si>
    <t>15004370056003210400</t>
  </si>
  <si>
    <t>15004370056003210401</t>
  </si>
  <si>
    <t>15004370056003210402</t>
  </si>
  <si>
    <t>15004370056003210403</t>
  </si>
  <si>
    <t>15004370056003210405</t>
  </si>
  <si>
    <t>15004370056003210406</t>
  </si>
  <si>
    <t>15004370056003210407</t>
  </si>
  <si>
    <t>15004370056003210408</t>
  </si>
  <si>
    <t>15004370056003210409</t>
  </si>
  <si>
    <t>15004370056003210410</t>
  </si>
  <si>
    <t>15004370056003210411</t>
  </si>
  <si>
    <t>15004370056003210412</t>
  </si>
  <si>
    <t>15004370056003210413</t>
  </si>
  <si>
    <t>15004370056003210414</t>
  </si>
  <si>
    <t>15004370056003210415</t>
  </si>
  <si>
    <t>15004370056003210416</t>
  </si>
  <si>
    <t>15004370056003210417</t>
  </si>
  <si>
    <t>15004370056003210418</t>
  </si>
  <si>
    <t>15004370056003210419</t>
  </si>
  <si>
    <t>15004370056003210420</t>
  </si>
  <si>
    <t>15004370056003210421</t>
  </si>
  <si>
    <t>15004370056003210422</t>
  </si>
  <si>
    <t>15004370056003210423</t>
  </si>
  <si>
    <t>15004370056003210424</t>
  </si>
  <si>
    <t>15004370056003210425</t>
  </si>
  <si>
    <t>15004370056003210426</t>
  </si>
  <si>
    <t>15004370056003210427</t>
  </si>
  <si>
    <t>15004370056003210428</t>
  </si>
  <si>
    <t>15004370056003210429</t>
  </si>
  <si>
    <t>15004370056003210430</t>
  </si>
  <si>
    <t>15004370056003210431</t>
  </si>
  <si>
    <t>15004370056003210432</t>
  </si>
  <si>
    <t>15004370056003210433</t>
  </si>
  <si>
    <t>15004370056003210434</t>
  </si>
  <si>
    <t>15004370056003210435</t>
  </si>
  <si>
    <t>15004370056003210436</t>
  </si>
  <si>
    <t>15004370056003210437</t>
  </si>
  <si>
    <t>15004370056003210438</t>
  </si>
  <si>
    <t>15004370056003210439</t>
  </si>
  <si>
    <t>15004370056003210441</t>
  </si>
  <si>
    <t>15004370056003210442</t>
  </si>
  <si>
    <t>15004370056003210443</t>
  </si>
  <si>
    <t>15004370056003210444</t>
  </si>
  <si>
    <t>15004370056003210445</t>
  </si>
  <si>
    <t>15004370056003210446</t>
  </si>
  <si>
    <t>15004370056003210447</t>
  </si>
  <si>
    <t>15004370056003210448</t>
  </si>
  <si>
    <t>15004370056003210449</t>
  </si>
  <si>
    <t>15004370056003210450</t>
  </si>
  <si>
    <t>15004370056003210451</t>
  </si>
  <si>
    <t>15004370056003210452</t>
  </si>
  <si>
    <t>15004370056003210453</t>
  </si>
  <si>
    <t>15004370056003210454</t>
  </si>
  <si>
    <t>15004370056003210455</t>
  </si>
  <si>
    <t>15004370056003210456</t>
  </si>
  <si>
    <t>15004370056003210457</t>
  </si>
  <si>
    <t>15004370056003210458</t>
  </si>
  <si>
    <t>15004370056003210459</t>
  </si>
  <si>
    <t>15004370056003210460</t>
  </si>
  <si>
    <t>15004370056003210461</t>
  </si>
  <si>
    <t>15004370056003210462</t>
  </si>
  <si>
    <t>15004370056003210463</t>
  </si>
  <si>
    <t>15004370056003210464</t>
  </si>
  <si>
    <t>15004370056003210465</t>
  </si>
  <si>
    <t>15004370056003210466</t>
  </si>
  <si>
    <t>15004370056003210467</t>
  </si>
  <si>
    <t>15004370056003210468</t>
  </si>
  <si>
    <t>15004370056003210469</t>
  </si>
  <si>
    <t>15004370056003210470</t>
  </si>
  <si>
    <t>15004370056003210471</t>
  </si>
  <si>
    <t>15004370056003210472</t>
  </si>
  <si>
    <t>15004370056003210473</t>
  </si>
  <si>
    <t>15004370056003210475</t>
  </si>
  <si>
    <t>15004370056003210476</t>
  </si>
  <si>
    <t>15004370056003210477</t>
  </si>
  <si>
    <t>15004370056003210478</t>
  </si>
  <si>
    <t>15004370056003210479</t>
  </si>
  <si>
    <t>15004370056003210480</t>
  </si>
  <si>
    <t>15004370056003210481</t>
  </si>
  <si>
    <t>15004370056003210482</t>
  </si>
  <si>
    <t>15004370056003210483</t>
  </si>
  <si>
    <t>15004370056003210484</t>
  </si>
  <si>
    <t>15004370056003210485</t>
  </si>
  <si>
    <t>15004370056003210486</t>
  </si>
  <si>
    <t>15004370056003210487</t>
  </si>
  <si>
    <t>15004370056003210488</t>
  </si>
  <si>
    <t>15004370056003210489</t>
  </si>
  <si>
    <t>15004370056003210490</t>
  </si>
  <si>
    <t>15004370056003210491</t>
  </si>
  <si>
    <t>15004370056003210492</t>
  </si>
  <si>
    <t>15004370056003210493</t>
  </si>
  <si>
    <t>15004370056003210494</t>
  </si>
  <si>
    <t>15004370056003210495</t>
  </si>
  <si>
    <t>15004370056003210496</t>
  </si>
  <si>
    <t>15004370056003210497</t>
  </si>
  <si>
    <t>15004370056003210498</t>
  </si>
  <si>
    <t>15004370056003210499</t>
  </si>
  <si>
    <t>15004370056003210501</t>
  </si>
  <si>
    <t>1500437056410501  บอ93  บอ.136</t>
  </si>
  <si>
    <t>15004370056003210502</t>
  </si>
  <si>
    <t>15004370056003210503</t>
  </si>
  <si>
    <t>15004370056003210504</t>
  </si>
  <si>
    <t>15004370056003210505</t>
  </si>
  <si>
    <t>15004370056003210506</t>
  </si>
  <si>
    <t>15004370056003210507</t>
  </si>
  <si>
    <t>15004370056003210513</t>
  </si>
  <si>
    <t>15004370056003210514</t>
  </si>
  <si>
    <t>15004370056003210515</t>
  </si>
  <si>
    <t>15004370056003210516</t>
  </si>
  <si>
    <t>15004370056003210517</t>
  </si>
  <si>
    <t>15004370056003210518</t>
  </si>
  <si>
    <t>15004370056003210519</t>
  </si>
  <si>
    <t>15004370056003210521</t>
  </si>
  <si>
    <t>15004370056003210522</t>
  </si>
  <si>
    <t>15004370056003210523</t>
  </si>
  <si>
    <t>15004370056003210524</t>
  </si>
  <si>
    <t>15004370056003210525</t>
  </si>
  <si>
    <t>15004370056003210526</t>
  </si>
  <si>
    <t>15004370056003210527</t>
  </si>
  <si>
    <t>15004370056003210528</t>
  </si>
  <si>
    <t>15004370056003210529</t>
  </si>
  <si>
    <t>15004370056003210530</t>
  </si>
  <si>
    <t>15004370056003210531</t>
  </si>
  <si>
    <t>15004370056003210532</t>
  </si>
  <si>
    <t>15004370056003210533</t>
  </si>
  <si>
    <t>15004370056003210534</t>
  </si>
  <si>
    <t>15004370056003210535</t>
  </si>
  <si>
    <t>15004370056003210536</t>
  </si>
  <si>
    <t>15004370056003210537</t>
  </si>
  <si>
    <t>15004370056003210538</t>
  </si>
  <si>
    <t>15004370056003210539</t>
  </si>
  <si>
    <t>15004370056003210540</t>
  </si>
  <si>
    <t>15004370056003210541</t>
  </si>
  <si>
    <t>15004370056003210542</t>
  </si>
  <si>
    <t>15004370056003210543</t>
  </si>
  <si>
    <t>15004370056003210544</t>
  </si>
  <si>
    <t>15004370056003210545</t>
  </si>
  <si>
    <t>15004370056003210546</t>
  </si>
  <si>
    <t>15004370056003210547</t>
  </si>
  <si>
    <t>15004370056003210549</t>
  </si>
  <si>
    <t>15004370056003210550</t>
  </si>
  <si>
    <t>15004370056003210551</t>
  </si>
  <si>
    <t>15004370056003210552</t>
  </si>
  <si>
    <t>15004370056003210553</t>
  </si>
  <si>
    <t>15004370056003210554</t>
  </si>
  <si>
    <t>15004370056003210555</t>
  </si>
  <si>
    <t>15004370056003210556</t>
  </si>
  <si>
    <t>15004370056003210557</t>
  </si>
  <si>
    <t>15004370056003210558</t>
  </si>
  <si>
    <t>15004370056003210559</t>
  </si>
  <si>
    <t>15004370056003210560</t>
  </si>
  <si>
    <t>15004370056003210561</t>
  </si>
  <si>
    <t>15004370056003210562</t>
  </si>
  <si>
    <t>15004370056003210563</t>
  </si>
  <si>
    <t>15004370056003210564</t>
  </si>
  <si>
    <t>15004370056003210565</t>
  </si>
  <si>
    <t>15004370056003210566</t>
  </si>
  <si>
    <t>15004370056003210567</t>
  </si>
  <si>
    <t>15004370056003210568</t>
  </si>
  <si>
    <t>15004370056003210569</t>
  </si>
  <si>
    <t>15004370056003210570</t>
  </si>
  <si>
    <t>15004370056003210571</t>
  </si>
  <si>
    <t>15004370056003210572</t>
  </si>
  <si>
    <t>15004370056003210573</t>
  </si>
  <si>
    <t>15004370056003210574</t>
  </si>
  <si>
    <t>15004370056003210575</t>
  </si>
  <si>
    <t>15004370056003210576</t>
  </si>
  <si>
    <t>15004370056003210577</t>
  </si>
  <si>
    <t>15004370056003210578</t>
  </si>
  <si>
    <t>15004370056003210580</t>
  </si>
  <si>
    <t>15004370056003210581</t>
  </si>
  <si>
    <t>15004370056003210582</t>
  </si>
  <si>
    <t>15004370056003210583</t>
  </si>
  <si>
    <t>15004370056003210584</t>
  </si>
  <si>
    <t>15004370056003210585</t>
  </si>
  <si>
    <t>15004370056003210586</t>
  </si>
  <si>
    <t>15004370056003210587</t>
  </si>
  <si>
    <t>15004370056003210588</t>
  </si>
  <si>
    <t>15004370056003210589</t>
  </si>
  <si>
    <t>15004370056003210590</t>
  </si>
  <si>
    <t>15004370056003210591</t>
  </si>
  <si>
    <t>15004370056003210592</t>
  </si>
  <si>
    <t>15004370056003210593</t>
  </si>
  <si>
    <t>15004370056003210594</t>
  </si>
  <si>
    <t>15004370056003210595</t>
  </si>
  <si>
    <t>15004370056003210596</t>
  </si>
  <si>
    <t>15004370056003210598</t>
  </si>
  <si>
    <t>15004370056003210599</t>
  </si>
  <si>
    <t>15004370056003210600</t>
  </si>
  <si>
    <t>15004370056003210601</t>
  </si>
  <si>
    <t>15004370056003210602</t>
  </si>
  <si>
    <t>15004370056003210603</t>
  </si>
  <si>
    <t>15004370056003210604</t>
  </si>
  <si>
    <t>15004370056003210605</t>
  </si>
  <si>
    <t>15004370056003210606</t>
  </si>
  <si>
    <t>15004370056003210607</t>
  </si>
  <si>
    <t>15004370056003210608</t>
  </si>
  <si>
    <t>15004370056003210609</t>
  </si>
  <si>
    <t>15004370056003210610</t>
  </si>
  <si>
    <t>15004370056003210611</t>
  </si>
  <si>
    <t>15004370056003210612</t>
  </si>
  <si>
    <t>15004370056003210613</t>
  </si>
  <si>
    <t>15004370056003210614</t>
  </si>
  <si>
    <t>15004370056003210615</t>
  </si>
  <si>
    <t>15004370056003210616</t>
  </si>
  <si>
    <t>15004370056003210617</t>
  </si>
  <si>
    <t>15004370056003210618</t>
  </si>
  <si>
    <t>15004370056003210619</t>
  </si>
  <si>
    <t>15004370056003210620</t>
  </si>
  <si>
    <t>15004370056003210621</t>
  </si>
  <si>
    <t>15004370056003210623</t>
  </si>
  <si>
    <t>15004370056003210624</t>
  </si>
  <si>
    <t>15004370056003210625</t>
  </si>
  <si>
    <t>15004370056003210626</t>
  </si>
  <si>
    <t>15004370056003210627</t>
  </si>
  <si>
    <t>15004370056003210628</t>
  </si>
  <si>
    <t>15004370056003210629</t>
  </si>
  <si>
    <t>15004370056003210630</t>
  </si>
  <si>
    <t>15004370056003210631</t>
  </si>
  <si>
    <t>15004370056003210632</t>
  </si>
  <si>
    <t>15004370056003210633</t>
  </si>
  <si>
    <t>15004370056003210634</t>
  </si>
  <si>
    <t>15004370056003210635</t>
  </si>
  <si>
    <t>15004370056003210636</t>
  </si>
  <si>
    <t>15004370056003210637</t>
  </si>
  <si>
    <t>15004370056003210638</t>
  </si>
  <si>
    <t>15004370056003210639</t>
  </si>
  <si>
    <t>15004370056003210640</t>
  </si>
  <si>
    <t>15004370056003210643</t>
  </si>
  <si>
    <t>15004370056003210644</t>
  </si>
  <si>
    <t>15004370056003210645</t>
  </si>
  <si>
    <t>15004370056003210646</t>
  </si>
  <si>
    <t>15004370056003210647</t>
  </si>
  <si>
    <t>15004370056003210648</t>
  </si>
  <si>
    <t>15004370056003210649</t>
  </si>
  <si>
    <t>15004370056003210650</t>
  </si>
  <si>
    <t>15004370056003210651</t>
  </si>
  <si>
    <t>15004370056003210652</t>
  </si>
  <si>
    <t>15004370056003210653</t>
  </si>
  <si>
    <t>15004370056003210654</t>
  </si>
  <si>
    <t>15004370056003210655</t>
  </si>
  <si>
    <t>15004370056003210656</t>
  </si>
  <si>
    <t>15004370056003210657</t>
  </si>
  <si>
    <t>15004370056003210658</t>
  </si>
  <si>
    <t>15004370056003210659</t>
  </si>
  <si>
    <t>15004370056003210660</t>
  </si>
  <si>
    <t>15004370056003210661</t>
  </si>
  <si>
    <t>15004370056003210663</t>
  </si>
  <si>
    <t>15004370056003210664</t>
  </si>
  <si>
    <t>15004370056003210665</t>
  </si>
  <si>
    <t>15004370056003210666</t>
  </si>
  <si>
    <t>15004370056003210667</t>
  </si>
  <si>
    <t>15004370056003210668</t>
  </si>
  <si>
    <t>15004370056003210669</t>
  </si>
  <si>
    <t>15004370056003210670</t>
  </si>
  <si>
    <t>15004370056003210671</t>
  </si>
  <si>
    <t>15004370056003210672</t>
  </si>
  <si>
    <t>15004370056003210673</t>
  </si>
  <si>
    <t>15004370056003210674</t>
  </si>
  <si>
    <t>15004370056003210675</t>
  </si>
  <si>
    <t>15004370056003210676</t>
  </si>
  <si>
    <t>15004370056003210677</t>
  </si>
  <si>
    <t>15004370056003210678</t>
  </si>
  <si>
    <t>15004370056003210679</t>
  </si>
  <si>
    <t>15004370056003210680</t>
  </si>
  <si>
    <t>15004370056003210681</t>
  </si>
  <si>
    <t>15004370056003210682</t>
  </si>
  <si>
    <t>15004370056003210683</t>
  </si>
  <si>
    <t>15004370056003210684</t>
  </si>
  <si>
    <t>15004370056003210685</t>
  </si>
  <si>
    <t>15004370056003210686</t>
  </si>
  <si>
    <t>15004370056003210687</t>
  </si>
  <si>
    <t>15004370056003210688</t>
  </si>
  <si>
    <t>15004370056003210689</t>
  </si>
  <si>
    <t>15004370056003210690</t>
  </si>
  <si>
    <t>15004370056003210691</t>
  </si>
  <si>
    <t>15004370056003210692</t>
  </si>
  <si>
    <t>15004370056003210693</t>
  </si>
  <si>
    <t>15004370056003210694</t>
  </si>
  <si>
    <t>15004370056003210695</t>
  </si>
  <si>
    <t>15004370056003210696</t>
  </si>
  <si>
    <t>15004370056003210697</t>
  </si>
  <si>
    <t>15004370056003210698</t>
  </si>
  <si>
    <t>15004370056003210699</t>
  </si>
  <si>
    <t>15004370056003210700</t>
  </si>
  <si>
    <t>15004370056003210701</t>
  </si>
  <si>
    <t>15004370056003210702</t>
  </si>
  <si>
    <t>15004370056003210703</t>
  </si>
  <si>
    <t>15004370056003210704</t>
  </si>
  <si>
    <t>15004370056003210705</t>
  </si>
  <si>
    <t>15004370056003210706</t>
  </si>
  <si>
    <t>15004370056003210707</t>
  </si>
  <si>
    <t>15004370056003210708</t>
  </si>
  <si>
    <t>15004370056003210709</t>
  </si>
  <si>
    <t>15004370056003210710</t>
  </si>
  <si>
    <t>15004370056003210711</t>
  </si>
  <si>
    <t>15004370056003210712</t>
  </si>
  <si>
    <t>15004370056003210713</t>
  </si>
  <si>
    <t>15004370056003210714</t>
  </si>
  <si>
    <t>15004370056003210715</t>
  </si>
  <si>
    <t>15004370056003210716</t>
  </si>
  <si>
    <t>15004370056003210717</t>
  </si>
  <si>
    <t>15004370056003210718</t>
  </si>
  <si>
    <t>15004370056003210719</t>
  </si>
  <si>
    <t>15004370056003210720</t>
  </si>
  <si>
    <t>15004370056003210721</t>
  </si>
  <si>
    <t>15004370056003210722</t>
  </si>
  <si>
    <t>15004370056003210723</t>
  </si>
  <si>
    <t>15004370056003210724</t>
  </si>
  <si>
    <t>15004370056003210726</t>
  </si>
  <si>
    <t>15004370056003210727</t>
  </si>
  <si>
    <t>15004370056003210728</t>
  </si>
  <si>
    <t>15004370056003210729</t>
  </si>
  <si>
    <t>15004370056003210730</t>
  </si>
  <si>
    <t>15004370056003210731</t>
  </si>
  <si>
    <t>15004370056003210732</t>
  </si>
  <si>
    <t>15004370056003210733</t>
  </si>
  <si>
    <t>15004370056003210734</t>
  </si>
  <si>
    <t>15004370056003210735</t>
  </si>
  <si>
    <t>15004370056003210736</t>
  </si>
  <si>
    <t>15004370056003210737</t>
  </si>
  <si>
    <t>15004370056003210739</t>
  </si>
  <si>
    <t>15004370056003210740</t>
  </si>
  <si>
    <t>15004370056003210741</t>
  </si>
  <si>
    <t>15004370056003210742</t>
  </si>
  <si>
    <t>15004370056003210743</t>
  </si>
  <si>
    <t>15004370056003210744</t>
  </si>
  <si>
    <t>15004370056003210745</t>
  </si>
  <si>
    <t>15004370056003210746</t>
  </si>
  <si>
    <t>15004370056003210747</t>
  </si>
  <si>
    <t>15004370056003210748</t>
  </si>
  <si>
    <t>15004370056003210749</t>
  </si>
  <si>
    <t>15004370056003210750</t>
  </si>
  <si>
    <t>15004370056003210751</t>
  </si>
  <si>
    <t>15004370056003210753</t>
  </si>
  <si>
    <t>15004370056003210754</t>
  </si>
  <si>
    <t>15004370056003210755</t>
  </si>
  <si>
    <t>15004370056003210756</t>
  </si>
  <si>
    <t>15004370056003210757</t>
  </si>
  <si>
    <t>15004370056003210758</t>
  </si>
  <si>
    <t>15004370056003210759</t>
  </si>
  <si>
    <t>15004370056003210760</t>
  </si>
  <si>
    <t>15004370056003210761</t>
  </si>
  <si>
    <t>15004370056003210762</t>
  </si>
  <si>
    <t>15004370056003210763</t>
  </si>
  <si>
    <t>15004370056003210764</t>
  </si>
  <si>
    <t>15004370056003210765</t>
  </si>
  <si>
    <t>15004370056003210766</t>
  </si>
  <si>
    <t>15004370056003210767</t>
  </si>
  <si>
    <t>15004370056003210768</t>
  </si>
  <si>
    <t>15004370056003210769</t>
  </si>
  <si>
    <t>15004370056003210770</t>
  </si>
  <si>
    <t>15004370056003210771</t>
  </si>
  <si>
    <t>15004370056003210772</t>
  </si>
  <si>
    <t>15004370056003210773</t>
  </si>
  <si>
    <t>15004370056003210774</t>
  </si>
  <si>
    <t>15004370056003210775</t>
  </si>
  <si>
    <t>15004370056003210776</t>
  </si>
  <si>
    <t>15004370056003210777</t>
  </si>
  <si>
    <t>15004370056003210778</t>
  </si>
  <si>
    <t>15004370056003210779</t>
  </si>
  <si>
    <t>15004370056003210780</t>
  </si>
  <si>
    <t>15004370056003210781</t>
  </si>
  <si>
    <t>15004370056003210782</t>
  </si>
  <si>
    <t>15004370056003210783</t>
  </si>
  <si>
    <t>15004370056003210784</t>
  </si>
  <si>
    <t>15004370056003210785</t>
  </si>
  <si>
    <t>15004370056003210786</t>
  </si>
  <si>
    <t>15004370056003210787</t>
  </si>
  <si>
    <t>15004370056003210788</t>
  </si>
  <si>
    <t>15004370056003210789</t>
  </si>
  <si>
    <t>15004370056003210790</t>
  </si>
  <si>
    <t>15004370056003210791</t>
  </si>
  <si>
    <t>15004370056003210792</t>
  </si>
  <si>
    <t>15004370056003210793</t>
  </si>
  <si>
    <t>15004370056003210794</t>
  </si>
  <si>
    <t>15004370056003210796</t>
  </si>
  <si>
    <t>15004370056003210797</t>
  </si>
  <si>
    <t>15004370056003210798</t>
  </si>
  <si>
    <t>15004370056003210799</t>
  </si>
  <si>
    <t>15004370056003210800</t>
  </si>
  <si>
    <t>15004370056003210803</t>
  </si>
  <si>
    <t>15004370056003210804</t>
  </si>
  <si>
    <t>15004370056003210805</t>
  </si>
  <si>
    <t>15004370056003210806</t>
  </si>
  <si>
    <t>15004370056003210807</t>
  </si>
  <si>
    <t>15004370056003210808</t>
  </si>
  <si>
    <t>15004370056003210809</t>
  </si>
  <si>
    <t>15004370056003210810</t>
  </si>
  <si>
    <t>15004370056003210811</t>
  </si>
  <si>
    <t>15004370056003210812</t>
  </si>
  <si>
    <t>15004370056003210813</t>
  </si>
  <si>
    <t>15004370056003210814</t>
  </si>
  <si>
    <t>15004370056003210815</t>
  </si>
  <si>
    <t>15004370056003210816</t>
  </si>
  <si>
    <t>15004370056003210817</t>
  </si>
  <si>
    <t>15004370056003210818</t>
  </si>
  <si>
    <t>15004370056003210819</t>
  </si>
  <si>
    <t>15004370056003210820</t>
  </si>
  <si>
    <t>15004370056003210821</t>
  </si>
  <si>
    <t>15004370056003210822</t>
  </si>
  <si>
    <t>15004370056003210823</t>
  </si>
  <si>
    <t>15004370056003210824</t>
  </si>
  <si>
    <t>15004370056003210825</t>
  </si>
  <si>
    <t>15004370056003210826</t>
  </si>
  <si>
    <t>15004370056003210827</t>
  </si>
  <si>
    <t>15004370056003210828</t>
  </si>
  <si>
    <t>15004370056003210831</t>
  </si>
  <si>
    <t>15004370056003210832</t>
  </si>
  <si>
    <t>15004370056003210833</t>
  </si>
  <si>
    <t>15004370056003210834</t>
  </si>
  <si>
    <t>15004370056003210835</t>
  </si>
  <si>
    <t>15004370056003210837</t>
  </si>
  <si>
    <t>15004370056003210838</t>
  </si>
  <si>
    <t>15004370056003210839</t>
  </si>
  <si>
    <t>15004370056003210840</t>
  </si>
  <si>
    <t>15004370056003210841</t>
  </si>
  <si>
    <t>15004370056003210842</t>
  </si>
  <si>
    <t>15004370056003210843</t>
  </si>
  <si>
    <t>15004370056003210844</t>
  </si>
  <si>
    <t>15004370056003210845</t>
  </si>
  <si>
    <t>15004370056003210846</t>
  </si>
  <si>
    <t>15004370056003210847</t>
  </si>
  <si>
    <t>15004370056003210848</t>
  </si>
  <si>
    <t>15004370056003210849</t>
  </si>
  <si>
    <t>15004370056003210850</t>
  </si>
  <si>
    <t>15004370056003210851</t>
  </si>
  <si>
    <t>15004370056003210852</t>
  </si>
  <si>
    <t>15004370056003210853</t>
  </si>
  <si>
    <t>15004370056003210854</t>
  </si>
  <si>
    <t>15004370056003210855</t>
  </si>
  <si>
    <t>15004370056003210856</t>
  </si>
  <si>
    <t>15004370056003210857</t>
  </si>
  <si>
    <t>15004370056003210858</t>
  </si>
  <si>
    <t>15004370056003210859</t>
  </si>
  <si>
    <t>15004370056003210860</t>
  </si>
  <si>
    <t>15004370056003210861</t>
  </si>
  <si>
    <t>15004370056003210862</t>
  </si>
  <si>
    <t>15004370056003210863</t>
  </si>
  <si>
    <t>15004370056003210864</t>
  </si>
  <si>
    <t>15004370056003210865</t>
  </si>
  <si>
    <t>15004370056003210866</t>
  </si>
  <si>
    <t>15004370056003210867</t>
  </si>
  <si>
    <t>15004370056003210868</t>
  </si>
  <si>
    <t>15004370056003210869</t>
  </si>
  <si>
    <t>15004370056003210870</t>
  </si>
  <si>
    <t>15004370056003210871</t>
  </si>
  <si>
    <t>15004370056003210872</t>
  </si>
  <si>
    <t>15004370056003210873</t>
  </si>
  <si>
    <t>15004370056003210874</t>
  </si>
  <si>
    <t>15004370056003210875</t>
  </si>
  <si>
    <t>15004370056003210876</t>
  </si>
  <si>
    <t>15004370056003210877</t>
  </si>
  <si>
    <t>15004370056003210878</t>
  </si>
  <si>
    <t>15004370056003210879</t>
  </si>
  <si>
    <t>15004370056003210880</t>
  </si>
  <si>
    <t>15004370056003210881</t>
  </si>
  <si>
    <t>15004370056003210882</t>
  </si>
  <si>
    <t>15004370056003210883</t>
  </si>
  <si>
    <t>15004370056003210884</t>
  </si>
  <si>
    <t>15004370056003210885</t>
  </si>
  <si>
    <t>15004370056003210886</t>
  </si>
  <si>
    <t>15004370056003210887</t>
  </si>
  <si>
    <t>15004370056003210888</t>
  </si>
  <si>
    <t>15004370056003210889</t>
  </si>
  <si>
    <t>15004370056003210890</t>
  </si>
  <si>
    <t>15004370056003210891</t>
  </si>
  <si>
    <t>15004370056003210892</t>
  </si>
  <si>
    <t>15004370056003210893</t>
  </si>
  <si>
    <t>15004370056003210894</t>
  </si>
  <si>
    <t>15004370056003210895</t>
  </si>
  <si>
    <t>15004370056003210896</t>
  </si>
  <si>
    <t>15004370056003210898</t>
  </si>
  <si>
    <t>15004370056003210899</t>
  </si>
  <si>
    <t>15004370056003210900</t>
  </si>
  <si>
    <t>15004370056003210901</t>
  </si>
  <si>
    <t>15004370056003210902</t>
  </si>
  <si>
    <t>15004370056003210903</t>
  </si>
  <si>
    <t>15004370056003210904</t>
  </si>
  <si>
    <t>15004370056003210905</t>
  </si>
  <si>
    <t>15004370056003210906</t>
  </si>
  <si>
    <t>15004370056003210908</t>
  </si>
  <si>
    <t>15004370056003210909</t>
  </si>
  <si>
    <t>15004370056003210910</t>
  </si>
  <si>
    <t>15004370056003210911</t>
  </si>
  <si>
    <t>15004370056003210912</t>
  </si>
  <si>
    <t>15004370056003210914</t>
  </si>
  <si>
    <t>15004370056003210915</t>
  </si>
  <si>
    <t>15004370056003210916</t>
  </si>
  <si>
    <t>15004370056003210917</t>
  </si>
  <si>
    <t>15004370056003210918</t>
  </si>
  <si>
    <t>15004370056003210919</t>
  </si>
  <si>
    <t>15004370056003210920</t>
  </si>
  <si>
    <t>15004370056003210921</t>
  </si>
  <si>
    <t>15004370056003210922</t>
  </si>
  <si>
    <t>15004370056003210923</t>
  </si>
  <si>
    <t>15004370056003210924</t>
  </si>
  <si>
    <t>15004370056003210925</t>
  </si>
  <si>
    <t>15004370056003210926</t>
  </si>
  <si>
    <t>15004370056003210927</t>
  </si>
  <si>
    <t>15004370056003210928</t>
  </si>
  <si>
    <t>15004370056003210929</t>
  </si>
  <si>
    <t>15004370056003210930</t>
  </si>
  <si>
    <t>1500437056410964 บอ 122 บอ.  บอ.141</t>
  </si>
  <si>
    <t>1500437056410965 บอ.</t>
  </si>
  <si>
    <t>1500437056410A55 บอ 141</t>
  </si>
  <si>
    <t>งานปรับปรุงพื้นที่ ตามแบบมาตรฐาน โคก หนอง นาขนาด 3 ไร่ สำนักงานพัฒนาชุมชนอำเภอเขาพนม อำเภอเขาพนม จังหวัดกระบี่</t>
  </si>
  <si>
    <t>1500437056410A63</t>
  </si>
  <si>
    <t>NEW GF</t>
  </si>
  <si>
    <t>สพจ.</t>
  </si>
  <si>
    <t>ครุภัณสำนักงานพัฒนาชุมชนอำเภอค้อวัง จังหวัดยโสธร บอ103</t>
  </si>
  <si>
    <t>ปรับปรุงสำนักงานพัฒนาชุมชนอำเภอแม่ทา จังหวัดลำพูน (บอ 98)</t>
  </si>
  <si>
    <t xml:space="preserve">1500437056410012 บอ.181    </t>
  </si>
  <si>
    <t>1500437056410013 บอ.181</t>
  </si>
  <si>
    <t>1500437056410016  บอ.181</t>
  </si>
  <si>
    <t>1500437056410019 บอ 181</t>
  </si>
  <si>
    <t>1500437056410144  บอ 93 บอ182</t>
  </si>
  <si>
    <t>1500437056410170 บอ.181</t>
  </si>
  <si>
    <t>1500437056410173 บอ.181</t>
  </si>
  <si>
    <t>1500437056410179 บอ.181</t>
  </si>
  <si>
    <t>1500437056410183 บอ.181</t>
  </si>
  <si>
    <t>1500437056410223 บอ 187</t>
  </si>
  <si>
    <t>1500437056410228 บอ.61 บอ.170</t>
  </si>
  <si>
    <t>1500437056410280 (บอ.48)</t>
  </si>
  <si>
    <t>1500437056410329 บอ.171</t>
  </si>
  <si>
    <t>1500437056410450 บอ.170</t>
  </si>
  <si>
    <t>1500437056410502 บอ.182</t>
  </si>
  <si>
    <t>1500437056410504 บอ.169</t>
  </si>
  <si>
    <t>1500437056410521  บอ.71 บอ.174</t>
  </si>
  <si>
    <t>1500437056410522 บอ.71 บอ.174</t>
  </si>
  <si>
    <t>1500437056410691 บอ.173</t>
  </si>
  <si>
    <t>1500437056410781 บอ.170</t>
  </si>
  <si>
    <t>1500437056410803  บอ.71 บอ.174</t>
  </si>
  <si>
    <t>1500437056410804 บอ.174</t>
  </si>
  <si>
    <t>150043856410934 (บอ.48)(บอ.173)</t>
  </si>
  <si>
    <t>1500437056410946 บอ.173</t>
  </si>
  <si>
    <t>1500437056410949 บอ.173</t>
  </si>
  <si>
    <t>1500437056410955 บอ.172</t>
  </si>
  <si>
    <t>1500437056410957 บอ.172</t>
  </si>
  <si>
    <t>1500437056410967 บอ.181</t>
  </si>
  <si>
    <t>1500437056410A64</t>
  </si>
  <si>
    <t xml:space="preserve">         ผลการใช้จ่าย          (เบิกจ่าย + PO)</t>
  </si>
  <si>
    <t xml:space="preserve"> สพจ.สุราษฎร์ธานี</t>
  </si>
  <si>
    <t>1500437056410005  บอ.87</t>
  </si>
  <si>
    <t>1500437056410011  บอ.91</t>
  </si>
  <si>
    <t>1500437056410027 (บอ.61)</t>
  </si>
  <si>
    <t>1500437056410141  บอ93</t>
  </si>
  <si>
    <t>1500437056410142  บอ93</t>
  </si>
  <si>
    <t>1500437056410149 บอ122</t>
  </si>
  <si>
    <t>นนทบุรี</t>
  </si>
  <si>
    <t>1500437056410150 บอ122</t>
  </si>
  <si>
    <t>1500437056410151บอ122</t>
  </si>
  <si>
    <t>1500437056410152บอ122</t>
  </si>
  <si>
    <t>1500437056410153 บอ.</t>
  </si>
  <si>
    <t>1500437056410165  บอ.91</t>
  </si>
  <si>
    <t>1500437056410192     บอ.61</t>
  </si>
  <si>
    <t>1500437056410221  บอ.61</t>
  </si>
  <si>
    <t>1500437056410233</t>
  </si>
  <si>
    <t>1500437056410242  บอ.77</t>
  </si>
  <si>
    <t>1500437056410243  บอ.77</t>
  </si>
  <si>
    <t>1500437056410264</t>
  </si>
  <si>
    <t>1500437056410284 บอ.61</t>
  </si>
  <si>
    <t>1500437056410324</t>
  </si>
  <si>
    <t>1500437056410330</t>
  </si>
  <si>
    <t>1500437056410404  บอ.77</t>
  </si>
  <si>
    <t>1500437056410440</t>
  </si>
  <si>
    <t>1500437056410474  บอ.61</t>
  </si>
  <si>
    <t>1500437056410500  บอ93</t>
  </si>
  <si>
    <t>1500437056410508 บอ122</t>
  </si>
  <si>
    <t>1500437056410509 บอ122</t>
  </si>
  <si>
    <t>1500437056410510 บอ122</t>
  </si>
  <si>
    <t>1500437056410511 บอ122</t>
  </si>
  <si>
    <t>1500437056410512  บอ.61</t>
  </si>
  <si>
    <t>1500437056410520</t>
  </si>
  <si>
    <t>งานปรับปรุงพื้นที่ ตามแบบมาตรฐาน โคก หนอง นาขนาด 1 ไร่ สำนักงานพัฒนาชุมชนอำเภอบ้านตาขุนตำบลเขาวง อำเภอบ้านตาขุน จังหวัดสุราษฎร์ธานี</t>
  </si>
  <si>
    <t>15004370056003210548</t>
  </si>
  <si>
    <t>1500437056410548  บอ.87</t>
  </si>
  <si>
    <t>1500437056410579 บอ 71</t>
  </si>
  <si>
    <t>1500437056410597  บอ.61</t>
  </si>
  <si>
    <t>1500437056410622 บอ 77</t>
  </si>
  <si>
    <t>1500437056410641 บอ.73</t>
  </si>
  <si>
    <t>1500437056410642 บอ.42</t>
  </si>
  <si>
    <t>1500437056410662    บอ.61</t>
  </si>
  <si>
    <t>1500437056410725  บอ.73</t>
  </si>
  <si>
    <t>1500437056410738  บอ92</t>
  </si>
  <si>
    <t>1500437056410752     บอ.61</t>
  </si>
  <si>
    <t>1500437056410795  บอ.61</t>
  </si>
  <si>
    <t>1500437056410801</t>
  </si>
  <si>
    <t>1500437056410802</t>
  </si>
  <si>
    <t>1500437056410829 บอ 92</t>
  </si>
  <si>
    <t>1500437056410830  บอ92</t>
  </si>
  <si>
    <t>1500437056410836  บอ.87</t>
  </si>
  <si>
    <t>1500437056410897  บอ.73</t>
  </si>
  <si>
    <t>1500437056410907    บอ.61</t>
  </si>
  <si>
    <t>1500437056410913  บอ.61</t>
  </si>
  <si>
    <t>1500437056410931</t>
  </si>
  <si>
    <t>1500437056410951  บอ93</t>
  </si>
  <si>
    <t>1500437056410954บอ113</t>
  </si>
  <si>
    <t>1500437056410065  บอ93</t>
  </si>
  <si>
    <t>1500437056410194   บอ.61</t>
  </si>
  <si>
    <t>1500437056410352 บอ.73</t>
  </si>
  <si>
    <t>1500437056410365  บอ92</t>
  </si>
  <si>
    <t>1500437056410366  บอ 93</t>
  </si>
  <si>
    <t xml:space="preserve">1500437056410483 บอ 212 </t>
  </si>
  <si>
    <t>ติดตั้งเครื่องปรับอากาศ อาคารโรงอาหาร (เครื่องปรับอากาศ 8 เครื่อง+พัดลมระบายอากาศติดผนัง 8 ชุด)</t>
  </si>
  <si>
    <t>15004370013003110010</t>
  </si>
  <si>
    <t xml:space="preserve">ปั๊มหอยโข่ง จำนวน 1 ตัว </t>
  </si>
  <si>
    <t>15004370013003110009</t>
  </si>
  <si>
    <t>โครงการก่อสร้างศูนย์จัดแสดงและจำหน่ายสินค้า OTOP แพรกษา</t>
  </si>
  <si>
    <t>15004370013003210065</t>
  </si>
  <si>
    <t>สพจ.สมทรปราการ</t>
  </si>
  <si>
    <t>ปรับปรุงสำนักงานพัฒนาชุมชนอำเภอแหลมงอบ</t>
  </si>
  <si>
    <t>15004370013003210066</t>
  </si>
  <si>
    <t>โครงการก่อสร้างปรับปรุงอาคารผลิตปุ๋ยอินทรีย์ ศูนย์เรียนรู้ทุนชมุชน ตำบลขัวมุง อำเภอสารภี จังหวัดเชียงใหม่</t>
  </si>
  <si>
    <t>15004370013003210067</t>
  </si>
  <si>
    <t>ครุภัณฑ์สำนักงานพัฒนาชุมชนอำเภอเชียงแสน จังหวัดเชียงราย (โต๊ะทำงานเข้ามุม 4 ชุด,เก้าอี้ทำงาน 4 ตัว,โต๊ะผู้บริหาร 1 ตัว,เก้าอี้ผู้บริหาร 1 ตัว)</t>
  </si>
  <si>
    <t>15004370013003110007</t>
  </si>
  <si>
    <t>ครุภัณฑ์โฆษณาและเผยแพร่ สำนักงานพัฒนาชุมชนจังหวัดสมุทรสงคราม (ไมโครโฟน)</t>
  </si>
  <si>
    <t>15004370013003110008</t>
  </si>
  <si>
    <t>งานปรับปรุงพื้นที่ ตามแบบมาตรฐาน โคก หนอง นาขนาด 3 ไร่ สำนักงานพัฒนาชุมชนอำเภอดอนสัก อำเภอดอนสัก จังหวัดสุราษฎร์ธานี</t>
  </si>
  <si>
    <t>15004370056003210A65</t>
  </si>
  <si>
    <t>โอนกลับส่วนกลาง</t>
  </si>
  <si>
    <t>งานปรับปรุงพื้นที่ ตามแบบมาตรฐาน โคก หนอง นาขนาด 3 ไร่ สำนักงานพัฒนาชุมชนอำเภอเมืองจันทบุรี จังหวัดจันทบุรี</t>
  </si>
  <si>
    <t>งานปรับปรุงพื้นที่ ตามแบบมาตรฐาน โคก หนอง นาขนาด 1 ไร่ สำนักงานพัฒนาชุมชนอำเภอห้วยกระเจาตำบลห้วยกระเจา อำเภอห้วยกระเจา จังหวัดกาญจนบุรี</t>
  </si>
  <si>
    <t>15004370056003210005</t>
  </si>
  <si>
    <t>งานปรับปรุงพื้นที่ ตามแบบมาตรฐาน โคก หนอง นาขนาด 1 ไร่ สำนักงานพัฒนาชุมชนอำเภอพรานกระต่ายตำบลพรานกระต่าย อำเภอพรานกระต่าย จังหวัดกำแพงเพชร</t>
  </si>
  <si>
    <t>15004370056003210011</t>
  </si>
  <si>
    <t>งานปรับปรุงพื้นที่ ตามแบบมาตรฐาน โคก หนอง นาขนาด 1 ไร่ สำนักงานพัฒนาชุมชนอำเภอบางคล้า ตำบลบางคล้า อำเภอบางคล้าจังหวัดฉะเชิงเทรา</t>
  </si>
  <si>
    <t>15004370056003210027</t>
  </si>
  <si>
    <t>งานปรับปรุงพื้นที่ ตามแบบมาตรฐาน โคก หนอง นาขนาด 1 ไร่ สำนักงานพัฒนาชุมชนอำเภอแม่แจ่ม ตำบลช่างเคิ่ง อำเภอแม่แจ่มจังหวัดเชียงใหม่</t>
  </si>
  <si>
    <t>15004370056003210065</t>
  </si>
  <si>
    <t>งานปรับปรุงพื้นที่ ตามแบบมาตรฐาน โคก หนอง นาขนาด 1 ไร่ สำนักงานพัฒนาชุมชนอำเภอโกรกพระ ตำบลโกรกพระ อำเภอโกรกพระ  จังหวัดนครสวรรค์</t>
  </si>
  <si>
    <t>15004370056003210141</t>
  </si>
  <si>
    <t>งานปรับปรุงพื้นที่ ตามแบบมาตรฐาน โคก หนอง นาขนาด 1 ไร่ สำนักงานพัฒนาชุมชนอำเภอชุมแสง ตำบลเกยไชย อำเภอชุมแสง  จังหวัดนครสวรรค์</t>
  </si>
  <si>
    <t>15004370056003210142</t>
  </si>
  <si>
    <t>งานปรับปรุงพื้นที่ ตามแบบมาตรฐาน โคก หนอง นาขนาด 1 ไร่ สำนักงานพัฒนาชุมชนอำเภอไทรน้อย ตำบลคลองขวาง อำเภอไทรน้อย จังหวัดนนทบุรี</t>
  </si>
  <si>
    <t>15004370056003210149</t>
  </si>
  <si>
    <t>งานปรับปรุงพื้นที่ ตามแบบมาตรฐาน โคก หนอง นาขนาด 1 ไร่ สำนักงานพัฒนาชุมชนอำเภอบางกรวย ตำบลวัดชลอ อำเภอบางกรวย จังหวัดนนทบุรี</t>
  </si>
  <si>
    <t>15004370056003210150</t>
  </si>
  <si>
    <t>งานปรับปรุงพื้นที่ ตามแบบมาตรฐาน โคก หนอง นาขนาด 1 ไร่ สำนักงานพัฒนาชุมชนอำเภอบางใหญ่ ตำบลเสาธงหิน อำเภอบางใหญ่ จังหวัดนนทบุรี</t>
  </si>
  <si>
    <t>15004370056003210151</t>
  </si>
  <si>
    <t>งานปรับปรุงพื้นที่ ตามแบบมาตรฐาน โคก หนอง นาขนาด 1 ไร่ สำนักงานพัฒนาชุมชนอำเภอปากเกร็ด ตำบลปากเกร็ด อำเภอปากเกร็ด จังหวัดนนทบุรี</t>
  </si>
  <si>
    <t>15004370056003210152</t>
  </si>
  <si>
    <t>งานปรับปรุงพื้นที่ ตามแบบมาตรฐาน โคก หนอง นาขนาด 3 ไร่ สำนักงานพัฒนาชุมชนอำเภอเกาะลันตาตำบลเกาะลันตาน้อย อำเภอเกาะลันตา จังหวัดกระบี่</t>
  </si>
  <si>
    <t>15004370056003210153</t>
  </si>
  <si>
    <t>งานปรับปรุงพื้นที่ ตามแบบมาตรฐาน โคก หนอง นาขนาด 3 ไร่ สำนักงานพัฒนาชุมชนอำเภอโกสัมพีนครตำบลโกสัมพี อำเภอโกสัมพีนคร จังหวัดกำแพงเพชร</t>
  </si>
  <si>
    <t>15004370056003210165</t>
  </si>
  <si>
    <t>งานปรับปรุงพื้นที่ ตามแบบมาตรฐาน โคก หนอง นาขนาด 1 ไร่ สำนักงานพัฒนาชุมชนอำเภอตากใบ ตำบลเจ๊ะเห อำเภอตากใบ จังหวัดนราธิวาส</t>
  </si>
  <si>
    <t>15004370056003210192</t>
  </si>
  <si>
    <t>งานปรับปรุงพื้นที่ ตามแบบมาตรฐาน โคก หนอง นาขนาด 1 ไร่ สำนักงานพัฒนาชุมชนอำเภอสุคิริน ตำบลสุคิริน อำเภอสุคิริน จังหวัดนราธิวาส</t>
  </si>
  <si>
    <t>15004370056003210194</t>
  </si>
  <si>
    <t>งานปรับปรุงพื้นที่ ตามแบบมาตรฐาน โคก หนอง นาขนาด 1 ไร่ สำนักงานพัฒนาชุมชนอำเภอกุยบุรี ตำบลกุยบุรี อำเภอกุยบุรี จังหวัดประจวบคีรีขันธ์</t>
  </si>
  <si>
    <t>15004370056003210221</t>
  </si>
  <si>
    <t>งานปรับปรุงพื้นที่ ตามแบบมาตรฐาน โคก หนอง นาขนาด 3 ไร่ สำนักงานพัฒนาชุมชนอำเภอขลุง ตำบลขลุงอำเภอขลุง จังหวัดจันทบุรี</t>
  </si>
  <si>
    <t>15004370056003210233</t>
  </si>
  <si>
    <t>งานปรับปรุงพื้นที่ ตามแบบมาตรฐาน โคก หนอง นาขนาด 1 ไร่ สำนักงานพัฒนาชุมชนอำเภอภาชี ตำบลภาชีอำเภอภาชี จังหวัดพระนครศรีอยุธยา</t>
  </si>
  <si>
    <t>15004370056003210242</t>
  </si>
  <si>
    <t>งานปรับปรุงพื้นที่ ตามแบบมาตรฐาน โคก หนอง นาขนาด 1 ไร่ สำนักงานพัฒนาชุมชนอำเภอมหาราช ตำบลหัวไผ่ อำเภอมหาราช จังหวัดพระนครศรีอยุธยา</t>
  </si>
  <si>
    <t>15004370056003210243</t>
  </si>
  <si>
    <t>งานปรับปรุงพื้นที่ ตามแบบมาตรฐาน โคก หนอง นาขนาด 1 ไร่ สำนักงานพัฒนาชุมชนอำเภอบางมูลนากตำบลบางมูลนาก อำเภอบางมูลนาก จังหวัดพิจิตร</t>
  </si>
  <si>
    <t>15004370056003210264</t>
  </si>
  <si>
    <t>งานปรับปรุงพื้นที่ ตามแบบมาตรฐาน โคก หนอง นาขนาด 3 ไร่ สำนักงานพัฒนาชุมชนอำเภอราชสาส์น ตำบลบางคา อำเภอราชสาส์น จังหวัดฉะเชิงเทรา</t>
  </si>
  <si>
    <t>15004370056003210284</t>
  </si>
  <si>
    <t>งานปรับปรุงพื้นที่ ตามแบบมาตรฐาน โคก หนอง นาขนาด 3 ไร่ สำนักงานพัฒนาชุมชนอำเภอปะทิว ตำบลบางสน อำเภอปะทิว จังหวัดชุมพร</t>
  </si>
  <si>
    <t>15004370056003210324</t>
  </si>
  <si>
    <t>งานปรับปรุงพื้นที่ ตามแบบมาตรฐาน โคก หนอง นาขนาด 3 ไร่ สำนักงานพัฒนาชุมชนอำเภอหลังสวน ตำบลขันเงิน อำเภอหลังสวนจังหวัดชุมพร</t>
  </si>
  <si>
    <t>15004370056003210330</t>
  </si>
  <si>
    <t>ล</t>
  </si>
  <si>
    <t>งานปรับปรุงพื้นที่ ตามแบบมาตรฐาน โคก หนอง นาขนาด 1 ไร่ สำนักงานพัฒนาชุมชนอำเภอโพธิ์ชัย ตำบลขามเปี้ย อำเภอโพธิ์ชัยจังหวัดร้อยเอ็ด</t>
  </si>
  <si>
    <t>15004370056003210352</t>
  </si>
  <si>
    <t>งานปรับปรุงพื้นที่ ตามแบบมาตรฐาน โคก หนอง นาขนาด 1 ไร่ สำนักงานพัฒนาชุมชนอำเภอบ้านค่าย ตำบลบ้านค่าย อำเภอบ้านค่ายจังหวัดระยอง</t>
  </si>
  <si>
    <t>15004370056003210365</t>
  </si>
  <si>
    <t>งานปรับปรุงพื้นที่ ตามแบบมาตรฐาน โคก หนอง นาขนาด 3 ไร่ สำนักงานพัฒนาชุมชนอำเภอแม่แจ่ม ตำบลช่างเคิ่ง อำเภอแม่แจ่มจังหวัดเชียงใหม่</t>
  </si>
  <si>
    <t>15004370056003210366</t>
  </si>
  <si>
    <t>งานปรับปรุงพื้นที่ ตามแบบมาตรฐาน โคก หนอง นาขนาด 1 ไร่ สำนักงานพัฒนาชุมชนอำเภอวังเหนือ ตำบลวังเหนือ อำเภอวังเหนือจังหวัดลำปาง</t>
  </si>
  <si>
    <t>15004370056003210404</t>
  </si>
  <si>
    <t>งานปรับปรุงพื้นที่ ตามแบบมาตรฐาน โคก หนอง นาขนาด 1 ไร่ สำนักงานพัฒนาชุมชนอำเภอคำตากล้า ตำบลคำตากล้า อำเภอคำตากล้าจังหวัดสกลนคร</t>
  </si>
  <si>
    <t>15004370056003210440</t>
  </si>
  <si>
    <t>งานปรับปรุงพื้นที่ ตามแบบมาตรฐาน โคก หนอง นาขนาด 1 ไร่ สำนักงานพัฒนาชุมชนอำเภอสทิงพระ ตำบลจะทิ้งพระ อำเภอสทิงพระจังหวัดสงขลา</t>
  </si>
  <si>
    <t>15004370056003210474</t>
  </si>
  <si>
    <t>งานปรับปรุงพื้นที่ ตามแบบมาตรฐาน โคก หนอง นาขนาด 3 ไร่ สำนักงานพัฒนาชุมชนอำเภอชุมแสง ตำบลเกยไชย อำเภอชุมแสงจังหวัดนครสวรรค์</t>
  </si>
  <si>
    <t>15004370056003210500</t>
  </si>
  <si>
    <t>งานปรับปรุงพื้นที่ ตามแบบมาตรฐาน โคก หนอง นาขนาด 3 ไร่ สำนักงานพัฒนาชุมชนอำเภอไทรน้อย ตำบลคลองขวาง อำเภอไทรน้อยจังหวัดนนทบุรี</t>
  </si>
  <si>
    <t>15004370056003210508</t>
  </si>
  <si>
    <t>งานปรับปรุงพื้นที่ ตามแบบมาตรฐาน โคก หนอง นาขนาด 3 ไร่ สำนักงานพัฒนาชุมชนอำเภอบางใหญ่ ตำบลเสาธงหิน อำเภอบางใหญ่จังหวัดนนทบุรี</t>
  </si>
  <si>
    <t>15004370056003210509</t>
  </si>
  <si>
    <t>งานปรับปรุงพื้นที่ ตามแบบมาตรฐาน โคก หนอง นาขนาด 3 ไร่ สำนักงานพัฒนาชุมชนอำเภอปากเกร็ด ตำบลปากเกร็ด อำเภอปากเกร็ดจังหวัดนนทบุรี</t>
  </si>
  <si>
    <t>15004370056003210510</t>
  </si>
  <si>
    <t>งานปรับปรุงพื้นที่ ตามแบบมาตรฐาน โคก หนอง นาขนาด 3 ไร่ สำนักงานพัฒนาชุมชนอำเภอเมืองนนทบุรีตำบลบางกระสอ อำเภอเมืองนนทบุรี จังหวัดนนทบุรี</t>
  </si>
  <si>
    <t>15004370056003210511</t>
  </si>
  <si>
    <t>งานปรับปรุงพื้นที่ ตามแบบมาตรฐาน โคก หนอง นาขนาด 3 ไร่ สำนักงานพัฒนาชุมชนอำเภอสุคิริน ตำบลสุคิริน อำเภอสุคิริน จังหวัดนราธิวาส</t>
  </si>
  <si>
    <t>15004370056003210512</t>
  </si>
  <si>
    <t>งานปรับปรุงพื้นที่ ตามแบบมาตรฐาน โคก หนอง นาขนาด 1 ไร่ สำนักงานพัฒนาชุมชนอำเภอบ้านแพ้ว ตำบลหลักสาม อำเภอบ้านแพ้วจังหวัดสมุทรสาคร</t>
  </si>
  <si>
    <t>15004370056003210520</t>
  </si>
  <si>
    <t>งานปรับปรุงพื้นที่ ตามแบบมาตรฐาน โคก หนอง นาขนาด 3 ไร่ สำนักงานพัฒนาชุมชนอำเภอสามโคก ตำบลบางเตย อำเภอสามโคกจังหวัดปทุมธานี</t>
  </si>
  <si>
    <t>15004370056003210579</t>
  </si>
  <si>
    <t>งานปรับปรุงพื้นที่ ตามแบบมาตรฐาน โคก หนอง นาขนาด 1 ไร่ สำนักงานพัฒนาชุมชนอำเภอรัตนวาปี ตำบลรัตนวาปี อำเภอรัตนวาปีจังหวัดหนองคาย</t>
  </si>
  <si>
    <t>15004370056003210597</t>
  </si>
  <si>
    <t>งานปรับปรุงพื้นที่ ตามแบบมาตรฐาน โคก หนอง นาขนาด 3 ไร่ สำนักงานพัฒนาชุมชนอำเภอท่าเรือ ตำบลท่าเจ้าสนุก อำเภอท่าเรือจังหวัดพระนครศรีอยุธยา</t>
  </si>
  <si>
    <t>15004370056003210622</t>
  </si>
  <si>
    <t>งานปรับปรุงพื้นที่ ตามแบบมาตรฐาน โคก หนอง นาขนาด 1 ไร่ สำนักงานพัฒนาชุมชนอำเภอเมืองอุทัยธานีตำบลอุทัยใหม่ อำเภอเมืองอุทัยธานี จังหวัดอุทัยธานี</t>
  </si>
  <si>
    <t>15004370056003210641</t>
  </si>
  <si>
    <t>15004370056003210642</t>
  </si>
  <si>
    <t>งานปรับปรุงพื้นที่ ตามแบบมาตรฐาน โคก หนอง นาขนาด 1 ไร่ สำนักงานพัฒนาชุมชนอำเภอนาเยีย ตำบลนาเยีย อำเภอนาเยีย จังหวัดอุบลราชธานี</t>
  </si>
  <si>
    <t>15004370056003210662</t>
  </si>
  <si>
    <t>งานปรับปรุงพื้นที่ ตามแบบมาตรฐาน โคก หนอง นาขนาด 3 ไร่ สำนักงานพัฒนาชุมชนอำเภอพนมไพร ตำบลพนมไพร อำเภอพนมไพรจังหวัดร้อยเอ็ด</t>
  </si>
  <si>
    <t>15004370056003210725</t>
  </si>
  <si>
    <t>งานปรับปรุงพื้นที่ ตามแบบมาตรฐาน โคก หนอง นาขนาด 3 ไร่ สำนักงานพัฒนาชุมชนอำเภอบ้านฉางตำบลพลา อำเภอบ้านฉางจังหวัดระยอง</t>
  </si>
  <si>
    <t>15004370056003210738</t>
  </si>
  <si>
    <t>งานปรับปรุงพื้นที่ ตามแบบมาตรฐาน โคก หนอง นาขนาด 3 ไร่ สำนักงานพัฒนาชุมชนอำเภอทุ่งหัวช้างตำบลทุ่งหัวช้าง อำเภอทุ่งหัวช้าง จังหวัดลำพูน</t>
  </si>
  <si>
    <t>15004370056003210752</t>
  </si>
  <si>
    <t>งานปรับปรุงพื้นที่ ตามแบบมาตรฐาน โคก หนอง นาขนาด 3 ไร่ สำนักงานพัฒนาชุมชนอำเภอหาดใหญ่ ตำบลหาดใหญ่ อำเภอหาดใหญ่จังหวัดสงขลา</t>
  </si>
  <si>
    <t>15004370056003210795</t>
  </si>
  <si>
    <t>งานปรับปรุงพื้นที่ ตามแบบมาตรฐาน โคก หนอง นาขนาด 3 ไร่ สำนักงานพัฒนาชุมชนอำเภอเมืองสมุทรปราการ ตำบลปากน้ำอำเภอเมืองสมุทรปราการจังหวัดสมุทรปราการ</t>
  </si>
  <si>
    <t>15004370056003210801</t>
  </si>
  <si>
    <t>งานปรับปรุงพื้นที่ ตามแบบมาตรฐาน โคก หนอง นาขนาด 3 ไร่ สำนักงานพัฒนาชุมชนอำเภอบ้านแพ้ว ตำบลหลักสาม อำเภอบ้านแพ้วจังหวัดสมุทรสาคร</t>
  </si>
  <si>
    <t>15004370056003210802</t>
  </si>
  <si>
    <t>งานปรับปรุงพื้นที่ ตามแบบมาตรฐาน โคก หนอง นาขนาด 3 ไร่ สำนักงานพัฒนาชุมชนอำเภอบางปลาม้าตำบลโคกคราม อำเภอบางปลาม้า จังหวัดสุพรรณบุรี</t>
  </si>
  <si>
    <t>15004370056003210829</t>
  </si>
  <si>
    <t>งานปรับปรุงพื้นที่ ตามแบบมาตรฐาน โคก หนอง นาขนาด 3 ไร่ สำนักงานพัฒนาชุมชนอำเภอสองพี่น้องตำบลสองพี่น้อง อำเภอสองพี่น้อง จังหวัดสุพรรณบุรี</t>
  </si>
  <si>
    <t>15004370056003210830</t>
  </si>
  <si>
    <t>งานปรับปรุงพื้นที่ ตามแบบมาตรฐาน โคก หนอง นาขนาด 3 ไร่ สำนักงานพัฒนาชุมชนอำเภอบ้านนาสารตำบล*บ้านนา อำเภอบ้านนาสาร จังหวัดสุราษฎร์ธานี</t>
  </si>
  <si>
    <t>15004370056003210836</t>
  </si>
  <si>
    <t>งานปรับปรุงพื้นที่ ตามแบบมาตรฐาน โคก หนอง นาขนาด 3 ไร่ สำนักงานพัฒนาชุมชนอำเภอหนองขาหย่างตำบลหนองขาหย่าง อำเภอหนองขาหย่าง จังหวัดอุทัยธานี</t>
  </si>
  <si>
    <t>15004370056003210897</t>
  </si>
  <si>
    <t>งานปรับปรุงพื้นที่ ตามแบบมาตรฐาน โคก หนอง นาขนาด 3 ไร่ สำนักงานพัฒนาชุมชนอำเภอนาเยีย ตำบลนาเยีย อำเภอนาเยีย จังหวัดอุบลราชธานี</t>
  </si>
  <si>
    <t>15004370056003210907</t>
  </si>
  <si>
    <t>งานปรับปรุงพื้นที่ ตามแบบมาตรฐาน โคก หนอง นาขนาด 3 ไร่ สำนักงานพัฒนาชุมชนอำเภอสว่างวีระวงศ์ตำบลสว่าง อำเภอสว่างวีระวงศ์ จังหวัดอุบลราชธานี</t>
  </si>
  <si>
    <t>15004370056003210913</t>
  </si>
  <si>
    <t>งานปรับปรุงพื้นที่ ตามแบบมาตรฐาน โคก หนอง นาขนาด 3 ไร่ สำนักงานพัฒนาชุมชนอำเภอสวี อำเภอสวี จังหวัดชุมพร</t>
  </si>
  <si>
    <t>15004370056003210931</t>
  </si>
  <si>
    <t>งานปรับปรุงพื้นที่ ตามแบบมาตรฐาน โคก หนอง นา ขนาด 1 ไร่ สำนักงานพัฒนาชุมชนอำเภอบางน้ำเปรี้ยว จังหวัดฉะเชิงเทรา</t>
  </si>
  <si>
    <t>งานปรับปรุงพื้นที่ ตามแบบมาตรฐาน โคก หนอง นาขนาด 3 ไร่ สำนักงานพัฒนาชุมชนอำเภอบางน้ำเปรี้ยว จังหวัดฉะเชิงเทรา 3</t>
  </si>
  <si>
    <t>งานปรับปรุงพื้นที่ ตามแบบมาตรฐาน โคก หนอง นาขนาด 3 ไร่ สำนักงานพัฒนาชุมชนอำเภอเกาะพงัน อำเภอเกาะพงัน จังหวัดสุราษฎร์ธานี</t>
  </si>
  <si>
    <t>เบิกจ่าย + PO</t>
  </si>
  <si>
    <t>ติดตั้งหลังคาสำหรับรถยนต์ราชการ หมายเลขทะเบียน9 กอ 2603 กรุงเทพมหานคร</t>
  </si>
  <si>
    <t>15004370013003110019</t>
  </si>
  <si>
    <t>งานปรับปรุงพื้นที่ ตามแบบมาตรฐาน โคก หนอง นาขนาด 3 ไร่ สำนักงานพัฒนาชุมชนอำเภอแหลมสิงห์  ตำบลปากน้ำแหลมสิงห์อำเภอแหลมสิงห์ จังหวัดจันทบุรี</t>
  </si>
  <si>
    <t>15004370013003110005</t>
  </si>
  <si>
    <t>15004370013003110006</t>
  </si>
  <si>
    <t>ก่อสร้างรั้วคอนกรีตและปรับปรุงพื้นที่บริเวณบ้านพักข้าราชการสำนักงานพัฒนาชุมชนจังหวัดร้อยเอ็ด</t>
  </si>
  <si>
    <t>15004370013003210069</t>
  </si>
  <si>
    <t>ครุภัณฑ์ สำนักงานส่วนกลาง</t>
  </si>
  <si>
    <t>15004370013003110011</t>
  </si>
  <si>
    <t xml:space="preserve">ครุภัณฑ์สำนักงานพัฒนาชุมชนจังหวัดตาก จำนวน 9 รายการ </t>
  </si>
  <si>
    <t>15004370013003110012</t>
  </si>
  <si>
    <t>ครุภัณฑ์สำนักงานพัฒนาชุมชนจังหวัดสงขลา จำนวน 4 รายการ</t>
  </si>
  <si>
    <t>15004370013003110013</t>
  </si>
  <si>
    <t>ครุภัณฑ์สำนักงานพัฒนาชุมชนอำเภอบางกล่ำ จำนวน 5 รายการ</t>
  </si>
  <si>
    <t>15004370013003110014</t>
  </si>
  <si>
    <t>ครุภัณฑ์สำนักงานพัฒนาชุมชนควนเนียง จำนวน 1 รายการ</t>
  </si>
  <si>
    <t>15004370013003110015</t>
  </si>
  <si>
    <t>ครุภัณฑ์สำนักงานพัฒนาชุมชนอำเภอควนโดน จำนวน 1 รายการ</t>
  </si>
  <si>
    <t>15004370013003110016</t>
  </si>
  <si>
    <t>15004370013003110017</t>
  </si>
  <si>
    <t xml:space="preserve">ติดตั้งเครื่องปรับอากาศโรงอาหาร </t>
  </si>
  <si>
    <t>15004370013003110018</t>
  </si>
  <si>
    <t>โครงการขับเคลื่อนแนวทางเขตพัฒนาเศรษฐกิจพอเพียง (SEDZ) ด้วยโมเดลเศรษฐกิจใหม่ จังหวัดเพชรบูรณ์ กิจกรรมพัฒนาพื้นที่ครัวเรือนต้นแบบการพัฒนาคุณภาพชีวิต (Household Lab Model for quality of life : HML)</t>
  </si>
  <si>
    <t>15004370013003210068</t>
  </si>
  <si>
    <t>แผนงานยุทธศาสตร์เสริมสร้างพลังทางสังคม
ผลผลิต : เสริมสร้างขีดความสามารถของชุมชนในการบริหารจัดการข้อมูลเพื่อการพัฒนาชุมชน 105 รายการ</t>
  </si>
  <si>
    <t xml:space="preserve">ก่อสร้างอาคารโรงอาหารขนาด 120 ที่นั่ง วิทยาลัยการพัฒนาชุมชน  15004370013003200000
อำเภอบางละมุง จังหวัดชลบุรี </t>
  </si>
  <si>
    <t>15004370013003210008</t>
  </si>
  <si>
    <t>15004370013003210027</t>
  </si>
  <si>
    <t xml:space="preserve">ครุภัณฑ์สำนักงานส่วนกลาง </t>
  </si>
  <si>
    <t>15004370013003110020</t>
  </si>
  <si>
    <t xml:space="preserve">ครุภัณฑ์คอมพิวเตอร์ส่วนกลาง </t>
  </si>
  <si>
    <t>15004370013003110021</t>
  </si>
  <si>
    <t>ครุภัณฑ์สำนักงานพัฒนาชุมชนอำเภอปากช่อง จำนวน 7 รายการ</t>
  </si>
  <si>
    <t>15004370013003110022</t>
  </si>
  <si>
    <t xml:space="preserve">ครุภัณฑ์สำนักงานพัฒนาชุมชนอำเภอมัญจาคีรี จำนวน 5 รายการ </t>
  </si>
  <si>
    <t>15004370013003110023</t>
  </si>
  <si>
    <t>ครุภัณฑ์สำนักงานพัฒนาชุมชนจังหวัดอุดรธานี จำนวน 5 รายการ</t>
  </si>
  <si>
    <t>15004370013003110024</t>
  </si>
  <si>
    <t xml:space="preserve">ครุภัณฑ์สำนักงานพัฒนาชุมชนจังหวัดมุกดาหาร 14 รายการ </t>
  </si>
  <si>
    <t>15004370013003110025</t>
  </si>
  <si>
    <t>ครุภัณฑ์สำนักงานพัฒนาชุมชนอำเภอแม่สาย จำนวน 4 รายการ</t>
  </si>
  <si>
    <t>15004370013003110026</t>
  </si>
  <si>
    <t>ครุภัณฑ์สำนักงานพัฒนาชุมชนจังหวัดกำแพงเพชร จำนวน 3 รายการ</t>
  </si>
  <si>
    <t>15004370013003110027</t>
  </si>
  <si>
    <t>ครุภัณฑ์สำนักงานพัฒนาชุมชนเมืองกำแพงเพชร จำนวน 9 รายการ</t>
  </si>
  <si>
    <t>15004370013003110028</t>
  </si>
  <si>
    <t>ครุภัณฑ์สำนักงานพัฒนาชุมชนจังหวัดพิจิตร จำนวน 4 รายการ</t>
  </si>
  <si>
    <t>15004370013003110029</t>
  </si>
  <si>
    <t>ครุภัณฑ์โฆษณาและเผยแพร่ สำนักงานพัฒนาชุมชนจังหวัดพิจิตรจำนวน 4 รายการ</t>
  </si>
  <si>
    <t>15004370013003110030</t>
  </si>
  <si>
    <t>ครุภัณฑ์สำนักงานพัฒนาชุมชนจังหวัดระนอง จำนวน 2 รายการ</t>
  </si>
  <si>
    <t>15004370013003110031</t>
  </si>
  <si>
    <t>ครุภัณฑ์สำนักงานพัฒนาชุมชนอำเภอท่าแซะ จำนวน 8 รายการ</t>
  </si>
  <si>
    <t>15004370013003110032</t>
  </si>
  <si>
    <t>ครุภัณฑ์สำนักงานพัฒนาชุมชนอำเภอเมืองชุมพร จำนวน 2 รายการ</t>
  </si>
  <si>
    <t>15004340013003110033</t>
  </si>
  <si>
    <t xml:space="preserve">ครุภัณฑ์สำนักงานพัฒนาชุมชนอำเภอเทพา จำนวน 9 รายการ </t>
  </si>
  <si>
    <t>15004370013003110034</t>
  </si>
  <si>
    <t>ครุภัณฑ์สำนักงานพัฒนาชุมชนอำเภอเมืองสตูล จำนวน 2 รายการ</t>
  </si>
  <si>
    <t>15004370013003110036</t>
  </si>
  <si>
    <t>ครุภัณฑ์สำนักงานพัฒนาชุมชนอำเภอละงู จำนวน 1 รายการ</t>
  </si>
  <si>
    <t>15004370013003110037</t>
  </si>
  <si>
    <t>ครุภัณฑ์โฆษณาและเผยแพร่ สำนักงานพัฒนาชุมชนจังหวัดสตูล จำนวน 6 รายการ</t>
  </si>
  <si>
    <t>15004370013003110035</t>
  </si>
  <si>
    <t>ครุภัณฑ์สำนักงานพัฒนาชุมชนอำเภอหนองจิก จำนวน 1 รายการ</t>
  </si>
  <si>
    <t>15004370013003110038</t>
  </si>
  <si>
    <t>โครงการพัฒนาหมู่บ้านเศรษฐกิจพอเพียง  1,007 รายการ</t>
  </si>
  <si>
    <t xml:space="preserve">ข้อมูลสะสมตั้งแต่วันที่ 1 ตุลาคม 2564  ถึงสิ้นสุดวันที่ 30 กันยายน 2565 </t>
  </si>
  <si>
    <t xml:space="preserve">  </t>
  </si>
  <si>
    <t>โครงการสนับสนุนสื่อส่งเสริมการเรียนรู้การพัฒนาคุณภาพชีวิตตามหลักปรัชญาของเศรษฐกิจพอเพียง</t>
  </si>
  <si>
    <t>15004370056003110001</t>
  </si>
  <si>
    <t>คงเหลือจัดสรรหลังโอนเปลี่ยนแปลง</t>
  </si>
  <si>
    <t>รวม (ผลการเบิกจ่าย+PO)</t>
  </si>
  <si>
    <t>ศพช พิษณุโลก</t>
  </si>
  <si>
    <t>1. งบดำเนินงาน</t>
  </si>
  <si>
    <t>รวม (ผลการเบิกจ่าย + PO)</t>
  </si>
  <si>
    <t>ปรับปรุงศูนย์ศึกษาและพัฒนาชุมชนพิษณุโลก ตำบลวังทอง อำเภอวังทอง จังหวัดพิษณุโลก</t>
  </si>
  <si>
    <t>ปรับปรุงศูนย์ศึกษาและพัฒนาชุมชนเพชรบุรี ตำบลเขาใหญ่ อำเภอชะอำ จังหวัดเพชรบุรี</t>
  </si>
  <si>
    <t>ปรับปรุงศูนย์ศึกษาและพัฒนาชุมชนยะลา ตำบลสะเตง อำเภอเมืองยะลา จังหวัดยะลา</t>
  </si>
  <si>
    <t>ปรับปรุงศูนย์ศึกษาและพัฒนาชุมชนลำปาง ตำบลปงแสนทอง อำเภอเมืองลำปาง จังหวัดลำปาง</t>
  </si>
  <si>
    <t>ปรับปรุงศูนย์ศึกษาและพัฒนาชุมชนสระบุรี ตำบลทับกวาง อำเภอแก่งคอย จังหวัดสระบุรี</t>
  </si>
  <si>
    <t>ปรับปรุงสำนักงานพัฒนาชุมชนอำเภอยะรัง ตำบลยะรัง อำเภอยะรัง จังหวัดปัตตานี</t>
  </si>
  <si>
    <t>สพจ. สมุทรปราการ</t>
  </si>
  <si>
    <t>สพจ. ชัยนาท</t>
  </si>
  <si>
    <t>สพจ. ยโสธร</t>
  </si>
  <si>
    <t>สพจ. บึงกาฬ</t>
  </si>
  <si>
    <t>ศพช. นครนายก</t>
  </si>
  <si>
    <t>ศพช. ลำปาง</t>
  </si>
  <si>
    <t>ศพช. พิษณุโลก</t>
  </si>
  <si>
    <t>โอนเปลี่ยนแปลงงบลงทุนเป็นงบดำเนินงาน</t>
  </si>
  <si>
    <t>15004360001003110001</t>
  </si>
  <si>
    <t>15004360001003110002</t>
  </si>
  <si>
    <t>15004360001003210001</t>
  </si>
  <si>
    <t>15004360001003210002</t>
  </si>
  <si>
    <t>15004360001003210003</t>
  </si>
  <si>
    <t>15004360001003210004</t>
  </si>
  <si>
    <t>15004360001003210005</t>
  </si>
  <si>
    <t>15004360001003210006</t>
  </si>
  <si>
    <t>15004360001003210007</t>
  </si>
  <si>
    <t>15004360001003210008</t>
  </si>
  <si>
    <t>15004360001003210009</t>
  </si>
  <si>
    <t>15004360001003210010</t>
  </si>
  <si>
    <t>15004360001003210011</t>
  </si>
  <si>
    <t>15004360001003210012</t>
  </si>
  <si>
    <t>15004360001003210013</t>
  </si>
  <si>
    <t>15004360001003210014</t>
  </si>
  <si>
    <t>15004360001003210015</t>
  </si>
  <si>
    <t>15004360001003210016</t>
  </si>
  <si>
    <t>15004360001003210017</t>
  </si>
  <si>
    <t>15004360001003210018</t>
  </si>
  <si>
    <t>15004360001003210019</t>
  </si>
  <si>
    <t>15004360001003210020</t>
  </si>
  <si>
    <t>15004360001003210021</t>
  </si>
  <si>
    <t>15004360001003210022</t>
  </si>
  <si>
    <t>15004360001003210023</t>
  </si>
  <si>
    <t>15004360001003210024</t>
  </si>
  <si>
    <t>15004360001003210025</t>
  </si>
  <si>
    <t>15004360001003210026</t>
  </si>
  <si>
    <t>15004360001003110003</t>
  </si>
  <si>
    <t>15004360001003110004</t>
  </si>
  <si>
    <t>15004360001003210027</t>
  </si>
  <si>
    <t>15004360001003210028</t>
  </si>
  <si>
    <t>15004360001003210029</t>
  </si>
  <si>
    <t>15004360001003210030</t>
  </si>
  <si>
    <t>15004360001003210031</t>
  </si>
  <si>
    <t>15004360001003210032</t>
  </si>
  <si>
    <t>15004360001003210033</t>
  </si>
  <si>
    <t>15004360001003210034</t>
  </si>
  <si>
    <t>15004360001003210035</t>
  </si>
  <si>
    <t>15004360001003210036</t>
  </si>
  <si>
    <t>15004360001003210037</t>
  </si>
  <si>
    <t>15004360001003210038</t>
  </si>
  <si>
    <t>15004360001003210039</t>
  </si>
  <si>
    <t>15004360001003210040</t>
  </si>
  <si>
    <t>15004360001003210041</t>
  </si>
  <si>
    <t>15004360001003210042</t>
  </si>
  <si>
    <t>15004360001003210043</t>
  </si>
  <si>
    <t>15004360001003210044</t>
  </si>
  <si>
    <t>15004360001003210045</t>
  </si>
  <si>
    <t>15004360001003210046</t>
  </si>
  <si>
    <t>15004360001003210047</t>
  </si>
  <si>
    <t>15004360001003210048</t>
  </si>
  <si>
    <t>15004360001003210049</t>
  </si>
  <si>
    <t>15004360001003210050</t>
  </si>
  <si>
    <t>15004360001003210051</t>
  </si>
  <si>
    <t>15004360001003210052</t>
  </si>
  <si>
    <t>15004360001003210053</t>
  </si>
  <si>
    <t>15004360005003210001</t>
  </si>
  <si>
    <t>15004360005003210003</t>
  </si>
  <si>
    <t>15004360005003210005</t>
  </si>
  <si>
    <t>15004360005003210007</t>
  </si>
  <si>
    <t>งานปรับปรุงพื้นที่ ตามแบบมาตรฐาน โคก หนอง นา ขนาด 1 ไร่ สำนักงานพัฒนาชุมชนอำเภอกุฉินารายณ์ ตำบลบัวขาว อำเภอกุฉินารายณ์ จังหวัดกาฬสินธุ์</t>
  </si>
  <si>
    <t>15004360005003210008</t>
  </si>
  <si>
    <t>15004360005003210009</t>
  </si>
  <si>
    <t>15004360005003210011</t>
  </si>
  <si>
    <t>15004360005003210012</t>
  </si>
  <si>
    <t>15004360005003210013</t>
  </si>
  <si>
    <t>15004360005003210014</t>
  </si>
  <si>
    <t>15004360005003210015</t>
  </si>
  <si>
    <t>15004360005003210016</t>
  </si>
  <si>
    <t>งานปรับปรุงพื้นที่ ตามแบบมาตรฐาน โคก หนอง นา ขนาด 1 ไร่ สำนักงานพัฒนาชุมชนอำเภอท่าคันโท ตำบลนาตาล อำเภอท่าคันโท จังหวัดกาฬสินธุ์</t>
  </si>
  <si>
    <t>15004360005003210017</t>
  </si>
  <si>
    <t>งานปรับปรุงพื้นที่ ตามแบบมาตรฐาน โคก หนอง นา ขนาด 1 ไร่ สำนักงานพัฒนาชุมชนอำเภอเมืองขอนแก่น ตำบลในเมือง อำเภอเมืองขอนแก่น จังหวัดขอนแก่น</t>
  </si>
  <si>
    <t>15004360005003210020</t>
  </si>
  <si>
    <t>งานปรับปรุงพื้นที่ ตามแบบมาตรฐาน โคก หนอง นา ขนาด 1 ไร่ สำนักงานพัฒนาชุมชนอำเภอบ้านฝาง ตำบลบ้านฝาง อำเภอบ้านฝาง จังหวัดขอนแก่น</t>
  </si>
  <si>
    <t>15004360005003210021</t>
  </si>
  <si>
    <t>งานปรับปรุงพื้นที่ ตามแบบมาตรฐาน โคก หนอง นา ขนาด 1 ไร่ สำนักงานพัฒนาชุมชนอำเภอน้ำพอง ตำบลวังชัย อำเภอน้ำพอง จังหวัดขอนแก่น</t>
  </si>
  <si>
    <t>15004360005003210022</t>
  </si>
  <si>
    <t>15004360005003210023</t>
  </si>
  <si>
    <t>15004360005003210024</t>
  </si>
  <si>
    <t>15004360005003210025</t>
  </si>
  <si>
    <t>15004360005003210026</t>
  </si>
  <si>
    <t>15004360005003210027</t>
  </si>
  <si>
    <t>งานปรับปรุงพื้นที่ ตามแบบมาตรฐาน โคก หนอง นา ขนาด 1 ไร่ สำนักงานพัฒนาชุมชนอำเภอหนองเรือ ตำบลหนองเรือ อำเภอหนองเรือ จังหวัดขอนแก่น</t>
  </si>
  <si>
    <t>15004360005003210028</t>
  </si>
  <si>
    <t>15004360005003210029</t>
  </si>
  <si>
    <t>15004360005003210030</t>
  </si>
  <si>
    <t>15004360005003210031</t>
  </si>
  <si>
    <t>15004360005003210032</t>
  </si>
  <si>
    <t>15004360005003210033</t>
  </si>
  <si>
    <t>งานปรับปรุงพื้นที่ ตามแบบมาตรฐาน โคก หนอง นา ขนาด 1 ไร่ สำนักงานพัฒนาชุมชนอำเภอชนบท ตำบลชนบท อำเภอชนบท จังหวัดขอนแก่น</t>
  </si>
  <si>
    <t>15004360005003210034</t>
  </si>
  <si>
    <t>15004360005003210035</t>
  </si>
  <si>
    <t>15004360005003210036</t>
  </si>
  <si>
    <t>15004360005003210037</t>
  </si>
  <si>
    <t>15004360005003210038</t>
  </si>
  <si>
    <t>งานปรับปรุงพื้นที่ ตามแบบมาตรฐาน โคก หนอง นา ขนาด 1 ไร่ สำนักงานพัฒนาชุมชนอำเภอหนองสองห้อง ตำบลหนองสองห้อง อำเภอหนองสองห้อง จังหวัดขอนแก่น</t>
  </si>
  <si>
    <t>15004360005003210039</t>
  </si>
  <si>
    <t>15004360005003210040</t>
  </si>
  <si>
    <t>งานปรับปรุงพื้นที่ ตามแบบมาตรฐาน โคก หนอง นา ขนาด 1 ไร่ สำนักงานพัฒนาชุมชนอำเภอแวงน้อย ตำบลแวงน้อย อำเภอแวงน้อย จังหวัดขอนแก่น</t>
  </si>
  <si>
    <t>15004360005003210041</t>
  </si>
  <si>
    <t>15004360005003210042</t>
  </si>
  <si>
    <t>15004360005003210043</t>
  </si>
  <si>
    <t>15004360005003210044</t>
  </si>
  <si>
    <t>15004360005003210045</t>
  </si>
  <si>
    <t>15004360005003210046</t>
  </si>
  <si>
    <t>15004360005003210049</t>
  </si>
  <si>
    <t>15004360005003210050</t>
  </si>
  <si>
    <t>15004360005003210053</t>
  </si>
  <si>
    <t>งานปรับปรุงพื้นที่ ตามแบบมาตรฐาน โคก หนอง นา ขนาด 1 ไร่ สำนักงานพัฒนาชุมชนอำเภอขุนตาล ตำบลป่าตาล อำเภอขุนตาล จังหวัดเชียงราย</t>
  </si>
  <si>
    <t>15004360005003210054</t>
  </si>
  <si>
    <t>งานปรับปรุงพื้นที่ ตามแบบมาตรฐาน โคก หนอง นา ขนาด 1 ไร่ สำนักงานพัฒนาชุมชนอำเภอเชียงของ ตำบลเวียง อำเภอเชียงของ จังหวัดเชียงราย</t>
  </si>
  <si>
    <t>15004360005003210055</t>
  </si>
  <si>
    <t>15004360005003210056</t>
  </si>
  <si>
    <t>15004360005003210057</t>
  </si>
  <si>
    <t>งานปรับปรุงพื้นที่ ตามแบบมาตรฐาน โคก หนอง นา ขนาด 1 ไร่ สำนักงานพัฒนาชุมชนอำเภอพาน ตำบลเมืองพาน อำเภอพาน จังหวัดเชียงราย</t>
  </si>
  <si>
    <t>15004360005003210059</t>
  </si>
  <si>
    <t>15004360005003210060</t>
  </si>
  <si>
    <t>15004360005003210061</t>
  </si>
  <si>
    <t>15004360005003210062</t>
  </si>
  <si>
    <t>งานปรับปรุงพื้นที่ ตามแบบมาตรฐาน โคก หนอง นา ขนาด 1 ไร่ สำนักงานพัฒนาชุมชนอำเภอเวียงชัย ตำบลเวียงชัย อำเภอเวียงชัย จังหวัดเชียงราย</t>
  </si>
  <si>
    <t>15004360005003210063</t>
  </si>
  <si>
    <t>15004360005003210064</t>
  </si>
  <si>
    <t>งานปรับปรุงพื้นที่ ตามแบบมาตรฐาน โคก หนอง นา ขนาด 1 ไร่ สำนักงานพัฒนาชุมชนอำเภอดอยหลวง ตำบลปงน้อย อำเภอดอยหลวง จังหวัดเชียงราย</t>
  </si>
  <si>
    <t>15004360005003210065</t>
  </si>
  <si>
    <t>งานปรับปรุงพื้นที่ ตามแบบมาตรฐาน โคก หนอง นา ขนาด 1 ไร่ สำนักงานพัฒนาชุมชนอำเภอจอมทอง ตำบลบ้านหลวง อำเภอจอมทอง จังหวัดเชียงใหม่</t>
  </si>
  <si>
    <t>15004360005003210066</t>
  </si>
  <si>
    <t>15004360005003210068</t>
  </si>
  <si>
    <t>15004360005003210069</t>
  </si>
  <si>
    <t>15004360005003210070</t>
  </si>
  <si>
    <t>งานปรับปรุงพื้นที่ ตามแบบมาตรฐาน โคก หนอง นา ขนาด 1 ไร่ สำนักงานพัฒนาชุมชนอำเภอแม่อาย ตำบลแม่อาย อำเภอแม่อาย จังหวัดเชียงใหม่</t>
  </si>
  <si>
    <t>15004360005003210074</t>
  </si>
  <si>
    <t>15004360005003210075</t>
  </si>
  <si>
    <t>15004360005003210076</t>
  </si>
  <si>
    <t>15004360005003210078</t>
  </si>
  <si>
    <t>15004360005003210079</t>
  </si>
  <si>
    <t>15004360005003210080</t>
  </si>
  <si>
    <t>15004360005003210081</t>
  </si>
  <si>
    <t>งานปรับปรุงพื้นที่ ตามแบบมาตรฐาน โคก หนอง นา ขนาด 1 ไร่ สำนักงานพัฒนาชุมชนอำเภอปลาปาก ตำบลปลาปาก อำเภอปลาปาก จังหวัดนครพนม</t>
  </si>
  <si>
    <t>15004360005003210082</t>
  </si>
  <si>
    <t>15004360005003210083</t>
  </si>
  <si>
    <t>15004360005003210084</t>
  </si>
  <si>
    <t>15004360005003210085</t>
  </si>
  <si>
    <t>งานปรับปรุงพื้นที่ ตามแบบมาตรฐาน โคก หนอง นา ขนาด 1 ไร่ สำนักงานพัฒนาชุมชนอำเภอนาแก ตำบลนาแก อำเภอนาแก จังหวัดนครพนม</t>
  </si>
  <si>
    <t>15004360005003210086</t>
  </si>
  <si>
    <t>งานปรับปรุงพื้นที่ ตามแบบมาตรฐาน โคก หนอง นา ขนาด 1 ไร่ สำนักงานพัฒนาชุมชนอำเภอนาหว้า ตำบลนาหว้า อำเภอนาหว้า จังหวัดนครพนม</t>
  </si>
  <si>
    <t>งานปรับปรุงพื้นที่ ตามแบบมาตรฐาน โคก หนอง นา ขนาด 1 ไร่ สำนักงานพัฒนาชุมชนอำเภอโพนสวรรค์ ตำบลโพนสวรรค์ อำเภอโพนสวรรค์ จังหวัดนครพนม</t>
  </si>
  <si>
    <t>15004360005003210089</t>
  </si>
  <si>
    <t>งานปรับปรุงพื้นที่ ตามแบบมาตรฐาน โคก หนอง นา ขนาด 1 ไร่ สำนักงานพัฒนาชุมชนอำเภอนาทม ตำบลดอนเตย อำเภอนาทม จังหวัดนครพนม</t>
  </si>
  <si>
    <t>15004360005003210090</t>
  </si>
  <si>
    <t>งานปรับปรุงพื้นที่ ตามแบบมาตรฐาน โคก หนอง นา ขนาด 1 ไร่ สำนักงานพัฒนาชุมชนอำเภอวังยาง ตำบลวังยาง อำเภอวังยาง จังหวัดนครพนม</t>
  </si>
  <si>
    <t>15004360005003210091</t>
  </si>
  <si>
    <t>15004360005003210092</t>
  </si>
  <si>
    <t>15004360005003210093</t>
  </si>
  <si>
    <t>15004360005003210095</t>
  </si>
  <si>
    <t>งานปรับปรุงพื้นที่ ตามแบบมาตรฐาน โคก หนอง นา ขนาด 1 ไร่ สำนักงานพัฒนาชุมชนอำเภอครบุรี ตำบลแชะ อำเภอครบุรี จังหวัดนครราชสีมา</t>
  </si>
  <si>
    <t>15004360005003210096</t>
  </si>
  <si>
    <t>15004360005003210097</t>
  </si>
  <si>
    <t>15004360005003210098</t>
  </si>
  <si>
    <t>งานปรับปรุงพื้นที่ ตามแบบมาตรฐาน โคก หนอง นา ขนาด 1 ไร่ สำนักงานพัฒนาชุมชนอำเภอโชคชัย ตำบลโชคชัย อำเภอโชคชัย จังหวัดนครราชสีมา</t>
  </si>
  <si>
    <t>15004360005003210099</t>
  </si>
  <si>
    <t>งานปรับปรุงพื้นที่ ตามแบบมาตรฐาน โคก หนอง นา ขนาด 1 ไร่ สำนักงานพัฒนาชุมชนอำเภอด่านขุนทด ตำบลด่านขุนทด อำเภอด่านขุนทด จังหวัดนครราชสีมา</t>
  </si>
  <si>
    <t>15004360005003210100</t>
  </si>
  <si>
    <t>15004360005003210101</t>
  </si>
  <si>
    <t>15004360005003210102</t>
  </si>
  <si>
    <t>งานปรับปรุงพื้นที่ ตามแบบมาตรฐาน โคก หนอง นา ขนาด 1 ไร่ สำนักงานพัฒนาชุมชนอำเภอโนนสูง ตำบลโนนสูง อำเภอโนนสูง จังหวัดนครราชสีมา</t>
  </si>
  <si>
    <t>15004360005003210103</t>
  </si>
  <si>
    <t>15004360005003210104</t>
  </si>
  <si>
    <t>15004360005003210105</t>
  </si>
  <si>
    <t>งานปรับปรุงพื้นที่ ตามแบบมาตรฐาน โคก หนอง นา ขนาด 1 ไร่ สำนักงานพัฒนาชุมชนอำเภอปากช่อง ตำบลปากช่อง อำเภอปากช่อง จังหวัดนครราชสีมา</t>
  </si>
  <si>
    <t>15004360005003210106</t>
  </si>
  <si>
    <t>15004360005003210107</t>
  </si>
  <si>
    <t>งานปรับปรุงพื้นที่ ตามแบบมาตรฐาน โคก หนอง นา ขนาด 1 ไร่ สำนักงานพัฒนาชุมชนอำเภอพิมาย ตำบลในเมือง อำเภอพิมาย จังหวัดนครราชสีมา</t>
  </si>
  <si>
    <t>15004360005003210108</t>
  </si>
  <si>
    <t>15004360005003210109</t>
  </si>
  <si>
    <t>15004360005003210110</t>
  </si>
  <si>
    <t>15004360005003210111</t>
  </si>
  <si>
    <t>15004360005003210112</t>
  </si>
  <si>
    <t>งานปรับปรุงพื้นที่ ตามแบบมาตรฐาน โคก หนอง นา ขนาด 1 ไร่ สำนักงานพัฒนาชุมชนอำเภอสีดา ตำบลโพนทอง อำเภอสีดา จังหวัดนครราชสีมา</t>
  </si>
  <si>
    <t>15004360005003210115</t>
  </si>
  <si>
    <t>15004360005003210116</t>
  </si>
  <si>
    <t>15004360005003210117</t>
  </si>
  <si>
    <t>15004360005003210118</t>
  </si>
  <si>
    <t>งานปรับปรุงพื้นที่ ตามแบบมาตรฐาน โคก หนอง นา ขนาด 1 ไร่ สำนักงานพัฒนาชุมชนอำเภอฉวาง ตำบลฉวาง อำเภอฉวาง จังหวัดนครศรีธรรมราช</t>
  </si>
  <si>
    <t>15004360005003210120</t>
  </si>
  <si>
    <t>15004360005003210121</t>
  </si>
  <si>
    <t>15004360005003210123</t>
  </si>
  <si>
    <t>15004360005003210124</t>
  </si>
  <si>
    <t>15004360005003210126</t>
  </si>
  <si>
    <t>15004360005003210127</t>
  </si>
  <si>
    <t>15004360005003210128</t>
  </si>
  <si>
    <t>15004360005003210129</t>
  </si>
  <si>
    <t>15004360005003210130</t>
  </si>
  <si>
    <t>15004360005003210131</t>
  </si>
  <si>
    <t>15004360005003210133</t>
  </si>
  <si>
    <t>15004360005003210134</t>
  </si>
  <si>
    <t>15004360005003210135</t>
  </si>
  <si>
    <t>15004360005003210136</t>
  </si>
  <si>
    <t>15004360005003210137</t>
  </si>
  <si>
    <t>15004360005003210138</t>
  </si>
  <si>
    <t>15004360005003210139</t>
  </si>
  <si>
    <t>15004360005003210140</t>
  </si>
  <si>
    <t>15004360005003210141</t>
  </si>
  <si>
    <t>15004360005003210142</t>
  </si>
  <si>
    <t>15004360005003210143</t>
  </si>
  <si>
    <t>15004360005003210144</t>
  </si>
  <si>
    <t>15004360005003210145</t>
  </si>
  <si>
    <t>งานปรับปรุงพื้นที่ ตามแบบมาตรฐาน โคก หนอง นา ขนาด 1 ไร่ สำนักงานพัฒนาชุมชนอำเภอภูเพียง ตำบลท่าน้าว อำเภอภูเพียง จังหวัดน่าน</t>
  </si>
  <si>
    <t>15004360005003210146</t>
  </si>
  <si>
    <t>15004360005003210147</t>
  </si>
  <si>
    <t>งานปรับปรุงพื้นที่ ตามแบบมาตรฐาน โคก หนอง นา ขนาด 1 ไร่ สำนักงานพัฒนาชุมชนอำเภอเมืองบึงกาฬ ตำบลบึงกาฬ อำเภอเมืองบึงกาฬ จังหวัดบึงกาฬ</t>
  </si>
  <si>
    <t>15004360005003210149</t>
  </si>
  <si>
    <t>งานปรับปรุงพื้นที่ ตามแบบมาตรฐาน โคก หนอง นา ขนาด 1 ไร่ สำนักงานพัฒนาชุมชนอำเภอเซกา ตำบลเซกา อำเภอเซกา จังหวัดบึงกาฬ</t>
  </si>
  <si>
    <t>15004360005003210150</t>
  </si>
  <si>
    <t>15004360005003210151</t>
  </si>
  <si>
    <t>15004360005003210152</t>
  </si>
  <si>
    <t>15004360005003210153</t>
  </si>
  <si>
    <t>15004360005003210154</t>
  </si>
  <si>
    <t>งานปรับปรุงพื้นที่ ตามแบบมาตรฐาน โคก หนอง นา ขนาด 1 ไร่ สำนักงานพัฒนาชุมชนอำเภอบึงโขงหลง ตำบลบึงโขงหลง อำเภอบึงโขงหลง จังหวัดบึงกาฬ</t>
  </si>
  <si>
    <t>15004360005003210155</t>
  </si>
  <si>
    <t>15004360005003210156</t>
  </si>
  <si>
    <t>15004360005003210157</t>
  </si>
  <si>
    <t>15004360005003210158</t>
  </si>
  <si>
    <t>15004360005003210159</t>
  </si>
  <si>
    <t>15004360005003210160</t>
  </si>
  <si>
    <t>15004360005003210161</t>
  </si>
  <si>
    <t>15004360005003210162</t>
  </si>
  <si>
    <t>15004360005003210163</t>
  </si>
  <si>
    <t>งานปรับปรุงพื้นที่ ตามแบบมาตรฐาน โคก หนอง นา ขนาด 1 ไร่ สำนักงานพัฒนาชุมชนอำเภอโนนสุวรรณ ตำบลโนนสุวรรณ อำเภอโนนสุวรรณ จังหวัดบุรีรัมย์</t>
  </si>
  <si>
    <t>15004360005003210165</t>
  </si>
  <si>
    <t>15004360005003210166</t>
  </si>
  <si>
    <t>15004360005003210167</t>
  </si>
  <si>
    <t>15004360005003210168</t>
  </si>
  <si>
    <t>งานปรับปรุงพื้นที่ ตามแบบมาตรฐาน โคก หนอง นา ขนาด 1 ไร่ สำนักงานพัฒนาชุมชนอำเภอหนองกี่ ตำบลทุ่งกระตาดพัฒนา อำเภอหนองกี่ จังหวัดบุรีรัมย์</t>
  </si>
  <si>
    <t>15004360005003210169</t>
  </si>
  <si>
    <t>งานปรับปรุงพื้นที่ ตามแบบมาตรฐาน โคก หนอง นา ขนาด 1 ไร่ สำนักงานพัฒนาชุมชนอำเภอหนองหงส์ ตำบลสระแก้ว อำเภอหนองหงส์ จังหวัดบุรีรัมย์</t>
  </si>
  <si>
    <t>15004360005003210170</t>
  </si>
  <si>
    <t>15004360005003210171</t>
  </si>
  <si>
    <t>15004360005003210172</t>
  </si>
  <si>
    <t>15004360005003210173</t>
  </si>
  <si>
    <t>15004360005003210176</t>
  </si>
  <si>
    <t>งานปรับปรุงพื้นที่ ตามแบบมาตรฐาน โคก หนอง นา ขนาด 1 ไร่ สำนักงานพัฒนาชุมชนอำเภอประจันตคาม ตำบลประจันตคาม อำเภอประจันตคาม จังหวัดปราจีนบุรี</t>
  </si>
  <si>
    <t>15004360005003210178</t>
  </si>
  <si>
    <t>15004360005003210179</t>
  </si>
  <si>
    <t>งานปรับปรุงพื้นที่ ตามแบบมาตรฐาน โคก หนอง นา ขนาด 1 ไร่ สำนักงานพัฒนาชุมชนอำเภอปะนาเระ ตำบลปะนาเระ อำเภอปะนาเระ จังหวัดปัตตานี</t>
  </si>
  <si>
    <t>15004360005003210180</t>
  </si>
  <si>
    <t>15004360005003210182</t>
  </si>
  <si>
    <t>15004360005003210183</t>
  </si>
  <si>
    <t>งานปรับปรุงพื้นที่ ตามแบบมาตรฐาน โคก หนอง นา ขนาด 1 ไร่ สำนักงานพัฒนาชุมชนอำเภอยะรัง ตำบลยะรัง อำเภอยะรัง จังหวัดปัตตานี</t>
  </si>
  <si>
    <t>15004360005003210184</t>
  </si>
  <si>
    <t>งานปรับปรุงพื้นที่ ตามแบบมาตรฐาน โคก หนอง นา ขนาด 1 ไร่ สำนักงานพัฒนาชุมชนอำเภอโคกโพธิ์ ตำบลโคกโพธิ์ อำเภอโคกโพธิ์ จังหวัดปัตตานี</t>
  </si>
  <si>
    <t>15004360005003210185</t>
  </si>
  <si>
    <t>15004360005003210186</t>
  </si>
  <si>
    <t>15004360005003210187</t>
  </si>
  <si>
    <t>15004360005003210189</t>
  </si>
  <si>
    <t>15004360005003210191</t>
  </si>
  <si>
    <t>15004360005003210192</t>
  </si>
  <si>
    <t>15004360005003210193</t>
  </si>
  <si>
    <t>15004360005003210194</t>
  </si>
  <si>
    <t>15004360005003210195</t>
  </si>
  <si>
    <t>15004360005003210196</t>
  </si>
  <si>
    <t>15004360005003210197</t>
  </si>
  <si>
    <t>15004360005003210198</t>
  </si>
  <si>
    <t>15004360005003210200</t>
  </si>
  <si>
    <t>15004360005003210201</t>
  </si>
  <si>
    <t>15004360005003210202</t>
  </si>
  <si>
    <t>15004360005003210203</t>
  </si>
  <si>
    <t>15004360005003210204</t>
  </si>
  <si>
    <t>15004360005003210206</t>
  </si>
  <si>
    <t>15004360005003210207</t>
  </si>
  <si>
    <t>15004360005003210208</t>
  </si>
  <si>
    <t>15004360005003210212</t>
  </si>
  <si>
    <t>งานปรับปรุงพื้นที่ ตามแบบมาตรฐาน โคก หนอง นา ขนาด 1 ไร่ สำนักงานพัฒนาชุมชนอำเภอพยัคฆภูมิพิสัย ตำบลปะหลาน อำเภอพยัคฆภูมิพิสัย จังหวัดมหาสารคาม</t>
  </si>
  <si>
    <t>15004360005003210214</t>
  </si>
  <si>
    <t>งานปรับปรุงพื้นที่ ตามแบบมาตรฐาน โคก หนอง นา ขนาด 1 ไร่ สำนักงานพัฒนาชุมชนอำเภอเมืองมหาสารคาม ตำบลตลาด อำเภอเมืองมหาสารคาม จังหวัดมหาสารคาม</t>
  </si>
  <si>
    <t>15004360005003210215</t>
  </si>
  <si>
    <t>งานปรับปรุงพื้นที่ ตามแบบมาตรฐาน โคก หนอง นา ขนาด 1 ไร่ สำนักงานพัฒนาชุมชนอำเภอบรบือ ตำบลบรบือ อำเภอบรบือ จังหวัดมหาสารคาม</t>
  </si>
  <si>
    <t>15004360005003210217</t>
  </si>
  <si>
    <t>งานปรับปรุงพื้นที่ ตามแบบมาตรฐาน โคก หนอง นา ขนาด 1 ไร่ สำนักงานพัฒนาชุมชนอำเภอเชียงยืน ตำบลเชียงยืน อำเภอเชียงยืน จังหวัดมหาสารคาม</t>
  </si>
  <si>
    <t>งานปรับปรุงพื้นที่ ตามแบบมาตรฐาน โคก หนอง นา ขนาด 1 ไร่ สำนักงานพัฒนาชุมชนอำเภอวาปีปทุม ตำบลหนองแสง อำเภอวาปีปทุม จังหวัดมหาสารคาม</t>
  </si>
  <si>
    <t>15004360005003210219</t>
  </si>
  <si>
    <t>15004360005003210220</t>
  </si>
  <si>
    <t>15004360005003210221</t>
  </si>
  <si>
    <t>15004360005003210222</t>
  </si>
  <si>
    <t>งานปรับปรุงพื้นที่ ตามแบบมาตรฐาน โคก หนอง นา ขนาด 1 ไร่ สำนักงานพัฒนาชุมชนอำเภอกุดชุม ตำบลกุดชุม อำเภอกุดชุม จังหวัดยโสธร</t>
  </si>
  <si>
    <t>15004360005003210225</t>
  </si>
  <si>
    <t>งานปรับปรุงพื้นที่ ตามแบบมาตรฐาน โคก หนอง นา ขนาด 1 ไร่ สำนักงานพัฒนาชุมชนอำเภอคำเขื่อนแก้ว ตำบลลุมพุก อำเภอคำเขื่อนแก้ว จังหวัดยโสธร</t>
  </si>
  <si>
    <t>15004360005003210226</t>
  </si>
  <si>
    <t>งานปรับปรุงพื้นที่ ตามแบบมาตรฐาน โคก หนอง นา ขนาด 1 ไร่ สำนักงานพัฒนาชุมชนอำเภอทรายมูล ตำบลทรายมูล อำเภอทรายมูล จังหวัดยโสธร</t>
  </si>
  <si>
    <t>15004360005003210227</t>
  </si>
  <si>
    <t>งานปรับปรุงพื้นที่ ตามแบบมาตรฐาน โคก หนอง นา ขนาด 1 ไร่ สำนักงานพัฒนาชุมชนอำเภอไทยเจริญ ตำบลไทยเจริญ อำเภอไทยเจริญ จังหวัดยโสธร</t>
  </si>
  <si>
    <t>15004360005003210228</t>
  </si>
  <si>
    <t>15004360005003210229</t>
  </si>
  <si>
    <t>งานปรับปรุงพื้นที่ ตามแบบมาตรฐาน โคก หนอง นา ขนาด 1 ไร่ สำนักงานพัฒนาชุมชนอำเภอเมืองยโสธร ตำบลในเมือง อำเภอเมืองยโสธร จังหวัดยโสธร</t>
  </si>
  <si>
    <t>15004360005003210230</t>
  </si>
  <si>
    <t>งานปรับปรุงพื้นที่ ตามแบบมาตรฐาน โคก หนอง นา ขนาด 1 ไร่ สำนักงานพัฒนาชุมชนอำเภอเลิงนกทา ตำบลสามแยก อำเภอเลิงนกทา จังหวัดยโสธร</t>
  </si>
  <si>
    <t>15004360005003210232</t>
  </si>
  <si>
    <t>15004360005003210233</t>
  </si>
  <si>
    <t>งานปรับปรุงพื้นที่ ตามแบบมาตรฐาน โคก หนอง นา ขนาด 1 ไร่ สำนักงานพัฒนาชุมชนอำเภอเมืองร้อยเอ็ด ตำบลในเมือง อำเภอเมืองร้อยเอ็ด จังหวัดร้อยเอ็ด</t>
  </si>
  <si>
    <t>15004360005003210234</t>
  </si>
  <si>
    <t>15004360005003210235</t>
  </si>
  <si>
    <t>งานปรับปรุงพื้นที่ ตามแบบมาตรฐาน โคก หนอง นา ขนาด 1 ไร่ สำนักงานพัฒนาชุมชนอำเภอปทุมรัตต์ ตำบลบัวแดง อำเภอปทุมรัตต์ จังหวัดร้อยเอ็ด</t>
  </si>
  <si>
    <t>15004360005003210236</t>
  </si>
  <si>
    <t>15004360005003210237</t>
  </si>
  <si>
    <t>15004360005003210238</t>
  </si>
  <si>
    <t>15004360005003210239</t>
  </si>
  <si>
    <t>15004360005003210240</t>
  </si>
  <si>
    <t>15004360005003210241</t>
  </si>
  <si>
    <t>งานปรับปรุงพื้นที่ ตามแบบมาตรฐาน โคก หนอง นา ขนาด 1 ไร่ สำนักงานพัฒนาชุมชนอำเภอสบปราบ ตำบลสบปราบ อำเภอสบปราบ จังหวัดลำปาง</t>
  </si>
  <si>
    <t>15004360005003210243</t>
  </si>
  <si>
    <t>15004360005003210244</t>
  </si>
  <si>
    <t>15004360005003210245</t>
  </si>
  <si>
    <t>15004360005003210246</t>
  </si>
  <si>
    <t>15004360005003210247</t>
  </si>
  <si>
    <t>15004360005003210248</t>
  </si>
  <si>
    <t>15004360005003210249</t>
  </si>
  <si>
    <t>15004360005003210250</t>
  </si>
  <si>
    <t>15004360005003210251</t>
  </si>
  <si>
    <t>15004360005003210252</t>
  </si>
  <si>
    <t>งานปรับปรุงพื้นที่ ตามแบบมาตรฐาน โคก หนอง นา ขนาด 1 ไร่ สำนักงานพัฒนาชุมชนอำเภอเกาะคา ตำบลท่าผา อำเภอเกาะคา จังหวัดลำปาง</t>
  </si>
  <si>
    <t>15004360005003210253</t>
  </si>
  <si>
    <t>15004360005003210254</t>
  </si>
  <si>
    <t>15004360005003210255</t>
  </si>
  <si>
    <t>15004360005003210256</t>
  </si>
  <si>
    <t>งานปรับปรุงพื้นที่ ตามแบบมาตรฐาน โคก หนอง นา ขนาด 1 ไร่ สำนักงานพัฒนาชุมชนอำเภอเมืองเลย ตำบลกุดป่อง อำเภอเมืองเลย จังหวัดเลย</t>
  </si>
  <si>
    <t>15004360005003210257</t>
  </si>
  <si>
    <t>15004360005003210258</t>
  </si>
  <si>
    <t>งานปรับปรุงพื้นที่ ตามแบบมาตรฐาน โคก หนอง นา ขนาด 1 ไร่ สำนักงานพัฒนาชุมชนอำเภอเชียงคาน ตำบลเชียงคาน อำเภอเชียงคาน จังหวัดเลย</t>
  </si>
  <si>
    <t>15004360005003210259</t>
  </si>
  <si>
    <t>งานปรับปรุงพื้นที่ ตามแบบมาตรฐาน โคก หนอง นา ขนาด 1 ไร่ สำนักงานพัฒนาชุมชนอำเภอปากชม ตำบลปากชม อำเภอปากชม จังหวัดเลย</t>
  </si>
  <si>
    <t>15004360005003210260</t>
  </si>
  <si>
    <t>งานปรับปรุงพื้นที่ ตามแบบมาตรฐาน โคก หนอง นา ขนาด 1 ไร่ สำนักงานพัฒนาชุมชนอำเภอด่านซ้าย ตำบลด่านซ้าย อำเภอด่านซ้าย จังหวัดเลย</t>
  </si>
  <si>
    <t>15004360005003210261</t>
  </si>
  <si>
    <t>15004360005003210263</t>
  </si>
  <si>
    <t>งานปรับปรุงพื้นที่ ตามแบบมาตรฐาน โคก หนอง นา ขนาด 1 ไร่ สำนักงานพัฒนาชุมชนอำเภอท่าลี่ ตำบลท่าลี่ อำเภอท่าลี่ จังหวัดเลย</t>
  </si>
  <si>
    <t>15004360005003210264</t>
  </si>
  <si>
    <t>งานปรับปรุงพื้นที่ ตามแบบมาตรฐาน โคก หนอง นา ขนาด 1 ไร่ สำนักงานพัฒนาชุมชนอำเภอวังสะพุง ตำบลวังสะพุง อำเภอวังสะพุง จังหวัดเลย</t>
  </si>
  <si>
    <t>งานปรับปรุงพื้นที่ ตามแบบมาตรฐาน โคก หนอง นา ขนาด 1 ไร่ สำนักงานพัฒนาชุมชนอำเภอภูกระดึง ตำบลภูกระดึง อำเภอภูกระดึง จังหวัดเลย</t>
  </si>
  <si>
    <t>15004360005003210266</t>
  </si>
  <si>
    <t>งานปรับปรุงพื้นที่ ตามแบบมาตรฐาน โคก หนอง นา ขนาด 1 ไร่ สำนักงานพัฒนาชุมชนอำเภอผาขาว ตำบลโนนปอแดง อำเภอผาขาว จังหวัดเลย</t>
  </si>
  <si>
    <t>15004360005003210268</t>
  </si>
  <si>
    <t>15004360005003210269</t>
  </si>
  <si>
    <t>งานปรับปรุงพื้นที่ ตามแบบมาตรฐาน โคก หนอง นา ขนาด 1 ไร่ สำนักงานพัฒนาชุมชนอำเภอขุขันธ์ ตำบลห้วยเหนือ อำเภอขุขันธ์ จังหวัดศรีสะเกษ</t>
  </si>
  <si>
    <t>15004360005003210271</t>
  </si>
  <si>
    <t>งานปรับปรุงพื้นที่ ตามแบบมาตรฐาน โคก หนอง นา ขนาด 1 ไร่ สำนักงานพัฒนาชุมชนอำเภอไพรบึง ตำบลไพรบึง อำเภอไพรบึง จังหวัดศรีสะเกษ</t>
  </si>
  <si>
    <t>15004360005003210275</t>
  </si>
  <si>
    <t>15004360005003210276</t>
  </si>
  <si>
    <t>15004360005003210277</t>
  </si>
  <si>
    <t>15004360005003210278</t>
  </si>
  <si>
    <t>15004360005003210279</t>
  </si>
  <si>
    <t>15004360005003210280</t>
  </si>
  <si>
    <t>งานปรับปรุงพื้นที่ ตามแบบมาตรฐาน โคก หนอง นา ขนาด 1 ไร่ สำนักงานพัฒนาชุมชนอำเภอโพนนาแก้ว ตำบลนาแก้ว อำเภอโพนนาแก้ว จังหวัดสกลนคร</t>
  </si>
  <si>
    <t>15004360005003210281</t>
  </si>
  <si>
    <t>15004360005003210282</t>
  </si>
  <si>
    <t>15004360005003210283</t>
  </si>
  <si>
    <t>15004360005003210284</t>
  </si>
  <si>
    <t>งานปรับปรุงพื้นที่ ตามแบบมาตรฐาน โคก หนอง นา ขนาด 1 ไร่ สำนักงานพัฒนาชุมชนอำเภอกุสุมาลย์ ตำบลกุสุมาลย์ อำเภอกุสุมาลย์ จังหวัดสกลนคร</t>
  </si>
  <si>
    <t>15004360005003210285</t>
  </si>
  <si>
    <t>งานปรับปรุงพื้นที่ ตามแบบมาตรฐาน โคก หนอง นา ขนาด 1 ไร่ สำนักงานพัฒนาชุมชนอำเภอสว่างแดนดิน ตำบลสว่างแดนดิน อำเภอสว่างแดนดิน จังหวัดสกลนคร</t>
  </si>
  <si>
    <t>งานปรับปรุงพื้นที่ ตามแบบมาตรฐาน โคก หนอง นา ขนาด 1 ไร่ สำนักงานพัฒนาชุมชนอำเภอส่องดาว ตำบลส่องดาว อำเภอส่องดาว จังหวัดสกลนคร</t>
  </si>
  <si>
    <t>15004360005003210287</t>
  </si>
  <si>
    <t>งานปรับปรุงพื้นที่ ตามแบบมาตรฐาน โคก หนอง นา ขนาด 1 ไร่ สำนักงานพัฒนาชุมชนอำเภอเจริญศิลป์ ตำบลเจริญศิลป์ อำเภอเจริญศิลป์ จังหวัดสกลนคร</t>
  </si>
  <si>
    <t>15004360005003210288</t>
  </si>
  <si>
    <t>15004360005003210289</t>
  </si>
  <si>
    <t>งานปรับปรุงพื้นที่ ตามแบบมาตรฐาน โคก หนอง นา ขนาด 1 ไร่ สำนักงานพัฒนาชุมชนอำเภอวานรนิวาส ตำบลวานรนิวาส อำเภอวานรนิวาส จังหวัดสกลนคร</t>
  </si>
  <si>
    <t>15004360005003210290</t>
  </si>
  <si>
    <t>งานปรับปรุงพื้นที่ ตามแบบมาตรฐาน โคก หนอง นา ขนาด 1 ไร่ สำนักงานพัฒนาชุมชนอำเภอนิคมน้ำอูน ตำบลหนองปลิง อำเภอนิคมน้ำอูน จังหวัดสกลนคร</t>
  </si>
  <si>
    <t>15004360005003210291</t>
  </si>
  <si>
    <t>15004360005003210292</t>
  </si>
  <si>
    <t>15004360005003210293</t>
  </si>
  <si>
    <t>15004360005003210294</t>
  </si>
  <si>
    <t>15004360005003210295</t>
  </si>
  <si>
    <t>15004360005003210296</t>
  </si>
  <si>
    <t>15004360005003210298</t>
  </si>
  <si>
    <t>15004360005003210299</t>
  </si>
  <si>
    <t>งานปรับปรุงพื้นที่ ตามแบบมาตรฐาน โคก หนอง นา ขนาด 1 ไร่ สำนักงานพัฒนาชุมชนอำเภอวิหารแดง ตำบลหนองสรวง อำเภอวิหารแดง จังหวัดสระบุรี</t>
  </si>
  <si>
    <t>15004360005003210300</t>
  </si>
  <si>
    <t>15004360005003210301</t>
  </si>
  <si>
    <t>งานปรับปรุงพื้นที่ ตามแบบมาตรฐาน โคก หนอง นา ขนาด 1 ไร่ สำนักงานพัฒนาชุมชนอำเภอบ้านหมอ ตำบลบ้านหมอ อำเภอบ้านหมอ จังหวัดสระบุรี</t>
  </si>
  <si>
    <t>15004360005003210302</t>
  </si>
  <si>
    <t>15004360005003210303</t>
  </si>
  <si>
    <t>15004360005003210305</t>
  </si>
  <si>
    <t>15004360005003210306</t>
  </si>
  <si>
    <t>งานปรับปรุงพื้นที่ ตามแบบมาตรฐาน โคก หนอง นา ขนาด 1 ไร่ สำนักงานพัฒนาชุมชนอำเภออินทร์บุรี ตำบลอินทร์บุรี อำเภออินทร์บุรี จังหวัดสิงห์บุรี</t>
  </si>
  <si>
    <t>15004360005003210308</t>
  </si>
  <si>
    <t>15004360005003210309</t>
  </si>
  <si>
    <t>15004360005003210310</t>
  </si>
  <si>
    <t>15004360005003210311</t>
  </si>
  <si>
    <t>15004360005003210312</t>
  </si>
  <si>
    <t>15004360005003210313</t>
  </si>
  <si>
    <t>15004360005003210314</t>
  </si>
  <si>
    <t>งานปรับปรุงพื้นที่ ตามแบบมาตรฐาน โคก หนอง นา ขนาด 1 ไร่ สำนักงานพัฒนาชุมชนอำเภอเวียงสระ ตำบลเวียงสระ อำเภอเวียงสระ จังหวัดสุราษฎร์ธานี</t>
  </si>
  <si>
    <t>15004360005003210316</t>
  </si>
  <si>
    <t>งานปรับปรุงพื้นที่ ตามแบบมาตรฐาน โคก หนอง นา ขนาด 1 ไร่ สำนักงานพัฒนาชุมชนอำเภอกาบเชิง ตำบลกาบเชิง อำเภอกาบเชิง จังหวัดสุรินทร์</t>
  </si>
  <si>
    <t>15004360005003210317</t>
  </si>
  <si>
    <t>15004360005003210318</t>
  </si>
  <si>
    <t>งานปรับปรุงพื้นที่ ตามแบบมาตรฐาน โคก หนอง นา ขนาด 1 ไร่ สำนักงานพัฒนาชุมชนอำเภอจอมพระ ตำบลจอมพระ อำเภอจอมพระ จังหวัดสุรินทร์</t>
  </si>
  <si>
    <t>15004360005003210319</t>
  </si>
  <si>
    <t>งานปรับปรุงพื้นที่ ตามแบบมาตรฐาน โคก หนอง นา ขนาด 1 ไร่ สำนักงานพัฒนาชุมชนอำเภอชุมพลบุรี ตำบลชุมพลบุรี อำเภอชุมพลบุรี จังหวัดสุรินทร์</t>
  </si>
  <si>
    <t>15004360005003210320</t>
  </si>
  <si>
    <t>15004360005003210323</t>
  </si>
  <si>
    <t>งานปรับปรุงพื้นที่ ตามแบบมาตรฐาน โคก หนอง นา ขนาด 1 ไร่ สำนักงานพัฒนาชุมชนอำเภอปราสาท ตำบลกังแอน อำเภอปราสาท จังหวัดสุรินทร์</t>
  </si>
  <si>
    <t>15004360005003210324</t>
  </si>
  <si>
    <t>15004360005003210325</t>
  </si>
  <si>
    <t>งานปรับปรุงพื้นที่ ตามแบบมาตรฐาน โคก หนอง นา ขนาด 1 ไร่ สำนักงานพัฒนาชุมชนอำเภอเมืองสุรินทร์ ตำบลในเมือง อำเภอเมืองสุรินทร์ จังหวัดสุรินทร์</t>
  </si>
  <si>
    <t>15004360005003210326</t>
  </si>
  <si>
    <t>15004360005003210328</t>
  </si>
  <si>
    <t>งานปรับปรุงพื้นที่ ตามแบบมาตรฐาน โคก หนอง นา ขนาด 1 ไร่ สำนักงานพัฒนาชุมชนอำเภอศรีณรงค์ ตำบลณรงค์ อำเภอศรีณรงค์ จังหวัดสุรินทร์</t>
  </si>
  <si>
    <t>15004360005003210330</t>
  </si>
  <si>
    <t>15004360005003210332</t>
  </si>
  <si>
    <t>งานปรับปรุงพื้นที่ ตามแบบมาตรฐาน โคก หนอง นา ขนาด 1 ไร่ สำนักงานพัฒนาชุมชนอำเภอสังขะ ตำบลสังขะ อำเภอสังขะ จังหวัดสุรินทร์</t>
  </si>
  <si>
    <t>15004360005003210333</t>
  </si>
  <si>
    <t>15004360005003210334</t>
  </si>
  <si>
    <t>15004360005003210335</t>
  </si>
  <si>
    <t>งานปรับปรุงพื้นที่ ตามแบบมาตรฐาน โคก หนอง นา ขนาด 1 ไร่ สำนักงานพัฒนาชุมชนอำเภอเฝ้าไร่ ตำบลเฝ้าไร่ อำเภอเฝ้าไร่ จังหวัดหนองคาย</t>
  </si>
  <si>
    <t>15004360005003210336</t>
  </si>
  <si>
    <t>งานปรับปรุงพื้นที่ ตามแบบมาตรฐาน โคก หนอง นา ขนาด 1 ไร่ สำนักงานพัฒนาชุมชนอำเภอเมืองหนองบัวลำภู ตำบลหนองบัว อำเภอเมืองหนองบัวลำภู จังหวัดหนองบัวลำภู</t>
  </si>
  <si>
    <t>15004360005003210337</t>
  </si>
  <si>
    <t>งานปรับปรุงพื้นที่ ตามแบบมาตรฐาน โคก หนอง นา ขนาด 1 ไร่ สำนักงานพัฒนาชุมชนอำเภอนากลาง ตำบลนากลาง อำเภอนากลาง จังหวัดหนองบัวลำภู</t>
  </si>
  <si>
    <t>15004360005003210338</t>
  </si>
  <si>
    <t>งานปรับปรุงพื้นที่ ตามแบบมาตรฐาน โคก หนอง นา ขนาด 1 ไร่ สำนักงานพัฒนาชุมชนอำเภอโนนสัง ตำบลโนนสัง อำเภอโนนสัง จังหวัดหนองบัวลำภู</t>
  </si>
  <si>
    <t>15004360005003210339</t>
  </si>
  <si>
    <t>งานปรับปรุงพื้นที่ ตามแบบมาตรฐาน โคก หนอง นา ขนาด 1 ไร่ สำนักงานพัฒนาชุมชนอำเภอศรีบุญเรือง ตำบลเมืองใหม่ อำเภอศรีบุญเรือง จังหวัดหนองบัวลำภู</t>
  </si>
  <si>
    <t>15004360005003210340</t>
  </si>
  <si>
    <t>15004360005003210341</t>
  </si>
  <si>
    <t>15004360005003210342</t>
  </si>
  <si>
    <t>15004360005003210343</t>
  </si>
  <si>
    <t>15004360005003210345</t>
  </si>
  <si>
    <t>15004360005003210346</t>
  </si>
  <si>
    <t>งานปรับปรุงพื้นที่ ตามแบบมาตรฐาน โคก หนอง นา ขนาด 1 ไร่ สำนักงานพัฒนาชุมชนอำเภอหัวตะพาน ตำบลรัตนวารี อำเภอหัวตะพาน จังหวัดอำนาจเจริญ</t>
  </si>
  <si>
    <t>15004360005003210347</t>
  </si>
  <si>
    <t>15004360005003210348</t>
  </si>
  <si>
    <t>15004360005003210349</t>
  </si>
  <si>
    <t>งานปรับปรุงพื้นที่ ตามแบบมาตรฐาน โคก หนอง นา ขนาด 1 ไร่ สำนักงานพัฒนาชุมชนอำเภอกุมภวาปี ตำบลกุมภวาปี อำเภอกุมภวาปี จังหวัดอุดรธานี</t>
  </si>
  <si>
    <t>15004360005003210350</t>
  </si>
  <si>
    <t>15004360005003210351</t>
  </si>
  <si>
    <t>15004360005003210352</t>
  </si>
  <si>
    <t>15004360005003210353</t>
  </si>
  <si>
    <t>15004360005003210354</t>
  </si>
  <si>
    <t>15004360005003210355</t>
  </si>
  <si>
    <t>15004360005003210357</t>
  </si>
  <si>
    <t>15004360005003210358</t>
  </si>
  <si>
    <t>15004360005003210359</t>
  </si>
  <si>
    <t>15004360005003210360</t>
  </si>
  <si>
    <t>15004360005003210361</t>
  </si>
  <si>
    <t>15004360005003210362</t>
  </si>
  <si>
    <t>15004360005003210363</t>
  </si>
  <si>
    <t>15004360005003210364</t>
  </si>
  <si>
    <t>15004360005003210365</t>
  </si>
  <si>
    <t>15004360005003210366</t>
  </si>
  <si>
    <t>งานปรับปรุงพื้นที่ ตามแบบมาตรฐาน โคก หนอง นา ขนาด 1 ไร่ สำนักงานพัฒนาชุมชนอำเภอตาลสุม ตำบลตาลสุม อำเภอตาลสุม จังหวัดอุบลราชธานี</t>
  </si>
  <si>
    <t>15004360005003210367</t>
  </si>
  <si>
    <t>15004360005003210368</t>
  </si>
  <si>
    <t>15004360005003210369</t>
  </si>
  <si>
    <t>15004360005003210370</t>
  </si>
  <si>
    <t>15004360005003210371</t>
  </si>
  <si>
    <t>15004360005003210372</t>
  </si>
  <si>
    <t>งานปรับปรุงพื้นที่ ตามแบบมาตรฐาน โคก หนอง นา ขนาด 1 ไร่ สำนักงานพัฒนาชุมชนอำเภอเขื่องใน ตำบลเขื่องใน อำเภอเขื่องใน จังหวัดอุบลราชธานี</t>
  </si>
  <si>
    <t>15004360005003210373</t>
  </si>
  <si>
    <t>15004360005003210374</t>
  </si>
  <si>
    <t>15004360005003210375</t>
  </si>
  <si>
    <t>15004360005003210376</t>
  </si>
  <si>
    <t>15004360005003210377</t>
  </si>
  <si>
    <t>15004360005003210378</t>
  </si>
  <si>
    <t>15004360005003210379</t>
  </si>
  <si>
    <t>15004360005003210380</t>
  </si>
  <si>
    <t>15004360005003210381</t>
  </si>
  <si>
    <t>15004360005003210382</t>
  </si>
  <si>
    <t>15004360005003210383</t>
  </si>
  <si>
    <t>15004360005003210386</t>
  </si>
  <si>
    <t>15004360005003210387</t>
  </si>
  <si>
    <t>งานปรับปรุงพื้นที่ ตามแบบมาตรฐาน โคก หนอง นา ขนาด 3 ไร่ สำนักงานพัฒนาชุมชนอำเภอเมืองกาฬสินธุ์ ตำบลกาฬสินธุ์ อำเภอเมืองกาฬสินธุ์ จังหวัดกาฬสินธุ์</t>
  </si>
  <si>
    <t>15004360005003210389</t>
  </si>
  <si>
    <t>15004360005003210390</t>
  </si>
  <si>
    <t>15004360005003210391</t>
  </si>
  <si>
    <t>15004360005003210392</t>
  </si>
  <si>
    <t>งานปรับปรุงพื้นที่ ตามแบบมาตรฐาน โคก หนอง นา ขนาด 3 ไร่ สำนักงานพัฒนาชุมชนอำเภอบ้านฝาง ตำบลบ้านฝาง อำเภอบ้านฝาง จังหวัดขอนแก่น</t>
  </si>
  <si>
    <t>15004360005003210393</t>
  </si>
  <si>
    <t>งานปรับปรุงพื้นที่ ตามแบบมาตรฐาน โคก หนอง นา ขนาด 3 ไร่ สำนักงานพัฒนาชุมชนอำเภอน้ำพอง ตำบลวังชัย อำเภอน้ำพอง จังหวัดขอนแก่น</t>
  </si>
  <si>
    <t>15004360005003210394</t>
  </si>
  <si>
    <t>15004360005003210395</t>
  </si>
  <si>
    <t>15004360005003210396</t>
  </si>
  <si>
    <t>งานปรับปรุงพื้นที่ ตามแบบมาตรฐาน โคก หนอง นา ขนาด 3 ไร่ สำนักงานพัฒนาชุมชนอำเภอซำสูง ตำบลกระนวน อำเภอซำสูง จังหวัดขอนแก่น</t>
  </si>
  <si>
    <t>15004360005003210397</t>
  </si>
  <si>
    <t>15004360005003210398</t>
  </si>
  <si>
    <t>15004360005003210399</t>
  </si>
  <si>
    <t>งานปรับปรุงพื้นที่ ตามแบบมาตรฐาน โคก หนอง นา ขนาด 3 ไร่ สำนักงานพัฒนาชุมชนอำเภอหนองเรือ ตำบลหนองเรือ อำเภอหนองเรือ จังหวัดขอนแก่น</t>
  </si>
  <si>
    <t>15004360005003210400</t>
  </si>
  <si>
    <t>15004360005003210401</t>
  </si>
  <si>
    <t>15004360005003210402</t>
  </si>
  <si>
    <t>15004360005003210403</t>
  </si>
  <si>
    <t>งานปรับปรุงพื้นที่ ตามแบบมาตรฐาน โคก หนอง นา ขนาด 3 ไร่ สำนักงานพัฒนาชุมชนอำเภอภูผาม่าน ตำบลภูผาม่าน อำเภอภูผาม่าน จังหวัดขอนแก่น</t>
  </si>
  <si>
    <t>15004360005003210404</t>
  </si>
  <si>
    <t>15004360005003210405</t>
  </si>
  <si>
    <t>งานปรับปรุงพื้นที่ ตามแบบมาตรฐาน โคก หนอง นา ขนาด 3 ไร่ สำนักงานพัฒนาชุมชนอำเภอชนบท ตำบลชนบท อำเภอชนบท จังหวัดขอนแก่น</t>
  </si>
  <si>
    <t>15004360005003210406</t>
  </si>
  <si>
    <t>15004360005003210407</t>
  </si>
  <si>
    <t>งานปรับปรุงพื้นที่ ตามแบบมาตรฐาน โคก หนอง นา ขนาด 3 ไร่ สำนักงานพัฒนาชุมชนอำเภอบ้านแฮด ตำบลบ้านแฮด อำเภอบ้านแฮด จังหวัดขอนแก่น</t>
  </si>
  <si>
    <t>15004360005003210408</t>
  </si>
  <si>
    <t>งานปรับปรุงพื้นที่ ตามแบบมาตรฐาน โคก หนอง นา ขนาด 3 ไร่ สำนักงานพัฒนาชุมชนอำเภอพระยืน ตำบลพระยืน อำเภอพระยืน จังหวัดขอนแก่น</t>
  </si>
  <si>
    <t>15004360005003210409</t>
  </si>
  <si>
    <t>งานปรับปรุงพื้นที่ ตามแบบมาตรฐาน โคก หนอง นา ขนาด 3 ไร่ สำนักงานพัฒนาชุมชนอำเภอโคกโพธิ์ไชย ตำบลบ้านโคก อำเภอโคกโพธิ์ไชย จังหวัดขอนแก่น</t>
  </si>
  <si>
    <t>15004360005003210410</t>
  </si>
  <si>
    <t>15004360005003210411</t>
  </si>
  <si>
    <t>งานปรับปรุงพื้นที่ ตามแบบมาตรฐาน โคก หนอง นา ขนาด 3 ไร่ สำนักงานพัฒนาชุมชนอำเภอหนองสองห้อง ตำบลหนองสองห้อง อำเภอหนองสองห้อง จังหวัดขอนแก่น</t>
  </si>
  <si>
    <t>15004360005003210412</t>
  </si>
  <si>
    <t>งานปรับปรุงพื้นที่ ตามแบบมาตรฐาน โคก หนอง นา ขนาด 3 ไร่ สำนักงานพัฒนาชุมชนอำเภอแวงใหญ่ ตำบลแวงใหญ่ อำเภอแวงใหญ่ จังหวัดขอนแก่น</t>
  </si>
  <si>
    <t>15004360005003210413</t>
  </si>
  <si>
    <t>งานปรับปรุงพื้นที่ ตามแบบมาตรฐาน โคก หนอง นา ขนาด 3 ไร่ สำนักงานพัฒนาชุมชนอำเภอแวงน้อย ตำบลแวงน้อย อำเภอแวงน้อย จังหวัดขอนแก่น</t>
  </si>
  <si>
    <t>งานปรับปรุงพื้นที่ ตามแบบมาตรฐาน โคก หนอง นา ขนาด 3 ไร่ สำนักงานพัฒนาชุมชนอำเภอโนนศิลา ตำบลโนนศิลา อำเภอโนนศิลา จังหวัดขอนแก่น</t>
  </si>
  <si>
    <t>15004360005003210415</t>
  </si>
  <si>
    <t>15004360005003210416</t>
  </si>
  <si>
    <t>15004360005003210417</t>
  </si>
  <si>
    <t>15004360005003210418</t>
  </si>
  <si>
    <t>15004360005003210419</t>
  </si>
  <si>
    <t>15004360005003210420</t>
  </si>
  <si>
    <t>15004360005003210421</t>
  </si>
  <si>
    <t>งานปรับปรุงพื้นที่ ตามแบบมาตรฐาน โคก หนอง นา ขนาด 3 ไร่ สำนักงานพัฒนาชุมชนอำเภอสรรพยา ตำบลสรรพยา อำเภอสรรพยา จังหวัดชัยนาท</t>
  </si>
  <si>
    <t>15004360005003210422</t>
  </si>
  <si>
    <t>15004360005003210423</t>
  </si>
  <si>
    <t>15004360005003210424</t>
  </si>
  <si>
    <t>งานปรับปรุงพื้นที่ ตามแบบมาตรฐาน โคก หนอง นา ขนาด 3 ไร่ สำนักงานพัฒนาชุมชนอำเภอเมืองชัยภูมิ ตำบลในเมือง อำเภอเมืองชัยภูมิ จังหวัดชัยภูมิ</t>
  </si>
  <si>
    <t>15004360005003210426</t>
  </si>
  <si>
    <t>งานปรับปรุงพื้นที่ ตามแบบมาตรฐาน โคก หนอง นา ขนาด 3 ไร่ สำนักงานพัฒนาชุมชนอำเภอจัตุรัส ตำบลบ้านกอก อำเภอจัตุรัส จังหวัดชัยภูมิ</t>
  </si>
  <si>
    <t>15004360005003210427</t>
  </si>
  <si>
    <t>งานปรับปรุงพื้นที่ ตามแบบมาตรฐาน โคก หนอง นา ขนาด 3 ไร่ สำนักงานพัฒนาชุมชนอำเภอภูเขียว ตำบลผักปัง อำเภอภูเขียว จังหวัดชัยภูมิ</t>
  </si>
  <si>
    <t>15004360005003210428</t>
  </si>
  <si>
    <t>งานปรับปรุงพื้นที่ ตามแบบมาตรฐาน โคก หนอง นา ขนาด 3 ไร่ สำนักงานพัฒนาชุมชนอำเภอแก้งคร้อ ตำบลช่องสามหมอ อำเภอแก้งคร้อ จังหวัดชัยภูมิ</t>
  </si>
  <si>
    <t>15004360005003210429</t>
  </si>
  <si>
    <t>15004360005003210430</t>
  </si>
  <si>
    <t>งานปรับปรุงพื้นที่ ตามแบบมาตรฐาน โคก หนอง นา ขนาด 3 ไร่ สำนักงานพัฒนาชุมชนอำเภอเนินสง่า ตำบลหนองฉิม อำเภอเนินสง่า จังหวัดชัยภูมิ</t>
  </si>
  <si>
    <t>15004360005003210431</t>
  </si>
  <si>
    <t>15004360005003210433</t>
  </si>
  <si>
    <t>งานปรับปรุงพื้นที่ ตามแบบมาตรฐาน โคก หนอง นา ขนาด 3 ไร่ สำนักงานพัฒนาชุมชนอำเภอเมืองชุมพร ตำบลท่าตะเภา อำเภอเมืองชุมพร จังหวัดชุมพร</t>
  </si>
  <si>
    <t>15004360005003210434</t>
  </si>
  <si>
    <t>งานปรับปรุงพื้นที่ ตามแบบมาตรฐาน โคก หนอง นา ขนาด 3 ไร่ สำนักงานพัฒนาชุมชนอำเภอขุนตาล ตำบลป่าตาล อำเภอขุนตาล จังหวัดเชียงราย</t>
  </si>
  <si>
    <t>15004360005003210435</t>
  </si>
  <si>
    <t>งานปรับปรุงพื้นที่ ตามแบบมาตรฐาน โคก หนอง นา ขนาด 3 ไร่ สำนักงานพัฒนาชุมชนอำเภอเชียงของ ตำบลเวียง อำเภอเชียงของ จังหวัดเชียงราย</t>
  </si>
  <si>
    <t>15004360005003210436</t>
  </si>
  <si>
    <t>15004360005003210437</t>
  </si>
  <si>
    <t>15004360005003210438</t>
  </si>
  <si>
    <t>งานปรับปรุงพื้นที่ ตามแบบมาตรฐาน โคก หนอง นา ขนาด 3 ไร่ สำนักงานพัฒนาชุมชนอำเภอป่าแดด ตำบลป่าแดด อำเภอป่าแดด จังหวัดเชียงราย</t>
  </si>
  <si>
    <t>15004360005003210439</t>
  </si>
  <si>
    <t>งานปรับปรุงพื้นที่ ตามแบบมาตรฐาน โคก หนอง นา ขนาด 3 ไร่ สำนักงานพัฒนาชุมชนอำเภอพญาเม็งราย ตำบลเม็งราย อำเภอพญาเม็งราย จังหวัดเชียงราย</t>
  </si>
  <si>
    <t>15004360005003210440</t>
  </si>
  <si>
    <t>15004360005003210441</t>
  </si>
  <si>
    <t>งานปรับปรุงพื้นที่ ตามแบบมาตรฐาน โคก หนอง นา ขนาด 3 ไร่ สำนักงานพัฒนาชุมชนอำเภอเมืองเชียงราย ตำบลเวียง อำเภอเมืองเชียงราย จังหวัดเชียงราย</t>
  </si>
  <si>
    <t>15004360005003210442</t>
  </si>
  <si>
    <t>15004360005003210443</t>
  </si>
  <si>
    <t>15004360005003210444</t>
  </si>
  <si>
    <t>งานปรับปรุงพื้นที่ ตามแบบมาตรฐาน โคก หนอง นา ขนาด 3 ไร่ สำนักงานพัฒนาชุมชนอำเภอแม่สรวย ตำบลแม่สรวย อำเภอแม่สรวย จังหวัดเชียงราย</t>
  </si>
  <si>
    <t>15004360005003210445</t>
  </si>
  <si>
    <t>งานปรับปรุงพื้นที่ ตามแบบมาตรฐาน โคก หนอง นา ขนาด 3 ไร่ สำนักงานพัฒนาชุมชนอำเภอแม่สาย ตำบลเวียงพางคำ อำเภอแม่สาย จังหวัดเชียงราย</t>
  </si>
  <si>
    <t>15004360005003210446</t>
  </si>
  <si>
    <t>15004360005003210447</t>
  </si>
  <si>
    <t>งานปรับปรุงพื้นที่ ตามแบบมาตรฐาน โคก หนอง นา ขนาด 3 ไร่ สำนักงานพัฒนาชุมชนอำเภอเวียงชัย ตำบลเวียงชัย อำเภอเวียงชัย จังหวัดเชียงราย</t>
  </si>
  <si>
    <t>15004360005003210448</t>
  </si>
  <si>
    <t>งานปรับปรุงพื้นที่ ตามแบบมาตรฐาน โคก หนอง นา ขนาด 3 ไร่ สำนักงานพัฒนาชุมชนอำเภอเวียงเชียงรุ้ง ตำบลทุ่งก่อ อำเภอเวียงเชียงรุ้ง จังหวัดเชียงราย</t>
  </si>
  <si>
    <t>15004360005003210449</t>
  </si>
  <si>
    <t>15004360005003210450</t>
  </si>
  <si>
    <t>15004360005003210451</t>
  </si>
  <si>
    <t>15004360005003210452</t>
  </si>
  <si>
    <t>15004360005003210453</t>
  </si>
  <si>
    <t>15004360005003210455</t>
  </si>
  <si>
    <t>15004360005003210456</t>
  </si>
  <si>
    <t>15004360005003210457</t>
  </si>
  <si>
    <t>15004360005003210458</t>
  </si>
  <si>
    <t>15004360005003210459</t>
  </si>
  <si>
    <t>15004360005003210460</t>
  </si>
  <si>
    <t>15004360005003210461</t>
  </si>
  <si>
    <t>งานปรับปรุงพื้นที่ ตามแบบมาตรฐาน โคก หนอง นา ขนาด 3 ไร่ สำนักงานพัฒนาชุมชนอำเภอเมืองนครพนม ตำบลหนองญาติ อำเภอเมืองนครพนม จังหวัดนครพนม</t>
  </si>
  <si>
    <t>15004360005003210463</t>
  </si>
  <si>
    <t>งานปรับปรุงพื้นที่ ตามแบบมาตรฐาน โคก หนอง นา ขนาด 3 ไร่ สำนักงานพัฒนาชุมชนอำเภอปลาปาก ตำบลปลาปาก อำเภอปลาปาก จังหวัดนครพนม</t>
  </si>
  <si>
    <t>15004360005003210464</t>
  </si>
  <si>
    <t>15004360005003210465</t>
  </si>
  <si>
    <t>งานปรับปรุงพื้นที่ ตามแบบมาตรฐาน โคก หนอง นา ขนาด 3 ไร่ สำนักงานพัฒนาชุมชนอำเภอธาตุพนม ตำบลธาตุพนม อำเภอธาตุพนม จังหวัดนครพนม</t>
  </si>
  <si>
    <t>15004360005003210466</t>
  </si>
  <si>
    <t>งานปรับปรุงพื้นที่ ตามแบบมาตรฐาน โคก หนอง นา ขนาด 3 ไร่ สำนักงานพัฒนาชุมชนอำเภอเรณูนคร ตำบลโพนทอง อำเภอเรณูนคร จังหวัดนครพนม</t>
  </si>
  <si>
    <t>15004360005003210467</t>
  </si>
  <si>
    <t>งานปรับปรุงพื้นที่ ตามแบบมาตรฐาน โคก หนอง นา ขนาด 3 ไร่ สำนักงานพัฒนาชุมชนอำเภอนาแก ตำบลนาแก อำเภอนาแก จังหวัดนครพนม</t>
  </si>
  <si>
    <t>15004360005003210468</t>
  </si>
  <si>
    <t>งานปรับปรุงพื้นที่ ตามแบบมาตรฐาน โคก หนอง นา ขนาด 3 ไร่ สำนักงานพัฒนาชุมชนอำเภอศรีสงคราม ตำบลศรีสงคราม อำเภอศรีสงคราม จังหวัดนครพนม</t>
  </si>
  <si>
    <t>15004360005003210469</t>
  </si>
  <si>
    <t>งานปรับปรุงพื้นที่ ตามแบบมาตรฐาน โคก หนอง นา ขนาด 3 ไร่ สำนักงานพัฒนาชุมชนอำเภอนาหว้า ตำบลนาหว้า อำเภอนาหว้า จังหวัดนครพนม</t>
  </si>
  <si>
    <t>15004360005003210470</t>
  </si>
  <si>
    <t>งานปรับปรุงพื้นที่ ตามแบบมาตรฐาน โคก หนอง นา ขนาด 3 ไร่ สำนักงานพัฒนาชุมชนอำเภอโพนสวรรค์ ตำบลโพนสวรรค์ อำเภอโพนสวรรค์ จังหวัดนครพนม</t>
  </si>
  <si>
    <t>15004360005003210471</t>
  </si>
  <si>
    <t>15004360005003210472</t>
  </si>
  <si>
    <t>งานปรับปรุงพื้นที่ ตามแบบมาตรฐาน โคก หนอง นา ขนาด 3 ไร่ สำนักงานพัฒนาชุมชนอำเภอแก้งสนามนาง ตำบลแก้งสนามนาง อำเภอแก้งสนามนาง จังหวัดนครราชสีมา</t>
  </si>
  <si>
    <t>15004360005003210473</t>
  </si>
  <si>
    <t>งานปรับปรุงพื้นที่ ตามแบบมาตรฐาน โคก หนอง นา ขนาด 3 ไร่ สำนักงานพัฒนาชุมชนอำเภอขามทะเลสอ ตำบลขามทะเลสอ อำเภอขามทะเลสอ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</si>
  <si>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สำนักงานพัฒนาชุมชนอำเภอขามสะแกแสง ตำบลขามสะแกแสง อำเภอขามสะแกแสง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</si>
  <si>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สำนักงานพัฒนาชุมชนอำเภอคง ตำบลเมืองคง อำเภอคง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</si>
  <si>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สำนักงานพัฒนาชุมชนอำเภอครบุรี ตำบลแชะ อำเภอครบุรี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</si>
  <si>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สำนักงานพัฒนาชุมชนอำเภอชุมพวง ตำบลชุมพวง อำเภอชุมพวง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</si>
  <si>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สำนักงานพัฒนาชุมชนอำเภอด่านขุนทด ตำบลด่านขุนทด อำเภอด่านขุนทด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</si>
  <si>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สำนักงานพัฒนาชุมชนอำเภอโนนไทย ตำบลโนนไทย อำเภอโนนไทย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</si>
  <si>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สำนักงานพัฒนาชุมชนอำเภอประทาย ตำบลประทาย อำเภอประทาย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</si>
  <si>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สำนักงานพัฒนาชุมชนอำเภอปากช่อง ตำบลปากช่อง อำเภอปากช่อง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</si>
  <si>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สำนักงานพัฒนาชุมชนอำเภอพิมาย ตำบลในเมือง อำเภอพิมาย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</si>
  <si>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สำนักงานพัฒนาชุมชนอำเภอสูงเนิน ตำบลสูงเนิน อำเภอสูงเนิน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</si>
  <si>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สำนักงานพัฒนาชุมชนอำเภอห้วยแถลง ตำบลทับสวาย อำเภอห้วยแถลง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</si>
  <si>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สำนักงานพัฒนาชุมชนอำเภอทุ่งใหญ่ ตำบลทุ่งใหญ่ อำเภอทุ่งใหญ่ จังหวัดนครศรีธรรมราช</t>
  </si>
  <si>
    <t>งานปรับปรุงพื้นที่ ตามแบบมาตรฐาน โคก หนอง นา ขนาด 3 ไร่ สำนักงานพัฒนาชุมชนอำเภอเมืองนครสวรรค์ ตำบลปากน้ำโพ อำเภอเมืองนครสวรรค์ จังหวัดนครสวรรค์</t>
  </si>
  <si>
    <t>งานปรับปรุงพื้นที่ ตามแบบมาตรฐาน โคก หนอง นา ขนาด 3 ไร่ สำนักงานพัฒนาชุมชนอำเภอพยุหะคีรี ตำบลสระทะเล อำเภอพยุหะคีรี จังหวัดนครสวรรค์</t>
  </si>
  <si>
    <t>งานปรับปรุงพื้นที่ ตามแบบมาตรฐาน โคก หนอง นา ขนาด 3 ไร่ สำนักงานพัฒนาชุมชนอำเภอลาดยาว ตำบลลาดยาว อำเภอลาดยาว จังหวัดนครสวรรค์</t>
  </si>
  <si>
    <t>งานปรับปรุงพื้นที่ ตามแบบมาตรฐาน โคก หนอง นา ขนาด 3 ไร่ สำนักงานพัฒนาชุมชนอำเภอเมืองน่าน ตำบลไชยสถาน อำเภอเมืองน่าน จังหวัดน่าน</t>
  </si>
  <si>
    <t>งานปรับปรุงพื้นที่ ตามแบบมาตรฐาน โคก หนอง นา ขนาด 3 ไร่ สำนักงานพัฒนาชุมชนอำเภอเมืองบึงกาฬ ตำบลบึงกาฬ อำเภอเมืองบึงกาฬ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</si>
  <si>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สำนักงานพัฒนาชุมชนอำเภอเซกา ตำบลเซกา อำเภอเซกา จังหวัดบึงกาฬ</t>
  </si>
  <si>
    <t>งานปรับปรุงพื้นที่ ตามแบบมาตรฐาน โคก หนอง นา ขนาด 3 ไร่ สำนักงานพัฒนาชุมชนโซ่พิสัย ตำบลโซ่ อำเภอโซ่พิสัย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</si>
  <si>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สำนักงานพัฒนาชุมชนอำเภอปากคาด ตำบลโนนศิลา อำเภอปากคาด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</si>
  <si>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สำนักงานพัฒนาชุมชนอำเภอพรเจริญ ตำบลพรเจริญ อำเภอพรเจริญ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</si>
  <si>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สำนักงานพัฒนาชุมชนอำเภอศรีวิไล ตำบลศรีวิไล อำเภอศรีวิไล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</si>
  <si>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สำนักงานพัฒนาชุมชนอำเภอบึงโขงหลง ตำบลบึงโขงหลง อำเภอบึงโขงหลง จังหวัดบึงกาฬ</t>
  </si>
  <si>
    <t>งานปรับปรุงพื้นที่ ตามแบบมาตรฐาน โคก หนอง นา ขนาด 3 ไร่ สำนักงานพัฒนาชุมชนอำเภอกระสัง ตำบลกระสัง อำเภอกระสัง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</si>
  <si>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สำนักงานพัฒนาชุมชนอำเภอคูเมือง ตำบลคูเมือง อำเภอคูเมือง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</si>
  <si>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สำนักงานพัฒนาชุมชนอำเภอเฉลิมพระเกียรติ ตำบลตาเป๊ก อำเภอเฉลิมพระเกียรติ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</si>
  <si>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สำนักงานพัฒนาชุมชนอำเภอโนนดินแดง ตำบลโนนดินแดง อำเภอโนนดินแดง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</si>
  <si>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สำนักงานพัฒนาชุมชนอำเภอบ้านกรวด ตำบลปราสาท อำเภอบ้านกรวด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</si>
  <si>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สำนักงานพัฒนาชุมชนอำเภอปะคำ ตำบลปะคำ อำเภอปะคำ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</si>
  <si>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สำนักงานพัฒนาชุมชนอำเภอสตึก ตำบลสตึก อำเภอสตึก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</si>
  <si>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สำนักงานพัฒนาชุมชนอำเภอประจันตคาม ตำบลประจันตคาม อำเภอประจันตคาม จังหวัดปราจีนบุรี</t>
  </si>
  <si>
    <t>งานปรับปรุงพื้นที่ ตามแบบมาตรฐาน โคก หนอง นา ขนาด 3 ไร่ สำนักงานพัฒนาชุมชนอำเภอกบินทร์บุรี ตำบลกบินทร์ อำเภอกบินทร์บุรี จังหวัดปราจีนบุรี</t>
  </si>
  <si>
    <t>งานปรับปรุงพื้นที่ ตามแบบมาตรฐาน โคก หนอง นา ขนาด 3 ไร่ สำนักงานพัฒนาชุมชนอำเภอเชียงม่วน ตำบลเชียงม่วน อำเภอเชียงม่วน จังหวัดพะเยา</t>
  </si>
  <si>
    <t>งานปรับปรุงพื้นที่ ตามแบบมาตรฐาน โคก หนอง นา ขนาด 3 ไร่ สำนักงานพัฒนาชุมชนอำเภอดอกคำใต้ ตำบลดอนศรีชุม อำเภอดอกคำใต้ จังหวัดพะเยา</t>
  </si>
  <si>
    <t>งานปรับปรุงพื้นที่ ตามแบบมาตรฐาน โคก หนอง นา ขนาด 3 ไร่ สำนักงานพัฒนาชุมชนอำเภอวังชิ้น ตำบลวังชิ้น อำเภอวังชิ้น จังหวัดแพร่</t>
  </si>
  <si>
    <t>งานปรับปรุงพื้นที่ ตามแบบมาตรฐาน โคก หนอง นา ขนาด 3 ไร่ สำนักงานพัฒนาชุมชนอำเภอหนองม่วงไข่ ตำบลหนองม่วงไข่ อำเภอหนองม่วงไข่ จังหวัดแพร่</t>
  </si>
  <si>
    <t>งานปรับปรุงพื้นที่ ตามแบบมาตรฐาน โคก หนอง นา ขนาด 3 ไร่ สำนักงานพัฒนาชุมชนอำเภอโกสุมพิสัย ตำบลหัวขวาง อำเภอโกสุมพิสัย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</si>
  <si>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สำนักงานพัฒนาชุมชนอำเภอพยัคฆภูมิพิสัย ตำบลปะหลาน อำเภอพยัคฆภูมิพิสัย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</si>
  <si>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สำนักงานพัฒนาชุมชนอำเภอเมืองมหาสารคาม ตำบลตลาด อำเภอเมืองมหาสารคาม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</si>
  <si>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สำนักงานพัฒนาชุมชนอำเภอบรบือ ตำบลบรบือ อำเภอบรบือ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</si>
  <si>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สำนักงานพัฒนาชุมชนอำเภอวาปีปทุม ตำบลหนองแสง อำเภอวาปีปทุม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</si>
  <si>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สำนักงานพัฒนาชุมชนอำเภอกุดรัง ตำบลกุดรัง อำเภอกุดรัง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</si>
  <si>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สำนักงานพัฒนาชุมชนอำเภอแกดำ ตำบลแกดำ อำเภอแกดำ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</si>
  <si>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สำนักงานพัฒนาชุมชนอำเภอดอนตาล ตำบลดอนตาล อำเภอดอนตาล จังหวัดมุกดาหาร</t>
  </si>
  <si>
    <t>งานปรับปรุงพื้นที่ ตามแบบมาตรฐาน โคก หนอง นา ขนาด 3 ไร่ สำนักงานพัฒนาชุมชนอำเภอกุดชุม ตำบลกุดชุม อำเภอกุดชุม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</si>
  <si>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สำนักงานพัฒนาชุมชนอำเภอคำเขื่อนแก้ว ตำบลลุมพุก อำเภอคำเขื่อนแก้ว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</si>
  <si>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สำนักงานพัฒนาชุมชนอำเภอทรายมูล ตำบลทรายมูล อำเภอทรายมูล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</si>
  <si>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สำนักงานพัฒนาชุมชนอำเภอเมืองยโสธร ตำบลในเมือง อำเภอเมืองยโสธร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</si>
  <si>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สำนักงานพัฒนาชุมชนอำเภอเลิงนกทา ตำบลสามแยก อำเภอเลิงนกทา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</si>
  <si>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สำนักงานพัฒนาชุมชนอำเภอเมืองร้อยเอ็ด ตำบลในเมือง อำเภอเมืองร้อยเอ็ด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</si>
  <si>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สำนักงานพัฒนาชุมชนอำเภอปทุมรัตต์ ตำบลบัวแดง อำเภอปทุมรัตต์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</si>
  <si>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สำนักงานพัฒนาชุมชนอำเภอโพนทอง ตำบลแวง อำเภอโพนทอง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</si>
  <si>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สำนักงานพัฒนาชุมชนอำเภอโพนทราย ตำบลโพนทราย อำเภอโพนทราย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</si>
  <si>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สำนักงานพัฒนาชุมชนอำเภอสระโบถส์ ตำบลนิยมชัย อำเภอสระโบสถ์ จังหวัดลพบุรี</t>
  </si>
  <si>
    <t>งานปรับปรุงพื้นที่ ตามแบบมาตรฐาน โคก หนอง นา ขนาด 3 ไร่ สำนักงานพัฒนาชุมชนอำเภอแม่ทะ ตำบลนาครัว อำเภอแม่ทะ จังหวัดลำปาง</t>
  </si>
  <si>
    <t>งานปรับปรุงพื้นที่ ตามแบบมาตรฐาน โคก หนอง นา ขนาด 3 ไร่ สำนักงานพัฒนาชุมชนอำเภอเมืองเลย ตำบลกุดป่อง อำเภอเมืองเลย จังหวัดเลย</t>
  </si>
  <si>
    <t>งานปรับปรุงพื้นที่ ตามแบบมาตรฐาน โคก หนอง นา ขนาด 3 ไร่ สำนักงานพัฒนาชุมชนอำเภอนาด้วง ตำบลนาด้วง อำเภอนาด้วง จังหวัดเลย</t>
  </si>
  <si>
    <t>งานปรับปรุงพื้นที่ ตามแบบมาตรฐาน โคก หนอง นา ขนาด 3 ไร่ สำนักงานพัฒนาชุมชนอำเภอเชียงคาน ตำบลเชียงคาน อำเภอเชียงคาน จังหวัดเลย</t>
  </si>
  <si>
    <t>งานปรับปรุงพื้นที่ ตามแบบมาตรฐาน โคก หนอง นา ขนาด 3 ไร่ สำนักงานพัฒนาชุมชนอำเภอปากชม ตำบลปากชม อำเภอปากชม จังหวัดเลย</t>
  </si>
  <si>
    <t>งานปรับปรุงพื้นที่ ตามแบบมาตรฐาน โคก หนอง นา ขนาด 3 ไร่ สำนักงานพัฒนาชุมชนอำเภอด่านซ้าย ตำบลด่านซ้าย อำเภอด่านซ้าย จังหวัดเลย</t>
  </si>
  <si>
    <t>งานปรับปรุงพื้นที่ ตามแบบมาตรฐาน โคก หนอง นา ขนาด 3 ไร่ สำนักงานพัฒนาชุมชนอำเภอวังสะพุง ตำบลวังสะพุง อำเภอวังสะพุง จังหวัดเลย</t>
  </si>
  <si>
    <t>งานปรับปรุงพื้นที่ ตามแบบมาตรฐาน โคก หนอง นา ขนาด 3 ไร่ สำนักงานพัฒนาชุมชนอำเภอภูกระดึง ตำบลภูกระดึง อำเภอภูกระดึง จังหวัดเลย</t>
  </si>
  <si>
    <t>งานปรับปรุงพื้นที่ ตามแบบมาตรฐาน โคก หนอง นา ขนาด 3 ไร่ สำนักงานพัฒนาชุมชนอำเภอผาขาว ตำบลโนนปอแดง อำเภอผาขาว จังหวัดเลย</t>
  </si>
  <si>
    <t>งานปรับปรุงพื้นที่ ตามแบบมาตรฐาน โคก หนอง นา ขนาด 3 ไร่ สำนักงานพัฒนาชุมชนอำเภอขุขันธ์ ตำบลห้วยเหนือ อำเภอขุขันธ์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</si>
  <si>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สำนักงานพัฒนาชุมชนอำเภอไพรบึง ตำบลไพรบึง อำเภอไพรบึง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</si>
  <si>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สำนักงานพัฒนาชุมชนอำเภอกันทรารมย์ ตำบลดูน อำเภอกันทรารมย์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</si>
  <si>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สำนักงานพัฒนาชุมชนอำเภอเมืองสกลนคร ตำบลธาตุเชิงชุม อำเภอเมืองสกลนคร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</si>
  <si>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สำนักงานพัฒนาชุมชนอำเภอโพนนาแก้ว ตำบลนาแก้ว อำเภอโพนนาแก้ว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</si>
  <si>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สำนักงานพัฒนาชุมชนอำเภอพรรณานิคม ตำบลพรรณา อำเภอพรรณานิคม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</si>
  <si>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สำนักงานพัฒนาชุมชนอำเภอบ้านม่วง ตำบลม่วง อำเภอบ้านม่วง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</si>
  <si>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สำนักงานพัฒนาชุมชนอำเภอพังโคน ตำบลพังโคน อำเภอพังโคน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</si>
  <si>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สำนักงานพัฒนาชุมชนอำเภอกุสุมาลย์ ตำบลกุสุมาลย์ อำเภอกุสุมาลย์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</si>
  <si>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สำนักงานพัฒนาชุมชนอำเภอส่องดาว ตำบลส่องดาว อำเภอส่องดาว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</si>
  <si>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สำนักงานพัฒนาชุมชนอำเภอเจริญศิลป์ ตำบลเจริญศิลป์ อำเภอเจริญศิลป์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</si>
  <si>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สำนักงานพัฒนาชุมชนอำเภอวานรนิวาส ตำบลวานรนิวาส อำเภอวานรนิวาส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</si>
  <si>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สำนักงานพัฒนาชุมชนอำเภออากาศอำนวย ตำบลอากาศ อำเภออากาศอำนวย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</si>
  <si>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สำนักงานพัฒนาชุมชนอำเภอวาริชภูมิ ตำบลวาริชภูมิ อำเภอวาริชภูมิ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</si>
  <si>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สำนักงานพัฒนาชุมชนอำเภอคำตากล้า ตำบลคำตากล้า อำเภอคำตากล้า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</si>
  <si>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สำนักงานพัฒนาชุมชนอำเภอภูพาน ตำบลโคกภู อำเภอภูพาน จังหวัดสกลนคร</t>
  </si>
  <si>
    <t>งานปรับปรุงพื้นที่ ตามแบบมาตรฐาน โคก หนอง นา ขนาด 3 ไร่ สำนักงานพัฒนาชุมชนอำเภอละงู ตำบลละงู อำเภอละงู จังหวัดสตูล</t>
  </si>
  <si>
    <t>งานปรับปรุงพื้นที่ ตามแบบมาตรฐาน โคก หนอง นา ขนาด 3 ไร่ สำนักงานพัฒนาชุมชนอำเภออินทร์บุรี ตำบลอินทร์บุรี อำเภออินทร์บุรี จังหวัดสิงห์บุรี</t>
  </si>
  <si>
    <t>งานปรับปรุงพื้นที่ ตามแบบมาตรฐาน โคก หนอง นา ขนาด 3 ไร่ สำนักงานพัฒนาชุมชนอำเภอบางระจัน ตำบลสิงห์ อำเภอบางระจัน จังหวัดสิงห์บุรี</t>
  </si>
  <si>
    <t>งานปรับปรุงพื้นที่ ตามแบบมาตรฐาน โคก หนอง นา ขนาด 3 ไร่ สำนักงานพัฒนาชุมชนอำเภอกาบเชิง ตำบลกาบเชิง อำเภอกาบเชิง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</si>
  <si>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สำนักงานพัฒนาชุมชนอำเภอสนม ตำบลสนม อำเภอสนม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</si>
  <si>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สำนักงานพัฒนาชุมชนอำเภอสังขะ ตำบลสังขะ อำเภอสังขะ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</si>
  <si>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สำนักงานพัฒนาชุมชนอำเภอสำโรงทาบ ตำบลหนองไผ่ล้อม อำเภอสำโรงทาบ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</si>
  <si>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สำนักงานพัฒนาชุมชนอำเภอเมืองหนองคาย ตำบลมีชัย อำเภอเมืองหนองคาย จังหวัดหนองคาย</t>
  </si>
  <si>
    <t>งานปรับปรุงพื้นที่ ตามแบบมาตรฐาน โคก หนอง นา ขนาด 3 ไร่ สำนักงานพัฒนาชุมชนอำเภอเฝ้าไร่ ตำบลเฝ้าไร่ อำเภอเฝ้าไร่ จังหวัดหนองคาย</t>
  </si>
  <si>
    <t>งานปรับปรุงพื้นที่ ตามแบบมาตรฐาน โคก หนอง นา ขนาด 3 ไร่ สำนักงานพัฒนาชุมชนอำเภอเมืองหนองบัวลำภู ตำบลหนองบัว อำเภอเมืองหนองบัวลำภู จังหวัดหนองบัวลำภู</t>
  </si>
  <si>
    <t>งานปรับปรุงพื้นที่ ตามแบบมาตรฐาน โคก หนอง นา ขนาด 3 ไร่ สำนักงานพัฒนาชุมชนอำเภอนากลาง ตำบลนากลาง อำเภอนากลาง จังหวัดหนองบัวลำภู</t>
  </si>
  <si>
    <t>งานปรับปรุงพื้นที่ ตามแบบมาตรฐาน โคก หนอง นา ขนาด 3 ไร่ สำนักงานพัฒนาชุมชนอำเภอศรีบุญเรือง ตำบลเมืองใหม่ อำเภอศรีบุญเรือง จังหวัดหนองบัวลำภู</t>
  </si>
  <si>
    <t>งานปรับปรุงพื้นที่ ตามแบบมาตรฐาน โคก หนอง นา ขนาด 3 ไร่ สำนักงานพัฒนาชุมชนอำเภอสุวรรณคูหา ตำบลสุวรรณคูหา อำเภอสุวรรณคูหา จังหวัดหนองบัวลำภู</t>
  </si>
  <si>
    <t>งานปรับปรุงพื้นที่ ตามแบบมาตรฐาน โคก หนอง นา ขนาด 3 ไร่ สำนักงานพัฒนาชุมชนอำเภอนาวัง ตำบลนาเหล่า อำเภอนาวัง จังหวัดหนองบัวลำภู</t>
  </si>
  <si>
    <t>งานปรับปรุงพื้นที่ ตามแบบมาตรฐาน โคก หนอง นา ขนาด 3 ไร่ สำนักงานพัฒนาชุมชนอำเภอวิเศษชัยชาญ ตำบลศาลเจ้าโรงทอง อำเภอวิเศษชัยชาญ จังหวัดอ่างทอง</t>
  </si>
  <si>
    <t>งานปรับปรุงพื้นที่ ตามแบบมาตรฐาน โคก หนอง นา ขนาด 3 ไร่ สำนักงานพัฒนาชุมชนอำเภอเมืองอำนาจเจริญ ตำบลบุ่ง อำเภอเมืองอำนาจเจริญ จังหวัดอำนาจเจริญ</t>
  </si>
  <si>
    <t>งานปรับปรุงพื้นที่ ตามแบบมาตรฐาน โคก หนอง นา ขนาด 3 ไร่ สำนักงานพัฒนาชุมชนอำเภอพนา ตำบลพนา อำเภอพนา จังหวัดอำนาจเจริญ</t>
  </si>
  <si>
    <t>งานปรับปรุงพื้นที่ ตามแบบมาตรฐาน โคก หนอง นา ขนาด 3 ไร่ สำนักงานพัฒนาชุมชนอำเภอเสนางคนิคม ตำบลเสนางคนิคม อำเภอเสนางคนิคม จังหวัดอำนาจเจริญ</t>
  </si>
  <si>
    <t>งานปรับปรุงพื้นที่ ตามแบบมาตรฐาน โคก หนอง นา ขนาด 3 ไร่ สำนักงานพัฒนาชุมชนอำเภอลืออำนาจ ตำบลอำนาจ อำเภอลืออำนาจ จังหวัดอำนาจเจริญ</t>
  </si>
  <si>
    <t>งานปรับปรุงพื้นที่ ตามแบบมาตรฐาน โคก หนอง นา ขนาด 3 ไร่ สำนักงานพัฒนาชุมชนอำเภอกุมภวาปี ตำบลกุมภวาปี อำเภอกุมภวาปี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</si>
  <si>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สำนักงานพัฒนาชุมชนอำเภอหนองหาน ตำบลหนองหาน อำเภอหนองหาน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</si>
  <si>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สำนักงานพัฒนาชุมชนอำเภอเพ็ญ ตำบลเพ็ญ อำเภอเพ็ญ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</si>
  <si>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สำนักงานพัฒนาชุมชนอำเภอศรีธาตุ ตำบลศรีธาตุ อำเภอศรีธาตุ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</si>
  <si>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สำนักงานพัฒนาชุมชนอำเภอกุดจับ ตำบลเมืองเพีย อำเภอกุดจับ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</si>
  <si>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สำนักงานพัฒนาชุมชนอำเภอวังสามหมอ ตำบลวังสามหมอ อำเภอวังสามหมอ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</si>
  <si>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สำนักงานพัฒนาชุมชนอำเภอตาลสุม ตำบลตาลสุม อำเภอตาลสุม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</si>
  <si>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สำนักงานพัฒนาชุมชนอำเภอเขมราฐ ตำบลเขมราฐ อำเภอเขมราฐ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</si>
  <si>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สำนักงานพัฒนาชุมชนอำเภอพิบูลมังสาหาร ตำบลพิบูล อำเภอพิบูลมังสาหาร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</si>
  <si>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สำนักงานพัฒนาชุมชนอำเภอเขื่องใน ตำบลเขื่องใน อำเภอเขื่องใน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</si>
  <si>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สำนักงานพัฒนาชุมชนอำเภอกุดข้าวปุ้น ตำบลข้าวปุ้น อำเภอกุดข้าวปุ้น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</si>
  <si>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สำนักงานพัฒนาชุมชนอำเภอนาทม ตำบลดอนเตย อำเภอนาทม จังหวัดนครพนม</t>
  </si>
  <si>
    <t>งานปรับปรุงพื้นที่ ตามแบบมาตรฐาน โคก หนอง นา ขนาด 1 ไร่ สำนักงานพัฒนาชุมชนอำเภอโพนทอง ตำบลแวง อำเภอโพนทอง จังหวัดร้อยเอ็ด</t>
  </si>
  <si>
    <t>งานปรับปรุงพื้นที่ ตามแบบมาตรฐาน โคก หนอง นา ขนาด 1 ไร่ สำนักงานพัฒนาชุมชนอำเภอนาวัง ตำบลนาเหล่า อำเภอนาวัง จังหวัดหนองบัวลำภู</t>
  </si>
  <si>
    <t>งานปรับปรุงพื้นที่ ตามแบบมาตรฐาน โคก หนอง นา ขนาด 1 ไร่ สำนักงานพัฒนาชุมชนอำเภอเมืองชัยภูมิ ตำบลในเมือง อำเภอเมืองชัยภูมิ จังหวัดชัยภูมิ</t>
  </si>
  <si>
    <t xml:space="preserve">งบประมาณทั้งสิ้น
</t>
  </si>
  <si>
    <t>15004360001003210054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</si>
  <si>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</si>
  <si>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</si>
  <si>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</si>
  <si>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</si>
  <si>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</si>
  <si>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โครงการประตูระบายน้ำบ้านก่อพร้อมระบบส่งน้ำ 
จังหวัดสกลนคร</t>
  </si>
  <si>
    <t>โครงการคลองระบายน้ำหลากบางบาล-บางไทร 
จังหวัดพระนครศรีอยุธยา</t>
  </si>
  <si>
    <t>โครงการอ่างเก็บน้ำคลองโพล้ จังหวัดระยอง</t>
  </si>
  <si>
    <t>โครงการพัฒนาลุ่มน้ำห้วยหลวงตอนล่าง จังหวัดหนองคาย</t>
  </si>
  <si>
    <t>สภว.</t>
  </si>
  <si>
    <t>งานปรับปรุงพื้นที่ ตามแบบมาตรฐาน โคก หนอง นา ขนาด 3 ไร่ สำนักงานพัฒนาชุมชนอำเภอภาชี จังหวัดพระนครศรีอยุธยา</t>
  </si>
  <si>
    <t xml:space="preserve">                   ตามหนังสือสำนักงบประมาณ ที่ นร 0701/157 ลงวันที่ 6 ตุลาคม 2565</t>
  </si>
  <si>
    <t xml:space="preserve">                   ตามหนังสือสำนักงบประมาณ ที่ นร 0701/1461 ลงวันที่ 3 กุมภาพันธ์  2566</t>
  </si>
  <si>
    <t>กจ.</t>
  </si>
  <si>
    <t>โครงการบรรเทาอุทกภัยเมืองนครศรีธรรมราช 
อันเนื่องมาจากพระราชดำริ จังหวัดนครศรีธรรมราช</t>
  </si>
  <si>
    <t>โครงการปรับปรุงคลองยม-น่าน จังหวัดสุโขทัย</t>
  </si>
  <si>
    <t>15004360001003110005</t>
  </si>
  <si>
    <t>15004360001003110006</t>
  </si>
  <si>
    <t>15004360005003110001</t>
  </si>
  <si>
    <t>รายละเอียดการโอนเปลี่ยนแปลงงบประมาณงบดำเนินงานเป็นงบรายจ่ายอื่น</t>
  </si>
  <si>
    <t>วันที่
อนุมัติ</t>
  </si>
  <si>
    <t>15004360001005000001</t>
  </si>
  <si>
    <t>15004360001003110007</t>
  </si>
  <si>
    <t>15004360001003110009</t>
  </si>
  <si>
    <t>กลุ่มงานจริยธรรมข้าราชการกรมการพัฒนาชุมชน</t>
  </si>
  <si>
    <t xml:space="preserve">หมายเหตุ  :  สำนักงบประมาณได้โอนงบประมาณสำหรับไตรมาสที่ 1-2 (เดือนตุลาคม 2565 - มีนาคม 2566) เป็นเงิน 2,607,230,000.00  บาท  </t>
  </si>
  <si>
    <t xml:space="preserve">                   สำนักงบประมาณได้โอนงบประมาณสำหรับไตรมาสที่ 3 (เดือนเมษายน 2566 - มิถุนายน 2566) เป็นเงิน 1,921,048,900.00  บาท</t>
  </si>
  <si>
    <t>15004360005003210067</t>
  </si>
  <si>
    <t>งานปรับปรุงพื้นที่ ตามแบบมาตรฐาน โคก หนอง นา ขนาด 1 ไร่ สำนักงานพัฒนาชุมชนอำเภอสันกำแพง ตำบลทรายมูล อำเภอสันกำแพง จังหวัดเชียงใหม่</t>
  </si>
  <si>
    <t>15004360005003210071</t>
  </si>
  <si>
    <t>15004360005003210072</t>
  </si>
  <si>
    <t>15004360005003210073</t>
  </si>
  <si>
    <t>15004360005003210122</t>
  </si>
  <si>
    <t>15004360005003210125</t>
  </si>
  <si>
    <t>15004360005003210181</t>
  </si>
  <si>
    <t>15004360005003210188</t>
  </si>
  <si>
    <t>15004360005003210190</t>
  </si>
  <si>
    <t>15004360005003210199</t>
  </si>
  <si>
    <t>15004360005003210205</t>
  </si>
  <si>
    <t>15004360005003210224</t>
  </si>
  <si>
    <t>15004360005003210297</t>
  </si>
  <si>
    <t>งานปรับปรุงพื้นที่ ตามแบบมาตรฐาน โคก หนอง นา ขนาด 3 ไร่ สำนักงานพัฒนาชุมชนอำเภอฝาง ตำบลเวียง อำเภอฝาง จังหวัดเชียงใหม่</t>
  </si>
  <si>
    <t>15004360005003210454</t>
  </si>
  <si>
    <t>15004360005003210462</t>
  </si>
  <si>
    <t>งานปรับปรุงพื้นที่ ตามแบบมาตรฐาน โคก หนอง นา ขนาด 3 ไร่ สำนักงานพัฒนาชุมชนอำเภอท่าศาลา ตำบลท่าศาลา อำเภอท่าศาลา จังหวัดนครศรีธรรมราช</t>
  </si>
  <si>
    <t xml:space="preserve">                   สำนักงบประมาณได้โอนงบประมาณสำหรับไตรมาสที่ 4(เดือนกรกฎาคม 2566 - กันยายน 2566) เป็นเงิน  463,433,600.00  บาท (วันที่ 14 มิถุนายน 2566)</t>
  </si>
  <si>
    <t>2. งบลงทุน (ปรับปรุงอาคารฯ/บ้านพัก)</t>
  </si>
  <si>
    <t>15004360001003110010</t>
  </si>
  <si>
    <t>15004360001003110011</t>
  </si>
  <si>
    <t>15004360001003110012</t>
  </si>
  <si>
    <t>15004360005003110002</t>
  </si>
  <si>
    <t>15004510076093210006</t>
  </si>
  <si>
    <t>15004510099093220002</t>
  </si>
  <si>
    <t>15004510084093220003</t>
  </si>
  <si>
    <t>15004360001003210055</t>
  </si>
  <si>
    <t>15004360001003110013</t>
  </si>
  <si>
    <t>15004360001003210056</t>
  </si>
  <si>
    <t>15004360001003110014</t>
  </si>
  <si>
    <t>15004360005003110003</t>
  </si>
  <si>
    <t>15004360005003210019</t>
  </si>
  <si>
    <t>15004360005003210048</t>
  </si>
  <si>
    <t>15004360005003210051</t>
  </si>
  <si>
    <t>15004360005003210432</t>
  </si>
  <si>
    <t>รวมเบิกจ่าย+PO</t>
  </si>
  <si>
    <t xml:space="preserve">                   ได้รับการโอนจัดสรรงบประมาณแผนบุคลากรภาครัฐ งบดำเนินงาน (รายการค่าเช่าบ้าน) จากกองทัพบก กระทรวงกลาโหม 5,853,500.00 บาท</t>
  </si>
  <si>
    <t xml:space="preserve">                  หนังสือ ด่วนที่สุด ที่ นร. 0704/14653 ลงวันที่ 22 สิงหาคม 2566</t>
  </si>
  <si>
    <t>รายงานผลการใช้จ่ายงบประมาณรายจ่ายประจำปีงบประมาณ พ.ศ. 2567</t>
  </si>
  <si>
    <t>ผลการใช้จ่าย+สำรองเงิน</t>
  </si>
  <si>
    <t xml:space="preserve">    ร้อยละ</t>
  </si>
  <si>
    <t>รายจ่ายลงทุน - งบดำเนินงาน</t>
  </si>
  <si>
    <t>เป้าหมายการใช้จ่ายงบประมาณภาครัฐ ปีงบประมาณ พ.ศ. 2567 เป็นรายไตรมาส (สะสม) ดังนี้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</si>
  <si>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</si>
  <si>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</si>
  <si>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</si>
  <si>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 xml:space="preserve">     ไตรมาสที่ 4</t>
  </si>
  <si>
    <t>ภาพรวม                                                          ร้อยละ 28</t>
  </si>
  <si>
    <t>ร้อยละ 47</t>
  </si>
  <si>
    <t>ร้อยละ 82</t>
  </si>
  <si>
    <t>ร้อยละ 100</t>
  </si>
  <si>
    <t>รายจ่ายประจำ                                                  ร้อยละ 33</t>
  </si>
  <si>
    <t>ร้อยละ 53</t>
  </si>
  <si>
    <t>รายจ่ายลงทุน                                                   ร้อยละ 11</t>
  </si>
  <si>
    <t>ร้อยละ 24</t>
  </si>
  <si>
    <t>ร้อยละ 80</t>
  </si>
  <si>
    <t xml:space="preserve">                              ไตรมาสที่ 1             ไตรมาสที่   2            ไตรมาสที่ 3              ไตรมาสที่ 4</t>
  </si>
  <si>
    <t>รายงานผลการใช้จ่ายงบประมาณภาพรวม ประจำปีงบประมาณ พ.ศ. 2567</t>
  </si>
  <si>
    <t>ผลการเบิกจ่าย 
(GFMIS)</t>
  </si>
  <si>
    <t xml:space="preserve"> ผลการใช้จ่าย (ผลการเบิกจ่าย+ PO)
</t>
  </si>
  <si>
    <t>รายงานผลการใช้จ่ายงบลงทุน ประจำปีงบประมาณ พ.ศ. 2567</t>
  </si>
  <si>
    <t xml:space="preserve">ข้อมูลสะสมตั้งแต่วันที่ 1 ตุลาคม 2566  ถึงวันที่  15 กันยายน 2567 </t>
  </si>
  <si>
    <t xml:space="preserve">ครุภัณฑ์ </t>
  </si>
  <si>
    <t xml:space="preserve">สิ่งก่อสร้าง </t>
  </si>
  <si>
    <t>แผนงานยุทธศาสตร์เสริมสร้างพลังทางสังคม
ผลผลิต : การจัดการฐานข้อมูลเพื่อการพัฒนาชุมชน</t>
  </si>
  <si>
    <t>เครื่องถ่ายเอกสาร ระบบดิจิตอล (ขาว-ดำ) ความเร็ว 30 แผ่นต่อนาที กรมการพัฒนาชุมชน แขวงทุ่งสองห้อง เขตหลักสี่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</si>
  <si>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สำนักงานพัฒนาชุมชนอำเภอยางตลาด ตำบลยางตลาด อำเภอยางตลาด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</si>
  <si>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สำนักงานพัฒนาชุมชนอำเภอเมืองกำแพงเพชร ตำบลในเมือง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</si>
  <si>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สำนักงานพัฒนาชุมชนอำเภอสีชมพู ตำบลวังเพิ่ม อำเภอสีชมพู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</si>
  <si>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สำนักงานพัฒนาชุมชนอำเภอชนบท ตำบลชนบท อำเภอชนบท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</si>
  <si>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สำนักงานพัฒนาชุมชนอำเภอเมืองชลบุรี ตำบลบางปลาสร้อย อำเภอเมืองชลบุรี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</si>
  <si>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สำนักงานพัฒนาชุมชนอำเภอแม่แตง ตำบลสันมหาพน อำเภอแม่แตง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</si>
  <si>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สำนักงานพัฒนาชุมชนอำเภอเมืองเชียงใหม่ ตำบลช้างเผือก อำเภอเมืองเชียงใหม่ จังหวัดเชียงใหม่</t>
  </si>
  <si>
    <t>15004360001003110008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</si>
  <si>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สำนักงานพัฒนาชุมชนอำเภอเมืองตรัง ตำบลทับเที่ยง อำเภอเมืองตรัง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</si>
  <si>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สำนักงานพัฒนาชุมชนอำเภอเขาสมิง ตำบลเขาสมิง อำเภอเขาสมิง จังหวัดตราด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</si>
  <si>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สำนักงานพัฒนาชุมชนอำเภอปากพลี ตำบลเกาะหวาย อำเภอปากพลี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</si>
  <si>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สำนักงานพัฒนาชุมชนอำเภอบางเลน ตำบลบางเลน อำเภอบางเลน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</si>
  <si>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สำนักงานพัฒนาชุมชนอำเภอนาแก ตำบลนาแก อำเภอนาแก จังหวัดนครพนม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</si>
  <si>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สำนักงานพัฒนาชุมชนจังหวัดนครพนม ตำบลในเมือง อำเภอเมืองนครพนม จังหวัดนครพนม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</si>
  <si>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สำนักงานพัฒนาชุมชนอำเภอปักธงชัย ตำบลเมืองปัก อำเภอปักธงชัย จังหวัดนครราชสีมา</t>
  </si>
  <si>
    <t>15004360001003110015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</si>
  <si>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สำนักงานพัฒนาชุมชนอำเภอลานสกา ตำบลเขาแก้ว อำเภอลานสกา จังหวัดนครศรีธรรมราช</t>
  </si>
  <si>
    <t>15004360001003110016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</si>
  <si>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สำนักงานพัฒนาชุมชนอำเภอปากพนัง ตำบลปากพนังฝั่งตะวันออก อำเภอปากพนัง จังหวัดนครศรีธรรมราช</t>
  </si>
  <si>
    <t>15004360001003110017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</si>
  <si>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สำนักงานพัฒนาชุมชนอำเภอแม่วงก์ ตำบลแม่วงก์ อำเภอแม่วงก์ จังหวัดนครสวรรค์</t>
  </si>
  <si>
    <t>15004360001003110018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</si>
  <si>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สำนักงานพัฒนาชุมชนอำเภอไพศาลี ตำบลไพศาลี อำเภอไพศาลี จังหวัดนครสวรรค์</t>
  </si>
  <si>
    <t>15004360001003110019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</si>
  <si>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สำนักงานพัฒนาชุมชนอำเภอบางใหญ่ ตำบลเสาธงหิน อำเภอบางใหญ่ จังหวัดนนทบุรี</t>
  </si>
  <si>
    <t>15004360001003110020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</si>
  <si>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สำนักงานพัฒนาชุมชนอำเภอเจาะไอร้อง ตำบลจวบ อำเภอเจาะไอร้อง จังหวัดนราธิวาส</t>
  </si>
  <si>
    <t>15004360001003110021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</si>
  <si>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สำนักงานพัฒนาชุมชนอำเภอตากใบ ตำบลเจ๊ะเห อำเภอตากใบ จังหวัดนราธิวาส</t>
  </si>
  <si>
    <t>15004360001003110022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</si>
  <si>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สำนักงานพัฒนาชุมชนอำเภอสุไหงโกลก ตำบลสุไหงโก-ลก อำเภอสุไหงโก-ลก จังหวัดนราธิวาส</t>
  </si>
  <si>
    <t>15004360001003110023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</si>
  <si>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สำนักงานพัฒนาชุมชนอำเภอบาเจาะ ตำบลบาเจาะ อำเภอบาเจาะ จังหวัดนราธิวาส</t>
  </si>
  <si>
    <t>15004360001003110024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</si>
  <si>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สำนักงานพัฒนาชุมชนอำเภอเมืองนราธิวาส ตำบลบางนาค อำเภอเมืองนราธิวาส จังหวัดนราธิวาส</t>
  </si>
  <si>
    <t>15004360001003110025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</si>
  <si>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สำนักงานพัฒนาชุมชนอำเภอจะแนะ ตำบลจะแนะ อำเภอจะแนะ จังหวัดนราธิวาส</t>
  </si>
  <si>
    <t>15004360001003110026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</si>
  <si>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สำนักงานพัฒนาชุมชนจังหวัดน่าน ตำบลไชยสถาน อำเภอเมืองน่าน จังหวัดน่าน</t>
  </si>
  <si>
    <t>15004360001003110027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</si>
  <si>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สำนักงานพัฒนาชุมชนอำเภอลำปลายมาศ ตำบลลำปลายมาศ อำเภอลำปลายมาศ จังหวัดบุรีรัมย์</t>
  </si>
  <si>
    <t>15004360001003110028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</si>
  <si>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สำนักงานพัฒนาชุมชนอำเภอประโคนชัย ตำบลประโคนชัย อำเภอประโคนชัย จังหวัดบุรีรัมย์</t>
  </si>
  <si>
    <t>15004360001003110029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</si>
  <si>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สำนักงานพัฒนาชุมชนอำเภอลำลูกกา ตำบลลำลูกกา อำเภอลำลูกกา จังหวัดปทุมธานี</t>
  </si>
  <si>
    <t>15004360001003110030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</si>
  <si>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สำนักงานพัฒนาชุมชนอำเภอบางสะพาน ตำบลกำเนิดนพคุณ อำเภอบางสะพาน จังหวัดประจวบคีรีขันธ์</t>
  </si>
  <si>
    <t>15004360001003110031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</si>
  <si>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สำนักงานพัฒนาชุมชนอำเภอประจันตคาม ตำบลประจันตคาม อำเภอประจันตคาม จังหวัดปราจีนบุรี</t>
  </si>
  <si>
    <t>15004360001003110032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</si>
  <si>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สำนักงานพัฒนาชุมชนอำเภอยะหริ่ง ตำบลยามู อำเภอยะหริ่ง จังหวัดปัตตานี</t>
  </si>
  <si>
    <t>15004360001003110033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</si>
  <si>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สำนักงานพัฒนาชุมชนอำเภอสายบุรี ตำบลตะลุบัน อำเภอสายบุรี จังหวัดปัตตานี</t>
  </si>
  <si>
    <t>15004360001003110034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</si>
  <si>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สำนักงานพัฒนาชุมชนอำเภอโคกโพธิ์ ตำบลโคกโพธิ์ อำเภอโคกโพธิ์ จังหวัดปัตตานี</t>
  </si>
  <si>
    <t>15004360001003110035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</si>
  <si>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สำนักงานพัฒนาชุมชนอำเภอหนองจิก ตำบลตุยง อำเภอหนองจิก จังหวัดปัตตานี</t>
  </si>
  <si>
    <t>15004360001003110036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</si>
  <si>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สำนักงานพัฒนาชุมชนอำเภอเมืองพะเยา ตำบลบ้านต๋อม อำเภอเมืองพะเยา จังหวัดพะเยา</t>
  </si>
  <si>
    <t>15004360001003110037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</si>
  <si>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สำนักงานพัฒนาชุมชนอำเภอเมืองพังงา ตำบลท้ายช้าง อำเภอเมืองพังงา จังหวัดพังงา</t>
  </si>
  <si>
    <t>15004360001003110038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</si>
  <si>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สำนักงานพัฒนาชุมชนอำเภอตะพานหิน ตำบลตะพานหิน อำเภอตะพานหิน จังหวัดพิจิตร</t>
  </si>
  <si>
    <t>15004360001003110039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</si>
  <si>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สำนักงานพัฒนาชุมชนอำเภอบางมูลนาก ตำบลบางมูลนาก อำเภอบางมูลนาก จังหวัดพิจิตร</t>
  </si>
  <si>
    <t>15004360001003110040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</si>
  <si>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สำนักงานพัฒนาชุมชนจังหวัดพิษณุโลก ตำบลในเมือง อำเภอเมืองพิษณุโลก จังหวัดพิษณุโลก</t>
  </si>
  <si>
    <t>15004360001003110041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</si>
  <si>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สำนักงานพัฒนาชุมชนอำเภอกะทู้ ตำบลกะทู้ อำเภอกะทู้ จังหวัดภูเก็ต</t>
  </si>
  <si>
    <t>15004360001003110042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</si>
  <si>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สำนักงานพัฒนาชุมชนอำเภอวาปีปทุม ตำบลหนองแสง อำเภอวาปีปทุม จังหวัดมหาสารคาม</t>
  </si>
  <si>
    <t>15004360001003110043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</si>
  <si>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สำนักงานพัฒนาชุมชนอำเภอคำชะอี ตำบลน้ำเที่ยง อำเภอคำชะอี จังหวัดมุกดาหาร</t>
  </si>
  <si>
    <t>15004360001003110044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</si>
  <si>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สำนักงานพัฒนาชุมชนอำเภอกรงปินัง ตำบลสะเอะ อำเภอกรงปินัง จังหวัดยะลา</t>
  </si>
  <si>
    <t>15004360001003110045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</si>
  <si>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สำนักงานพัฒนาชุมชนอำเภอธวัชบุรี ตำบลนิเวศน์ อำเภอธวัชบุรี จังหวัดร้อยเอ็ด</t>
  </si>
  <si>
    <t>15004360001003110046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</si>
  <si>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สำนักงานพัฒนาชุมชนอำเภอเกษตรวิสัย ตำบลเกษตรวิสัย อำเภอเกษตรวิสัย จังหวัดร้อยเอ็ด</t>
  </si>
  <si>
    <t>15004360001003110047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</si>
  <si>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สำนักงานพัฒนาชุมชนจังหวัดราชบุรี ตำบลหน้าเมือง อำเภอเมืองราชบุรี จังหวัดราชบุรี</t>
  </si>
  <si>
    <t>15004360001003110048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</si>
  <si>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สำนักงานพัฒนาชุมชนอำเภอปากชม ตำบลปากชม อำเภอปากชม จังหวัดเลย</t>
  </si>
  <si>
    <t>15004360001003110049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</si>
  <si>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สำนักงานพัฒนาชุมชนอำเภอผาขาว ตำบลโนนปอแดง อำเภอผาขาว จังหวัดเลย</t>
  </si>
  <si>
    <t>15004360001003110050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</si>
  <si>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สำนักงานพัฒนาชุมชนอำเภอภูกระดึง ตำบลภูกระดึง อำเภอภูกระดึง จังหวัดเลย</t>
  </si>
  <si>
    <t>15004360001003110051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</si>
  <si>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สำนักงานพัฒนาชุมชนอำเภออุทุมพรพิสัย ตำบลกำแพง อำเภออุทุมพรพิสัย จังหวัดศรีสะเกษ</t>
  </si>
  <si>
    <t>15004360001003110052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</si>
  <si>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สำนักงานพัฒนาชุมชนอำเภอภูสิงห์ ตำบลห้วยตึ๊กชู อำเภอภูสิงห์ จังหวัดศรีสะเกษ</t>
  </si>
  <si>
    <t>15004360001003110053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</si>
  <si>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สำนักงานพัฒนาชุมชนอำเภอเต่างอย ตำบลเต่างอย อำเภอเต่างอย จังหวัดสกลนคร</t>
  </si>
  <si>
    <t>15004360001003110054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</si>
  <si>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สำนักงานพัฒนาชุมชนอำเภอหาดใหญ่ ตำบลหาดใหญ่ อำเภอหาดใหญ่ จังหวัดสงขลา</t>
  </si>
  <si>
    <t>15004360001003110055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</si>
  <si>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สำนักงานพัฒนาชุมชนอำเภอเมืองสตูล ตำบลคลองขุด อำเภอเมืองสตูล จังหวัดสตูล</t>
  </si>
  <si>
    <t>15004360001003110056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</si>
  <si>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สำนักงานพัฒนาชุมชนอำเภอบางพลี ตำบลบางพลีใหญ่ อำเภอบางพลี จังหวัดสมุทรปราการ</t>
  </si>
  <si>
    <t>15004360001003110057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</si>
  <si>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สำนักงานพัฒนาชุมชนอำเภอกระทุ่มแบน ตำบลตลาดกระทุ่มแบน อำเภอกระทุ่มแบน จังหวัดสมุทรสาคร</t>
  </si>
  <si>
    <t>15004360001003110058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</si>
  <si>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สำนักงานพัฒนาชุมชนอำเภอหนองแค ตำบลหนองแค อำเภอหนองแค จังหวัดสระบุรี</t>
  </si>
  <si>
    <t>15004360001003110059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</si>
  <si>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</si>
  <si>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15004360001003110060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</si>
  <si>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สำนักงานพัฒนาชุมชนอำเภอศรีธาตุ ตำบลศรีธาตุ อำเภอศรีธาตุ จังหวัดอุดรธานี</t>
  </si>
  <si>
    <t>15004360001003110061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</si>
  <si>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สำนักงานพัฒนาชุมชนอำเภอทุ่งฝน ตำบลทุ่งฝน อำเภอทุ่งฝน จังหวัดอุดรธานี</t>
  </si>
  <si>
    <t>15004360001003110062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</si>
  <si>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สำนักงานพัฒนาชุมชนอำเภอนาเยีย ตำบลนาเยีย อำเภอนาเยีย จังหวัดอุบลราชธานี</t>
  </si>
  <si>
    <t>15004360001003110063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</si>
  <si>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สำนักงานพัฒนาชุมชนอำเภอทุ่งศรีอุดม ตำบลโคกชำแระ อำเภอทุ่งศรีอุดม จังหวัดอุบลราชธานี</t>
  </si>
  <si>
    <t>15004360001003110064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</si>
  <si>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สำนักงานพัฒนาชุมชนอำเภอเมืองพัทลุง ตำบลคูหาสวรรค์ อำเภอเมืองพัทลุง จังหวัดพัทลุง</t>
  </si>
  <si>
    <t>15004360001003110065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</si>
  <si>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สำนักงานพัฒนาชุมชนอำเภอบ้านแท่น ตำบลบ้านแท่น อำเภอบ้านแท่น จังหวัดชัยภูมิ</t>
  </si>
  <si>
    <t>15004360001003110066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</si>
  <si>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สำนักงานพัฒนาชุมชนจังหวัดบึงกาฬ ตำบลบึงกาฬ อำเภอเมืองบึงกาฬ จังหวัดบึงกาฬ</t>
  </si>
  <si>
    <t>15004360001003110067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</si>
  <si>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สำนักงานพัฒนาชุมชนจังหวัดบุรีรัมย์ ตำบลในเมือง อำเภอเมืองบุรีรัมย์ จังหวัดบุรีรัมย์</t>
  </si>
  <si>
    <t>15004360001003110068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</si>
  <si>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สำนักงานพัฒนาชุมชนอำเภอแม่ลาน ตำบลแม่ลาน อำเภอแม่ลาน จังหวัดปัตตานี</t>
  </si>
  <si>
    <t>15004360001003110069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</si>
  <si>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สำนักงานพัฒนาชุมชนอำเภอเนินมะปราง ตำบลเนินมะปราง อำเภอเนินมะปราง จังหวัดพิษณุโลก</t>
  </si>
  <si>
    <t>15004360001003110070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</si>
  <si>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สำนักงานพัฒนาชุมชนอำเภอบ้านโป่ง ตำบลบ้านโป่ง อำเภอบ้านโป่ง จังหวัดราชบุรี</t>
  </si>
  <si>
    <t>15004360001003110071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</si>
  <si>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สำนักงานพัฒนาชุมชนอำเภอศรีสัชนาลัย ตำบลหาดเสี้ยว อำเภอศรีสัชนาลัย จังหวัดสุโขทัย</t>
  </si>
  <si>
    <t>15004360001003110072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</si>
  <si>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สำนักงานพัฒนาชุมชนอำเภอโนนสัง ตำบลโนนสัง อำเภอโนนสัง จังหวัดหนองบัวลำภู</t>
  </si>
  <si>
    <t>15004360001003110073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</si>
  <si>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สำนักงานพัฒนาชุมชนจังหวัดอ่างทอง ตำบลบางแก้ว อำเภอเมืองอ่างทอง จังหวัดอ่างทอง</t>
  </si>
  <si>
    <t>15004360001003110074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</si>
  <si>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กรมการพัฒนาชุมชน แขวงทุ่งสองห้อง เขตหลักสี่ กรุงเทพมหานคร</t>
  </si>
  <si>
    <t>15004360001003110075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</si>
  <si>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สำนักงานพัฒนาชุมชนอำเภออ่าวลึก ตำบลอ่าวลึกใต้ อำเภออ่าวลึก จังหวัดกระบี่</t>
  </si>
  <si>
    <t>15004360001003110076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</si>
  <si>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สำนักงานพัฒนาชุมชนอำเภอไทรโยค ตำบลลุ่มสุ่ม อำเภอไทรโยค จังหวัดกาญจนบุรี</t>
  </si>
  <si>
    <t>15004360001003110077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</si>
  <si>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สำนักงานพัฒนาชุมชนจังหวัดกาฬสินธุ์ ตำบลกาฬสินธุ์ อำเภอเมืองกาฬสินธุ์ จังหวัดกาฬสินธุ์</t>
  </si>
  <si>
    <t>15004360001003110078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</si>
  <si>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สำนักงานพัฒนาชุมชนอำเภอห้วยเม็ก ตำบลห้วยเม็ก อำเภอห้วยเม็ก จังหวัดกาฬสินธุ์</t>
  </si>
  <si>
    <t>15004360001003110079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</si>
  <si>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สำนักงานพัฒนาชุมชนจังหวัดกำแพงเพชร ตำบลหนองปลิง อำเภอเมืองกำแพงเพชร จังหวัดกำแพงเพชร</t>
  </si>
  <si>
    <t>15004360001003110080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</si>
  <si>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สำนักงานพัฒนาชุมชนจังหวัดขอนแก่น ตำบลในเมือง อำเภอเมืองขอนแก่น จังหวัดขอนแก่น</t>
  </si>
  <si>
    <t>15004360001003110081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</si>
  <si>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สำนักงานพัฒนาชุมชนอำเภอโป่งน้ำร้อน ตำบลทับไทร อำเภอโป่งน้ำร้อน จังหวัดจันทบุรี</t>
  </si>
  <si>
    <t>15004360001003110082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</si>
  <si>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สำนักงานพัฒนาชุมชนอำเภอพนมสารคาม ตำบลพนมสารคาม อำเภอพนมสารคาม จังหวัดฉะเชิงเทรา</t>
  </si>
  <si>
    <t>15004360001003110083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</si>
  <si>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สำนักงานพัฒนาชุมชนอำเภอสัตหีบ ตำบลสัตหีบ อำเภอสัตหีบ จังหวัดชลบุรี</t>
  </si>
  <si>
    <t>15004360001003110084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</si>
  <si>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สำนักงานพัฒนาชุมชนอำเภอวัดสิงห์ ตำบลมะขามเฒ่า อำเภอวัดสิงห์ จังหวัดชัยนาท</t>
  </si>
  <si>
    <t>15004360001003110085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</si>
  <si>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สำนักงานพัฒนาชุมชนอำเภอหนองบัวแดง ตำบลหนองบัวแดง อำเภอหนองบัวแดง จังหวัดชัยภูมิ</t>
  </si>
  <si>
    <t>15004360001003110086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</si>
  <si>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สำนักงานพัฒนาชุมชนอำเภอละแม ตำบลละแม อำเภอละแม จังหวัดชุมพร</t>
  </si>
  <si>
    <t>15004360001003110087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</si>
  <si>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สำนักงานพัฒนาชุมชนอำเภอเทิง ตำบลเวียง อำเภอเทิง จังหวัดเชียงราย</t>
  </si>
  <si>
    <t>15004360001003110088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</si>
  <si>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สำนักงานพัฒนาชุมชนอำเภอเชียงของ ตำบลเวียง อำเภอเชียงของ จังหวัดเชียงราย</t>
  </si>
  <si>
    <t>15004360001003110089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</si>
  <si>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สำนักงานพัฒนาชุมชนอำเภอสันกำแพง ตำบลทรายมูล อำเภอสันกำแพง จังหวัดเชียงใหม่</t>
  </si>
  <si>
    <t>15004360001003110090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</si>
  <si>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สำนักงานพัฒนาชุมชนอำเภอเชียงดาว ตำบลเชียงดาว อำเภอเชียงดาว จังหวัดเชียงใหม่</t>
  </si>
  <si>
    <t>15004360001003110091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</si>
  <si>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สำนักงานพัฒนาชุมชนอำเภอห้วยยอด ตำบลห้วยยอด อำเภอห้วยยอด จังหวัดตรัง</t>
  </si>
  <si>
    <t>15004360001003110092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</si>
  <si>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สำนักงานพัฒนาชุมชนอำเภอองครักษ์ ตำบลองครักษ์ อำเภอองครักษ์ จังหวัดนครนายก</t>
  </si>
  <si>
    <t>15004360001003110093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</si>
  <si>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สำนักงานพัฒนาชุมชนอำเภอนาหว้า ตำบลนาหว้า อำเภอนาหว้า จังหวัดนครพนม</t>
  </si>
  <si>
    <t>15004360001003110094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</si>
  <si>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สำนักงานพัฒนาชุมชนอำเภอหนองบุญมาก ตำบลหนองหัวแรต อำเภอหนองบุญมาก จังหวัดนครราชสีมา</t>
  </si>
  <si>
    <t>15004360001003110095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</si>
  <si>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สำนักงานพัฒนาชุมชนอำเภอโชคชัย ตำบลโชคชัย อำเภอโชคชัย จังหวัดนครราชสีมา</t>
  </si>
  <si>
    <t>15004360001003110096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</si>
  <si>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สำนักงานพัฒนาชุมชนอำเภอจักราช ตำบลจักราช อำเภอจักราช จังหวัดนครราชสีมา</t>
  </si>
  <si>
    <t>15004360001003110097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</si>
  <si>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สำนักงานพัฒนาชุมชนอำเภอพิปูน ตำบลพิปูน อำเภอพิปูน จังหวัดนครศรีธรรมราช</t>
  </si>
  <si>
    <t>15004360001003110098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</si>
  <si>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สำนักงานพัฒนาชุมชนอำเภอจุฬาภรณ์ ตำบลสาม อำเภอจุฬาภรณ์ จังหวัดนครศรีธรรมราช</t>
  </si>
  <si>
    <t>15004360001003110099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</si>
  <si>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สำนักงานพัฒนาชุมชนอำเภอพรหมคีรี ตำบลพรหมโลก อำเภอพรหมคีรี จังหวัดนครศรีธรรมราช</t>
  </si>
  <si>
    <t>15004360001003110100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</si>
  <si>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สำนักงานพัฒนาชุมชนอำเภอตาคลี ตำบลตาคลี อำเภอตาคลี จังหวัดนครสวรรค์</t>
  </si>
  <si>
    <t>15004360001003110101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</si>
  <si>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สำนักงานพัฒนาชุมชนจังหวัดนนทบุรี ตำบลบางกระสอ อำเภอเมืองนนทบุรี จังหวัดนนทบุรี</t>
  </si>
  <si>
    <t>15004360001003110102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</si>
  <si>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สำนักงานพัฒนาชุมชนอำเภอปะคำ ตำบลปะคำ อำเภอปะคำ จังหวัดบุรีรัมย์</t>
  </si>
  <si>
    <t>15004360001003110103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</si>
  <si>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สำนักงานพัฒนาชุมชนอำเภอนางรอง ตำบลนางรอง อำเภอนางรอง จังหวัดบุรีรัมย์</t>
  </si>
  <si>
    <t>15004360001003110104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</si>
  <si>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สำนักงานพัฒนาชุมชนอำเภอพุทไธสง ตำบลพุทไธสง อำเภอพุทไธสง จังหวัดบุรีรัมย์</t>
  </si>
  <si>
    <t>15004360001003110105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</si>
  <si>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สำนักงานพัฒนาชุมชนอำเภอกุยบุรี ตำบลกุยบุรี อำเภอกุยบุรี จังหวัดประจวบคีรีขันธ์</t>
  </si>
  <si>
    <t>15004360001003110106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</si>
  <si>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สำนักงานพัฒนาชุมชนอำเภอบางไทร ตำบลบางไทร อำเภอบางไทร จังหวัดพระนครศรีอยุธยา</t>
  </si>
  <si>
    <t>15004360001003110107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</si>
  <si>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สำนักงานพัฒนาชุมชนอำเภอดอกคำใต้ ตำบลดอนศรีชุม อำเภอดอกคำใต้ จังหวัดพะเยา</t>
  </si>
  <si>
    <t>15004360001003110108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</si>
  <si>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สำนักงานพัฒนาชุมชนอำเภอกงหรา ตำบลคลองทรายขาว อำเภอกงหรา จังหวัดพัทลุง</t>
  </si>
  <si>
    <t>15004360001003110109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</si>
  <si>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สำนักงานพัฒนาชุมชนอำเภอสามง่าม ตำบลสามง่าม อำเภอสามง่าม จังหวัดพิจิตร</t>
  </si>
  <si>
    <t>15004360001003110110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</si>
  <si>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สำนักงานพัฒนาชุมชนอำเภอนครไทย ตำบลนครไทย อำเภอนครไทย จังหวัดพิษณุโลก</t>
  </si>
  <si>
    <t>15004360001003110111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</si>
  <si>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สำนักงานพัฒนาชุมชนอำเภอหนองหญ้าปล้อง ตำบลหนองหญ้าปล้อง อำเภอหนองหญ้าปล้อง จังหวัดเพชรบุรี</t>
  </si>
  <si>
    <t>15004360001003110112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</si>
  <si>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สำนักงานพัฒนาชุมชนอำเภอสูงเม่น ตำบลสูงเม่น อำเภอสูงเม่น จังหวัดแพร่</t>
  </si>
  <si>
    <t>15004360001003110113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</si>
  <si>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สำนักงานพัฒนาชุมชนอำเภอเชียงยืน ตำบลเชียงยืน อำเภอเชียงยืน จังหวัดมหาสารคาม</t>
  </si>
  <si>
    <t>15004360001003110114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</si>
  <si>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สำนักงานพัฒนาชุมชนอำเภอกุดชุม ตำบลกุดชุม อำเภอกุดชุม จังหวัดยโสธร</t>
  </si>
  <si>
    <t>15004360001003110115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</si>
  <si>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สำนักงานพัฒนาชุมชนอำเภอโพนทราย ตำบลโพนทราย อำเภอโพนทราย จังหวัดร้อยเอ็ด</t>
  </si>
  <si>
    <t>15004360001003110116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</si>
  <si>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สำนักงานพัฒนาชุมชนอำเภอพนมไพร ตำบลพนมไพร อำเภอพนมไพร จังหวัดร้อยเอ็ด</t>
  </si>
  <si>
    <t>15004360001003110117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</si>
  <si>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สำนักงานพัฒนาชุมชนอำเภอบ้านค่าย ตำบลบ้านค่าย อำเภอบ้านค่าย จังหวัดระยอง</t>
  </si>
  <si>
    <t>15004360001003110118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</si>
  <si>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สำนักงานพัฒนาชุมชนอำเภอโพธาราม ตำบลโพธาราม อำเภอโพธาราม จังหวัดราชบุรี</t>
  </si>
  <si>
    <t>15004360001003110119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</si>
  <si>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สำนักงานพัฒนาชุมชนอำเภอโคกสำโรง ตำบลโคกสำโรง อำเภอโคกสำโรง จังหวัดลพบุรี</t>
  </si>
  <si>
    <t>15004360001003110120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</si>
  <si>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สำนักงานพัฒนาชุมชนอำเภอแม่เมาะ ตำบลแม่เมาะ อำเภอแม่เมาะ จังหวัดลำปาง</t>
  </si>
  <si>
    <t>15004360001003110121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</si>
  <si>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สำนักงานพัฒนาชุมชนอำเภอบ้านโฮ่ง ตำบลบ้านโฮ่ง อำเภอบ้านโฮ่ง จังหวัดลำพูน</t>
  </si>
  <si>
    <t>15004360001003110122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</si>
  <si>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สำนักงานพัฒนาชุมชนอำเภอบึงบูรพ์ ตำบลบึงบูรพ์ อำเภอบึงบูรพ์ จังหวัดศรีสะเกษ</t>
  </si>
  <si>
    <t>15004360001003110123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</si>
  <si>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สำนักงานพัฒนาชุมชนอำเภอวาริชภูมิ ตำบลวาริชภูมิ อำเภอวาริชภูมิ จังหวัดสกลนคร</t>
  </si>
  <si>
    <t>15004360001003110124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</si>
  <si>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สำนักงานพัฒนาชุมชนอำเภอภูพาน ตำบลโคกภู อำเภอภูพาน จังหวัดสกลนคร</t>
  </si>
  <si>
    <t>15004360001003110125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</si>
  <si>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สำนักงานพัฒนาชุมชนอำเภอสิงหนคร ตำบลสทิงหม้อ อำเภอสิงหนคร จังหวัดสงขลา</t>
  </si>
  <si>
    <t>15004360001003110126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</si>
  <si>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สำนักงานพัฒนาชุมชนอำเภออรัญประเทศ ตำบลบ้านใหม่หนองไทร อำเภออรัญประเทศ จังหวัดสระแก้ว</t>
  </si>
  <si>
    <t>15004360001003110127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</si>
  <si>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สำนักงานพัฒนาชุมชนอำเภอพระพุทธบาท ตำบลขุนโขลน อำเภอพระพุทธบาท จังหวัดสระบุรี</t>
  </si>
  <si>
    <t>15004360001003110128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</si>
  <si>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สำนักงานพัฒนาชุมชนจังหวัดสิงห์บุรี ตำบลบางมัญ อำเภอเมืองสิงห์บุรี จังหวัดสิงห์บุรี</t>
  </si>
  <si>
    <t>15004360001003110129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</si>
  <si>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สำนักงานพัฒนาชุมชนอำเภอกงไกรลาศ ตำบลบ้านกร่าง อำเภอกงไกรลาศ จังหวัดสุโขทัย</t>
  </si>
  <si>
    <t>15004360001003110130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</si>
  <si>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สำนักงานพัฒนาชุมชนอำเภอหนองหญ้าไซ ตำบลหนองหญ้าไซ อำเภอหนองหญ้าไซ จังหวัดสุพรรณบุรี</t>
  </si>
  <si>
    <t>15004360001003110131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</si>
  <si>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สำนักงานพัฒนาชุมชนอำเภอเกาะสมุย ตำบลอ่างทอง อำเภอเกาะสมุย จังหวัดสุราษฎร์ธานี</t>
  </si>
  <si>
    <t>15004360001003110132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</si>
  <si>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สำนักงานพัฒนาชุมชนจังหวัดสุราษฎร์ธานี ตำบลมะขามเตี้ย อำเภอเมืองสุราษฎร์ธานี จังหวัดสุราษฎร์ธานี</t>
  </si>
  <si>
    <t>15004360001003110133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</si>
  <si>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สำนักงานพัฒนาชุมชนอำเภอกาบเชิง ตำบลกาบเชิง อำเภอกาบเชิง จังหวัดสุรินทร์</t>
  </si>
  <si>
    <t>15004360001003110134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</si>
  <si>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สำนักงานพัฒนาชุมชนอำเภอเมืองหนองคาย ตำบลมีชัย อำเภอเมืองหนองคาย จังหวัดหนองคาย</t>
  </si>
  <si>
    <t>15004360001003110135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</si>
  <si>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สำนักงานพัฒนาชุมชนอำเภอศรีเชียงใหม่ ตำบลพานพร้าว อำเภอศรีเชียงใหม่ จังหวัดหนองคาย</t>
  </si>
  <si>
    <t>15004360001003110136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</si>
  <si>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สำนักงานพัฒนาชุมชนอำเภอบ้านผือ ตำบลบ้านผือ อำเภอบ้านผือ จังหวัดอุดรธานี</t>
  </si>
  <si>
    <t>15004360001003110137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</si>
  <si>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สำนักงานพัฒนาชุมชนอำเภอกู่แก้ว ตำบลบ้านจีต อำเภอกู่แก้ว จังหวัดอุดรธานี</t>
  </si>
  <si>
    <t>15004360001003110138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</si>
  <si>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สำนักงานพัฒนาชุมชนอำเภอฟากท่า ตำบลฟากท่า อำเภอฟากท่า จังหวัดอุตรดิตถ์</t>
  </si>
  <si>
    <t>15004360001003110139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</si>
  <si>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สำนักงานพัฒนาชุมชนอำเภอสว่างอารมณ์ ตำบลสว่างอารมณ์ อำเภอสว่างอารมณ์ จังหวัดอุทัยธานี</t>
  </si>
  <si>
    <t>15004360001003110140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</si>
  <si>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สำนักงานพัฒนาชุมชนอำเภอสำโรง ตำบลสำโรง อำเภอสำโรง จังหวัดอุบลราชธานี</t>
  </si>
  <si>
    <t>15004360001003110141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</si>
  <si>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สำนักงานพัฒนาชุมชนอำเภอเขื่องใน ตำบลเขื่องใน อำเภอเขื่องใน จังหวัดอุบลราชธานี</t>
  </si>
  <si>
    <t>15004360001003110142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</si>
  <si>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กรมการพัฒนาชุมชน แขวงทุ่งสองห้อง เขตหลักสี่ กรุงเทพมหานคร</t>
  </si>
  <si>
    <t>15004360001003110143</t>
  </si>
  <si>
    <t>เครื่องพิมพ์ Multifunction แบบฉีดหมึกพร้อมติดตั้งถังหมึกพิมพ์ (Inkjet Tank Printer) กรมการพัฒนาชุมชน แขวงทุ่งสองห้อง เขตหลักสี่ กรุงเทพมหานคร</t>
  </si>
  <si>
    <t>15004360001003110144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</si>
  <si>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ศูนย์เรียนรู้ทุนชุมชนตำบลละงู ตำบลละงู อำเภอละงู จังหวัดสตูล</t>
  </si>
  <si>
    <t>15004360001003110145</t>
  </si>
  <si>
    <t>ครุภัณฑ์สำนักงาน หอพัก 3 ศูนย์ศึกษาและพัฒนาชุมชนนครศรีธรรมราช พัดลมโคจร 16 นิ้ว จำนวน 2 ชุด</t>
  </si>
  <si>
    <t>15004360001003110146</t>
  </si>
  <si>
    <t>ศพช. นครศรีธรรมราช</t>
  </si>
  <si>
    <t>เครื่องถ่ายเอกสาร ระบบดิจิตอล (ขาว-ดำ) ความเร็ว 30 แผ่นต่อนาที กรมการพัฒนาชุมชน แขวงทุ่งสองห้อง เขตหลักสี่ กรุงเทพมหานคร จำนวน 61 เครื่องๆละ 75,147 บาท</t>
  </si>
  <si>
    <t>15004360001003110147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</si>
  <si>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</t>
  </si>
  <si>
    <t>15004360001003110148</t>
  </si>
  <si>
    <t>15004360001003110149</t>
  </si>
  <si>
    <t>15004360001003110150</t>
  </si>
  <si>
    <t>15004360001003110151</t>
  </si>
  <si>
    <t>ถบรรทุก (ดีเซล) ขนาด 1 ตัน ปริมาตรกระบอกสูบไม่ต่ำกว่า 2,400 ซีซี หรือกำลังเครื่องยนต์สูงสุดไม่ต่ำกว่</t>
  </si>
  <si>
    <t>15004360001003110152</t>
  </si>
  <si>
    <t>15004360001003110153</t>
  </si>
  <si>
    <t>15004360001003110154</t>
  </si>
  <si>
    <t>15004360001003110155</t>
  </si>
  <si>
    <t>15004360001003110156</t>
  </si>
  <si>
    <t>15004360001003110157</t>
  </si>
  <si>
    <t>15004360001003110158</t>
  </si>
  <si>
    <t>15004360001003110159</t>
  </si>
  <si>
    <t>15004360001003110160</t>
  </si>
  <si>
    <t>15004360001003110161</t>
  </si>
  <si>
    <t>15004360001003110162</t>
  </si>
  <si>
    <t>15004360001003110163</t>
  </si>
  <si>
    <t>15004360001003110164</t>
  </si>
  <si>
    <t>15004360001003110165</t>
  </si>
  <si>
    <t>ปรับปรุงศูนย์ศึกษาและพัฒนาชุมชนนครนายก ตำบลสาริกา อำเภอเมืองนครนายก จังหวัดนครนายก</t>
  </si>
  <si>
    <t>ปรับปรุงศูนย์ศึกษาและพัฒนาชุมชนชลบุรี ตำบลบ้านสวน อำเภอเมืองชลบุรี จังหวัดชลบุรี</t>
  </si>
  <si>
    <t>ปรับปรุงสำนักงานพัฒนาชุมชนจังหวัดสมุทรสาคร ตำบลมหาชัย อำเภอเมืองสมุทรสาคร จังหวัดสมุทรสาคร</t>
  </si>
  <si>
    <t>สพจ. สมุทรสาคร</t>
  </si>
  <si>
    <t>ปรับปรุงศูนย์สารภี ตำบลขัวมุง อำเภอสารภี จังหวัดเชียงใหม่</t>
  </si>
  <si>
    <t>ปรับปรุงศูนย์ศึกษาและพัฒนาชุมชนอุบลราชชธานี ตำบลแจระแม อำเภอเมืองอุบลราชธานี จังหวัดอุบลราชธานี</t>
  </si>
  <si>
    <t>ปรับปรุงห้องประชุมสำนักงานพัฒนาชุมชนจังหวัดยะลา ตำบลสะเตง อำเภอเมืองยะลา จังหวัดยะลา</t>
  </si>
  <si>
    <t>ปรับปรุงสำนักงานพัฒนาชุมชนจังหวัดสตูล ตำบลพิมาน อำเภอเมืองสตูล จังหวัดสตูล</t>
  </si>
  <si>
    <t>ปรับปรุงสำนักงานพัฒนาชุมชนอำเภอหนองหญ้าไซ ตำบลหนองหญ้าไซ อำเภอหนองหญ้าไซ จังหวัดสุพรรณบุรี</t>
  </si>
  <si>
    <t>สพจ. สุพรรณบุรี</t>
  </si>
  <si>
    <t>ปรับปรุงสำนักงานพัฒนาชุมชนอำเภอเทิง ตำบลเวียง อำเภอเทิง จังหวัดเชียงราย</t>
  </si>
  <si>
    <t>ปรับปรุงห้องประชุม สำนักงานพัฒนาชุมชนอำเภอแม่สะเรียง ตำบลแม่คง อำเภอแม่สะเรียง จังหวัดแม่ฮ่องสอน</t>
  </si>
  <si>
    <t>ปรับปรุงสำนักงานพัฒนาชุมชนอำเภอสามโก้ ตำบลสามโก้ อำเภอสามโก้ จังหวัดอ่างทอง</t>
  </si>
  <si>
    <t>สพจ. อ่างทอง</t>
  </si>
  <si>
    <t>ปรับปรุงสำนักงานพัฒนาชุมชนอำเภอปัว ตำบลวรนคร อำเภอปัว จังหวัดน่าน</t>
  </si>
  <si>
    <t>ปรับปรุงสำนักงานพัฒนาชุมชนจังหวัดชัยนาท ตำบลในเมือง อำเภอเมืองชัยนาท จังหวัดชัยนาท</t>
  </si>
  <si>
    <t>ปรับปรุงสำนักงานพัฒนาชุมชนจังหวัดนครศรีธรรมราช ตำบลในเมือง อำเภอเมืองนครศรีธรรมราช จังหวัดนครศรีธรรมราช</t>
  </si>
  <si>
    <t>ปรับปรุงสำนักงานพัฒนาชุมชนอำเภอกรงปินัง ตำบลสะเอะ อำเภอกรงปินัง จังหวัดยะลา</t>
  </si>
  <si>
    <t>ปรับปรุงสำนักงานพัฒนาชุมชนอำเภอยะหา ตำบลยะหา อำเภอยะหา จังหวัดยะลา</t>
  </si>
  <si>
    <t>ปรับปรุงสำนักงานพัฒนาชุมชนจังหวัดสมุทรปราการ ตำบลปากน้ำ อำเภอเมืองสมุทรปราการ จังหวัดสมุทรปราการ</t>
  </si>
  <si>
    <t>ปรับปรุงบ้านพักพัฒนาการอำเภอน้ำปาด ตำบลแสนตอ อำเภอน้ำปาด จังหวัดอุตรดิตถ์</t>
  </si>
  <si>
    <t>ก่อสร้างโดมอเนกประสงค์ ศูนย์ศึกษาและพัฒนาชุมชนลำปาง ตำบลปงแสนทอง อำเภอเมืองลำปาง จังหวัดลำปาง</t>
  </si>
  <si>
    <t>ก่อสร้างรั้วด้านหน้า ศูนย์ศึกษาและพัฒนาชุมชนลำปาง ตำบลปงแสนทอง อำเภอเมืองลำปาง จังหวัดลำปาง</t>
  </si>
  <si>
    <t>ก่อสร้างลานกิจกรรมกลางแจ้ง ศูนย์ศึกษาและพัฒนาชุมชนพิษณุโลก ตำบลวังทอง อำเภอวังทอง จังหวัดพิษณุโลก</t>
  </si>
  <si>
    <t>ก่อสร้างป้ายและประตูทางเข้า - ออก ศูนย์ศึกษาและพัฒนาชุมชนพิษณุโลก ตำบลวังทอง อำเภอวังทอง จังหวัดพิษณุโลก</t>
  </si>
  <si>
    <t>ก่อสร้างป้อมยาม ศูนย์ศึกษาและพัฒนาชุมชนพิษณุโลก ตำบลวังทอง อำเภอวังทอง จังหวัดพิษณุโลก</t>
  </si>
  <si>
    <t>ก่อสร้างป้อมยาม ศูนย์ศึกษาและพัฒนาชุมชนนครศรีธรรมราช ตำบลหนองหงส์ อำเภอทุ่งสง จังหวัดนครศรีธรรมราช</t>
  </si>
  <si>
    <t>ก่อสร้างรั้ว ศูนย์สารภีอุบลราชธานี ตำบลท่าช้าง อำเภอสว่างวีระวงศ์ จังหวัดอุบลราชธานี</t>
  </si>
  <si>
    <t>ก่อสร้างถนนคอนกรีตเสริมเหล็ก ศูนย์สารภีอุบลราชธานี ตำบลท่าช้าง อำเภอสว่างวีระวงศ์ จังหวัดอุบลราชธานี</t>
  </si>
  <si>
    <t>ขยายเขตไฟฟ้าพร้อมปักเสาพาดสาย ศูนย์สารภีอุบลราชธานี ตำบลท่าช้าง อำเภอสว่างวีระวงศ์ จังหวัดอุบลราชธานี</t>
  </si>
  <si>
    <t>ก่อสร้างอาคารโรงอาหาร ขนาด 120 ที่นั่ง ศูนย์ศึกษาและพัฒนาชุมชนยะลา ตำบลสะเตง อำเภอเมืองยะลา จังหวัดยะลา</t>
  </si>
  <si>
    <t>ก่อสร้างระบบประปา แบบหอถังเหล็กเก็บน้ำ (ถังแชมเปญ) ขนาดความจุ 20 ลบ.ม. ศูนย์ศึกษาและพัฒนาชุมชนยะลา ตำบลสะเตง อำเภอเมืองยะลา จังหวัดยะลา</t>
  </si>
  <si>
    <t>ก่อสร้างป้อมยาม ศูนย์ศึกษาและพัฒนาชุมชนนครราชสีมา ตำบลแหลมทอง อำเภอหนองบุญมาก จังหวัดนครราชสีมา</t>
  </si>
  <si>
    <t>ศพช. นครราชสีมา</t>
  </si>
  <si>
    <t>ต่อเติมโรงจอดรถพร้อมเทพื้นบริเวณบ้านพักข้าราชการ เลขที่ 17/14 สำนักงานพัฒนาชุมชนจังหวัดระนอง ตำบลเขานิเวศน์ อำเภอเมืองระนอง จังหวัดระนอง</t>
  </si>
  <si>
    <t xml:space="preserve">สพจ. ระนอง </t>
  </si>
  <si>
    <t>ปรับปรุงห้องประชุม สำนักงานพัฒนาชุมชนจังหวัดยโสธร ตำบลในเมือง อำเภอเมืองยโสธร จังหวัดยโสธร</t>
  </si>
  <si>
    <t>ปรับปรุงห้องน้ำและระบบน้ำประปา อาคารเหลืองอินเดีย ศูนย์ศึกษาและพัฒนาชุมชนนครนายก ตำบลสาริกา อำเภอเมืองนครนายก จังหวัดนครนายก</t>
  </si>
  <si>
    <t>ปรับปรุงอาคารหอประชุม ขนาด 250 ที่นั่ง ศูนย์ศึกษาและพัฒนาชุมชนพิษณุโลก ตำบลวังทอง อำเภอวังทอง จังหวัดพิษณุโลก</t>
  </si>
  <si>
    <t>ติดตั้งตาข่ายกันนกอาคารอำนวยการ เรือนทับกวาง 1 และเรือนทับกวาง 2 ศูนย์ศึกษาและพัฒนาชุมชนสระบุรี ตำบลทับกวาง อำเภอแก่งคอย จังหวัดสระบุรี</t>
  </si>
  <si>
    <t>ปรับปรุงอาคารกัลปพฤกษ์ ศูนย์ศึกษาและพัฒนาชุมชนอุดรธานี ตำบลบ้านธาตุ อำเภอเพ็ญ จังหวัดอุดรธานี</t>
  </si>
  <si>
    <t>ศพช. อุบลราชธานี</t>
  </si>
  <si>
    <t>ศพช. ยะลา</t>
  </si>
  <si>
    <t>ปรับปรุงห้องประชุมสำนักงานพัฒนาชุมชนจังหวัดอ่างทอง ตำบลบางแก้ว อำเภอเมืองอ่างทอง จังหวัดอ่างทอง</t>
  </si>
  <si>
    <t>ปรับปรุงสำนักงานพัฒนาชุมชนอำเภอมายอ ตำบลมายอ อำเภอมายอ จังหวัดปัตตานี</t>
  </si>
  <si>
    <t>ปรับปรุงสำนักงานพัฒนาชุมชนอำเภอท่าใหม่ ตำบลท่าใหม่ อำเภอท่าใหม่ จังหวัดจันทบุรี</t>
  </si>
  <si>
    <t>ปรับปรุงสำนักงานพัฒนาชุมชนอำเภอเมืองศรีสะเกษ ตำบลเมืองเหนือ อำเภอเมืองศรีสะเกษ จังหวัดศรีสะเกษ</t>
  </si>
  <si>
    <t>สพจ. ศรีสะเกษ</t>
  </si>
  <si>
    <t>ปรับปรุงสำนักงานพัฒนาชุมชนอำเภอจอมทอง ตำบลบ้านหลวง อำเภอจอมทอง จังหวัดเชียงใหม่</t>
  </si>
  <si>
    <t>สพจ. เชียงใหม่</t>
  </si>
  <si>
    <t>ปรับปรุงสำนักงานพัฒนาชุมชนอำเภอสะเมิง ตำบลสะเมิงใต้ อำเภอสะเมิง จังหวัดเชียงใหม่</t>
  </si>
  <si>
    <t>ปรับปรุงสำนักงานพัฒนาชุมชนอำเภอแม่วาง ตำบลบ้านกาด อำเภอแม่วาง จังหวัดเชียงใหม่</t>
  </si>
  <si>
    <t>ปรับปรุงสำนักงานพัฒนาชุมชนอำเภอดอยสะเก็ด ตำบลเชิงดอย อำเภอดอยสะเก็ด จังหวัดเชียงใหม่</t>
  </si>
  <si>
    <t>ปรับปรุงสำนักงานพัฒนาชุมชนจังหวัดกำแพงเพชร ตำบลหนองปลิง อำเภอเมืองกำแพงเพชร จังหวัดกำแพงเพชร</t>
  </si>
  <si>
    <t>ปรับปรุงสำนักงานพัฒนาชุมชนอำเภอไชโย ตำบลจรเข้ร้อง อำเภอไชโย จังหวัดอ่างทอง</t>
  </si>
  <si>
    <t>ปรับปรุงสำนักงานพัฒนาชุมชนอำเภอหันคา ตำบลหันคา อำเภอหันคา จังหวัดชัยนาท</t>
  </si>
  <si>
    <t>ปรับปรุงสำนักงานพัฒนาชุมชนอำเภอเวียงสา ตำบลกลางเวียง อำเภอเวียงสา จังหวัดน่าน</t>
  </si>
  <si>
    <t>ปรับปรุงสำนักงานพัฒนาชุมชนอำเภอบ้านผือ ตำบลบ้านผือ อำเภอบ้านผือ จังหวัดอุดรธานี</t>
  </si>
  <si>
    <t>ปรับปรุงห้องประชุมสำนักงานพัฒนาชุมชนจังหวัดสระบุรี ตำบลตะกุด อำเภอเมืองสระบุรี จังหวัดสระบุรี</t>
  </si>
  <si>
    <t>สพจ. สระบุรี</t>
  </si>
  <si>
    <t>ปรับปรุงสำนักงานพัฒนาชุมชนอำเภอศรีสมเด็จ ตำบลศรีสมเด็จ อำเภอศรีสมเด็จ จังหวัดร้อยเอ็ด</t>
  </si>
  <si>
    <t>15004360001003210057</t>
  </si>
  <si>
    <t>ปรับปรุงบ้านพักพัฒนาการจังหวัดนราธิวาส ตำบลบางนาค อำเภอเมืองนราธิวาส จังหวัดนราธิวาส</t>
  </si>
  <si>
    <t>15004360001003210058</t>
  </si>
  <si>
    <t>ปรับปรุงบ้านพักข้าราชการ ระดับ 1-2 สำนักงานพัฒนาชุมชนจังหวัดเชียงราย ตำบลเวียง อำเภอเมืองเชียงราย จังหวัดเชียงราย</t>
  </si>
  <si>
    <t>15004360001003210059</t>
  </si>
  <si>
    <t>ปรับปรุงบ้านพักข้าราชการ ระดับ 5-6 สำนักงานพัฒนาชุมชนจังหวัดเชียงราย ตำบลเวียง อำเภอเมืองเชียงราย จังหวัดเชียงราย</t>
  </si>
  <si>
    <t>15004360001003210060</t>
  </si>
  <si>
    <t>ปรับปรุงบ้านพักข้าราชการ ระดับ 7-8 สำนักงานพัฒนาชุมชนจังหวัดเชียงราย ตำบลเวียง อำเภอเมืองเชียงราย จังหวัดเชียงราย</t>
  </si>
  <si>
    <t>15004360001003210061</t>
  </si>
  <si>
    <t>ต่อเติมห้องน้ำและงานถมดินปรับระดับ (บ้านพักข้าราชการ ระดับ 5-6) สำนักงานพัฒนาชุมชนจังหวัดเชียงราย ตำบลเวียง อำเภอเมืองเชียงราย จังหวัดเชียงราย</t>
  </si>
  <si>
    <t>15004360001003210062</t>
  </si>
  <si>
    <t>ต่อเติมหลังคาอาคารอเนกประสงค์ บ้านพักข้าราชการสำนักงานพัฒนาชุมชนจังหวัดมุกดาหาร ตำบลในเมือง อำเภอเมืองมุกดาหาร จังหวัดมุกดาหาร</t>
  </si>
  <si>
    <t>15004360001003210063</t>
  </si>
  <si>
    <t>ต่อเติมอาคารบ้านพักข้าราชการ ระดับ 5-6 เป็นบ้านพักข้าราชการ ระดับ 7-8 สำนักงานพัฒนาชุมชนจังหวัดระนอง ตำบลเขานิเวศน์ อำเภอเมืองระนอง จังหวัดระนอง</t>
  </si>
  <si>
    <t>15004360001003210064</t>
  </si>
  <si>
    <t>ปรับปรุงบ้านพักข้าราชการ (ระดับ 7-8) สำนักงานพัฒนาชุมชนอำเภอเกาะลันตา ตำบลเกาะลันตาน้อย อำเภอเกาะลันตา จังหวัดกระบี่</t>
  </si>
  <si>
    <t>15004360001003210065</t>
  </si>
  <si>
    <t>ปรับปรุงหอพักชบา ศูนย์ศึกษาและพัฒนาชุมชนอุดรธานี ตำบลบ้านธาตุ อำเภอเพ็ญ จังหวัดอุดรธานี</t>
  </si>
  <si>
    <t>15004360001003210066</t>
  </si>
  <si>
    <t>ศพช. อุดรธานี</t>
  </si>
  <si>
    <t>ปรับปรุงหอพักดอกบัวงาม ศูนย์ศึกษาและพัฒนาชุมชนอุบลราชธานี ตำบลแจระแม อำเภอเมืองอุบลราชธานี จังหวัดอุบลราชธานี</t>
  </si>
  <si>
    <t>15004360001003210067</t>
  </si>
  <si>
    <t>ปรับปรุงหอพักราชพฤกษ์ ศูนย์ศึกษาและพัฒนาชุมชนอุดรธานี ตำบลบ้านธาตุ อำเภอเพ็ญ จังหวัดอุดรธานี</t>
  </si>
  <si>
    <t>15004360001003210068</t>
  </si>
  <si>
    <t>ปรับปรุงบ้านพักข้าราชการ ระดับ 1-2 สำนักงานพัฒนาชุมชนจังหวัดเพชรบูรณ์ ตำบลสะเดียง อำเภอเมืองเพชรบูรณ์ จังหวัดเพชรบูรณ์</t>
  </si>
  <si>
    <t>15004360001003210069</t>
  </si>
  <si>
    <t>ก่อสร้างโรงเก็บพัสดุ สำนักงานพัฒนาชุมชนจังหวัดบึงกาฬ ตำบลบึงกาฬ อำเภอเมืองบึงกาฬ จังหวัดบึงกาฬ</t>
  </si>
  <si>
    <t>15004360001003210070</t>
  </si>
  <si>
    <t>งานหอถังเก็บน้ำ-เดินท่อส่งน้ำพร้อมติดตั้งปั้มน้ำระบบโซล่าเซลล์ ศูนย์ศึกษาและพัฒนาชุมชนอุดรธานี ตำบลบ้านธาตุ อำเภอเพ็ญ จังหวัดอุดรธานี</t>
  </si>
  <si>
    <t>15004360001003210071</t>
  </si>
  <si>
    <t>ก่อสร้างถนนคอนกรีตเสริมเหล็ก ศูนย์ศึกษาและพัฒนาชุมชนนครราชสีมา ตำบลแหลมทอง อำเภอหนองบุญมาก จังหวัดนครราชสีมา</t>
  </si>
  <si>
    <t>15004360001003210072</t>
  </si>
  <si>
    <t>ก่อสร้างถนนลาดยางแอสฟัลท์ติกคอนกรีต ศูนย์ฝึกอาชีพเศรษฐกิจพอเพียงชำผักแพว ตำบลชำผักแพว อำเภอแก่งคอย จังหวัดสระบุรี</t>
  </si>
  <si>
    <t>15004360001003210073</t>
  </si>
  <si>
    <t>ก่อสร้างหลังคาทางเดินอาคารหอประชุมชัยพฤกษ์ ศูนย์ศึกษาและพัฒนาชุมชนสระบุรี ตำบลทับกวาง อำเภอแก่งคอย จังหวัดสระบุรี</t>
  </si>
  <si>
    <t>15004360001003210074</t>
  </si>
  <si>
    <t xml:space="preserve"> ศพช. สระบุรี</t>
  </si>
  <si>
    <t>15004360001003210075</t>
  </si>
  <si>
    <t>โครงการ โคก หนอง นา อารยเกษตรเฉลิมพะรเกียรติพระบาทสมเด็จพระเจ้าอยู่หัว เนื่องในโอกาศพระราชพิธีมหามงคลเฉลิมพระชนม์พรรษา 6 รอบ 28 กรกฎาคม 2567 (ป้ายโครงการ)</t>
  </si>
  <si>
    <t>15004360001003210076</t>
  </si>
  <si>
    <t>สพช+สพจ.</t>
  </si>
  <si>
    <t xml:space="preserve">ปรัยปรุงหอพัก 3 ศูนย์ศึกษาและพัฒนาชุมชนนครศรีธรรมราช </t>
  </si>
  <si>
    <t>15004360001003210077</t>
  </si>
  <si>
    <t>ก่อสร้างบ้านพักพัฒนาการจังหวัดร้อยเอ็ด สำนักงานพัฒนาชุมชนจังหวัดร้อยเอ็ด บ้านพักข้าราชการอำนวยการ ชำนาญการพิเศษ (บ้านพักพัฒนาการจังหวัด)</t>
  </si>
  <si>
    <t>15004360001003210078</t>
  </si>
  <si>
    <t>ก่อสร้างบ้านพักข้าราชการระดับชำนาญการ สำนักงานพัฒนาชุมชนจังหวัดร้อยเอ็ด บ้านพักข้าราชการอาวุโส/ชำนาญการ (บ้านพักระดับชำนาญการ)</t>
  </si>
  <si>
    <t>15004360001003210079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</si>
  <si>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ศูนย์ศึกษาและพัฒนาชุมชนนครราชสีมา ตำบลแหลมทอง อำเภอหนองบุญมาก จังหวัดนครราชสีมา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</si>
  <si>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ศูนย์ศึกษาและพัฒนาชุมชนอุบลราชธานี ตำบลแจระแม อำเภอเมืองอุบลราชธานี จังหวัดอุบลราชธานี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</si>
  <si>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ศูนย์ศึกษาและพัฒนาชุมชนนครนายก ตำบลสาริกา อำเภอเมืองนครนายก จังหวัดนครนายก</t>
  </si>
  <si>
    <t>งานปรับปรุงพื้นที่ ตามแบบมาตรฐาน โคก หนอง นา ขนาด 3 ไร่ สำนักงานพัฒนาชุมชนอำเภอเหนือคลอง ตำบลเหนือคลอง อำเภอเหนือคลอง จังหวัดกระบี่</t>
  </si>
  <si>
    <t>งานปรับปรุงพื้นที่ ตามแบบมาตรฐาน โคก หนอง นา ขนาด 3 ไร่ สำนักงานพัฒนาชุมชนอำเภอบ่อพลอย ตำบลบ่อพลอย อำเภอบ่อพลอย จังหวัดกาญจนบุรี</t>
  </si>
  <si>
    <t>งานปรับปรุงพื้นที่ ตามแบบมาตรฐาน โคก หนอง นา ขนาด 3 ไร่ สำนักงานพัฒนาชุมชนอำเภอสหัสขันธ์ ตำบลโนนบุรี อำเภอสหัสขันธ์ จังหวัดกาฬสินธุ์</t>
  </si>
  <si>
    <t>งานปรับปรุงพื้นที่ ตามแบบมาตรฐาน โคก หนอง นา ขนาด 3 ไร่ สำนักงานพัฒนาชุมชนอำเภอฆ้องชัย ตำบลฆ้องชัยพัฒนา อำเภอฆ้องชัย จังหวัดกาฬสินธุ์</t>
  </si>
  <si>
    <t>งานปรับปรุงพื้นที่ ตามแบบมาตรฐาน โคก หนอง นา ขนาด 3 ไร่ สำนักงานพัฒนาชุมชนอำเภอนามน ตำบลนามน อำเภอนามน จังหวัดกาฬสินธุ์</t>
  </si>
  <si>
    <t>งานปรับปรุงพื้นที่ ตามแบบมาตรฐาน โคก หนอง นา ขนาด 3 ไร่ สำนักงานพัฒนาชุมชนอำเภอมะขาม ตำบลมะขาม อำเภอมะขาม จังหวัดจันทบุรี</t>
  </si>
  <si>
    <t>งานปรับปรุงพื้นที่ ตามแบบมาตรฐาน โคก หนอง นา ขนาด 3 ไร่ สำนักงานพัฒนาชุมชนอำเภอเมืองฉะเชิงเทรา ตำบลท่าไข่ อำเภอเมืองฉะเชิงเทรา จังหวัดฉะเชิงเทรา</t>
  </si>
  <si>
    <t>งานปรับปรุงพื้นที่ ตามแบบมาตรฐาน โคก หนอง นา ขนาด 3 ไร่ สำนักงานพัฒนาชุมชนอำเภอบ่อทอง ตำบลบ่อทอง อำเภอบ่อทอง จังหวัดชลบุรี</t>
  </si>
  <si>
    <t>งานปรับปรุงพื้นที่ ตามแบบมาตรฐาน โคก หนอง นา ขนาด 3 ไร่ สำนักงานพัฒนาชุมชนอำเภอเนินขาม ตำบลเนินขาม อำเภอเนินขาม จังหวัดชัยนาท</t>
  </si>
  <si>
    <t>งานปรับปรุงพื้นที่ ตามแบบมาตรฐาน โคก หนอง นา ขนาด 3 ไร่ สำนักงานพัฒนาชุมชนอำเภอเกษตรสมบูรณ์ ตำบลบ้านยาง อำเภอเกษตรสมบูรณ์ จังหวัดชัยภูมิ</t>
  </si>
  <si>
    <t>งานปรับปรุงพื้นที่ ตามแบบมาตรฐาน โคก หนอง นา ขนาด 3 ไร่ สำนักงานพัฒนาชุมชนอำเภอหนองบัวระเหว ตำบลหนองบัวระเหว อำเภอหนองบัวระเหว จังหวัดชัยภูมิ</t>
  </si>
  <si>
    <t>งานปรับปรุงพื้นที่ ตามแบบมาตรฐาน โคก หนอง นา ขนาด 3 ไร่ สำนักงานพัฒนาชุมชนอำเภอหนองบัวแดง ตำบลหนองบัวแดง อำเภอหนองบัวแดง จังหวัดชัยภูมิ</t>
  </si>
  <si>
    <t>งานปรับปรุงพื้นที่ ตามแบบมาตรฐาน โคก หนอง นา ขนาด 3 ไร่ สำนักงานพัฒนาชุมชนอำเภอท่าแซะ ตำบลท่าแซะ อำเภอท่าแซะ จังหวัดชุมพร</t>
  </si>
  <si>
    <t>งานปรับปรุงพื้นที่ ตามแบบมาตรฐาน โคก หนอง นา ขนาด 3 ไร่ สำนักงานพัฒนาชุมชนอำเภอสันป่าตอง ตำบลยุหว่า อำเภอสันป่าตอง จังหวัดเชียงใหม่</t>
  </si>
  <si>
    <t>งานปรับปรุงพื้นที่ ตามแบบมาตรฐาน โคก หนอง นา ขนาด 3 ไร่ สำนักงานพัฒนาชุมชนอำเภอท่าสองยาง ตำบลแม่ต้าน อำเภอท่าสองยาง จังหวัดตาก</t>
  </si>
  <si>
    <t>งานปรับปรุงพื้นที่ ตามแบบมาตรฐาน โคก หนอง นา ขนาด 3 ไร่ สำนักงานพัฒนาชุมชนอำเภอเมืองตาก ตำบลเชียงเงิน อำเภอเมืองตาก จังหวัดตาก</t>
  </si>
  <si>
    <t>งานปรับปรุงพื้นที่ ตามแบบมาตรฐาน โคก หนอง นา ขนาด 3 ไร่ สำนักงานพัฒนาชุมชนอำเภอแม่สอด ตำบลแม่สอด อำเภอแม่สอด จังหวัดตาก</t>
  </si>
  <si>
    <t>งานปรับปรุงพื้นที่ ตามแบบมาตรฐาน โคก หนอง นา ขนาด 3 ไร่ สำนักงานพัฒนาชุมชนอำเภอแม่ระมาด ตำบลแม่ระมาด อำเภอแม่ระมาด จังหวัดตาก</t>
  </si>
  <si>
    <t>งานปรับปรุงพื้นที่ ตามแบบมาตรฐาน โคก หนอง นา ขนาด 3 ไร่ สำนักงานพัฒนาชุมชนอำเภอวังเจ้า ตำบลเชียงทอง อำเภอวังเจ้า จังหวัดตาก</t>
  </si>
  <si>
    <t>งานปรับปรุงพื้นที่ ตามแบบมาตรฐาน โคก หนอง นา ขนาด 3 ไร่ สำนักงานพัฒนาชุมชนอำเภอโนนแดง ตำบลดอนยาวใหญ่ อำเภอโนนแดง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</si>
  <si>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สำนักงานพัฒนาชุมชนอำเภอบัวลาย ตำบลเมืองพะไล อำเภอบัวลาย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</si>
  <si>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สำนักงานพัฒนาชุมชนอำเภอจักราช ตำบลจักราช อำเภอจักราช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</si>
  <si>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สำนักงานพัฒนาชุมชนอำเภอลำทะเมนชัย ตำบลขุย อำเภอลำทะเมนชัย จังหวัดนครราชสีมา</t>
  </si>
  <si>
    <t>งานปรับปรุงพื้นที่ ตามแบบมาตรฐาน โคก หนอง นา ขนาด 3 ไร่ สำนักงานพัฒนาชุมชนอำเภอตาคลี ตำบลตาคลี อำเภอตาคลี จังหวัดนครสวรรค์</t>
  </si>
  <si>
    <t>งานปรับปรุงพื้นที่ ตามแบบมาตรฐาน โคก หนอง นา ขนาด 3 ไร่ สำนักงานพัฒนาชุมชนอำเภอประโคนชัย ตำบลประโคนชัย อำเภอประโคนชัย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</si>
  <si>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สำนักงานพัฒนาชุมชนอำเภอบ้านด่าน ตำบลบ้านด่าน อำเภอบ้านด่าน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</si>
  <si>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สำนักงานพัฒนาชุมชนอำเภอนางรอง ตำบลนางรอง อำเภอนางรอง จังหวัดบุรีรัมย์</t>
  </si>
  <si>
    <t>งานปรับปรุงพื้นที่ ตามแบบมาตรฐาน โคก หนอง นา ขนาด 3 ไร่ สำนักงานพัฒนาชุมชนอำเภอเมืองปราจีนบุรี ตำบลหน้าเมือง อำเภอเมืองปราจีนบุรี จังหวัดปราจีนบุรี</t>
  </si>
  <si>
    <t>งานปรับปรุงพื้นที่ ตามแบบมาตรฐาน โคก หนอง นา ขนาด 3 ไร่ สำนักงานพัฒนาชุมชนอำเภอทุ่งยางแดง ตำบลน้ำดำ อำเภอทุ่งยางแดง จังหวัดปัตตานี</t>
  </si>
  <si>
    <t>งานปรับปรุงพื้นที่ ตามแบบมาตรฐาน โคก หนอง นา ขนาด 3 ไร่ สำนักงานพัฒนาชุมชนอำเภอพระนครศรีอยุธยา ตำบลหอรัตนไชย อำเภอพระนครศรีอยุธยา จังหวัดพระนครศรีอยุธยา</t>
  </si>
  <si>
    <t>งานปรับปรุงพื้นที่ ตามแบบมาตรฐาน โคก หนอง นา ขนาด 3 ไร่ สำนักงานพัฒนาชุมชนอำเภอวังน้อย ตำบลลำไทร อำเภอวังน้อย จังหวัดพระนครศรีอยุธยา</t>
  </si>
  <si>
    <t>งานปรับปรุงพื้นที่ ตามแบบมาตรฐาน โคก หนอง นา ขนาด 3 ไร่ สำนักงานพัฒนาชุมชนอำเภอป่าบอน ตำบลวังใหม่ อำเภอป่าบอน จังหวัดพัทลุง</t>
  </si>
  <si>
    <t>งานปรับปรุงพื้นที่ ตามแบบมาตรฐาน โคก หนอง นา ขนาด 3 ไร่ สำนักงานพัฒนาชุมชนอำเภอเมืองพัทลุง ตำบลคูหาสวรรค์ อำเภอเมืองพัทลุง จังหวัดพัทลุง</t>
  </si>
  <si>
    <t>งานปรับปรุงพื้นที่ ตามแบบมาตรฐาน โคก หนอง นา ขนาด 3 ไร่ สำนักงานพัฒนาชุมชนอำเภอโพทะเล ตำบลท่าบัว อำเภอโพทะเล จังหวัดพิจิตร</t>
  </si>
  <si>
    <t>งานปรับปรุงพื้นที่ ตามแบบมาตรฐาน โคก หนอง นา ขนาด 3 ไร่ สำนักงานพัฒนาชุมชนอำเภอวัดโบสถ์ ตำบลวัดโบสถ์ อำเภอวัดโบสถ์ จังหวัดพิษณุโลก</t>
  </si>
  <si>
    <t>งานปรับปรุงพื้นที่ ตามแบบมาตรฐาน โคก หนอง นา ขนาด 3 ไร่ สำนักงานพัฒนาชุมชนอำเภอแก่งกระจาน ตำบลแก่งกระจาน อำเภอแก่งกระจาน จังหวัดเพชรบุรี</t>
  </si>
  <si>
    <t>งานปรับปรุงพื้นที่ ตามแบบมาตรฐาน โคก หนอง นา ขนาด 3 ไร่ สำนักงานพัฒนาชุมชนอำเภอเขาย้อย ตำบลเขาย้อย อำเภอเขาย้อย จังหวัดเพชรบุรี</t>
  </si>
  <si>
    <t>งานปรับปรุงพื้นที่ ตามแบบมาตรฐาน โคก หนอง นา ขนาด 3 ไร่ สำนักงานพัฒนาชุมชนอำเภอชนแดน ตำบลชนแดน อำเภอชนแดน จังหวัดเพชรบูรณ์</t>
  </si>
  <si>
    <t>งานปรับปรุงพื้นที่ ตามแบบมาตรฐาน โคก หนอง นา ขนาด 3 ไร่ สำนักงานพัฒนาชุมชนอำเภอหล่มสัก ตำบลตาลเดี่ยว อำเภอหล่มสัก จังหวัดเพชรบูรณ์</t>
  </si>
  <si>
    <t>งานปรับปรุงพื้นที่ ตามแบบมาตรฐาน โคก หนอง นา ขนาด 3 ไร่ สำนักงานพัฒนาชุมชนอำเภอกันทรวิชัย ตำบลโคกพระ อำเภอกันทรวิชัย จังหวัดมหาสารคาม</t>
  </si>
  <si>
    <t>งานปรับปรุงพื้นที่ ตามแบบมาตรฐาน โคก หนอง นา ขนาด 3 ไร่ สำนักงานพัฒนาชุมชนอำเภอคำชะอี ตำบลน้ำเที่ยง อำเภอคำชะอี จังหวัดมุกดาหาร</t>
  </si>
  <si>
    <t>งานปรับปรุงพื้นที่ ตามแบบมาตรฐาน โคก หนอง นา ขนาด 3 ไร่ สำนักงานพัฒนาชุมชนอำเภอเมืองยะลา ตำบลสะเตง อำเภอเมืองยะลา จังหวัดยะลา</t>
  </si>
  <si>
    <t>งานปรับปรุงพื้นที่ ตามแบบมาตรฐาน โคก หนอง นา ขนาด 3 ไร่ สำนักงานพัฒนาชุมชนอำเภอเกษตรวิสัย ตำบลเกษตรวิสัย อำเภอเกษตรวิสัย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</si>
  <si>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สำนักงานพัฒนาชุมชนอำเภอจตุรพักตรพิมาน ตำบลหัวช้าง อำเภอจตุรพักตรพิมาน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</si>
  <si>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สำนักงานพัฒนาชุมชนอำเภอเมืองสรวง ตำบลหนองผือ อำเภอเมืองสรวง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</si>
  <si>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สำนักงานพัฒนาชุมชนอำเภอบ้านโป่ง ตำบลบ้านโป่ง อำเภอบ้านโป่ง จังหวัดราชบุรี</t>
  </si>
  <si>
    <t>งานปรับปรุงพื้นที่ ตามแบบมาตรฐาน โคก หนอง นา ขนาด 3 ไร่ สำนักงานพัฒนาชุมชนอำเภอโคกสำโรง ตำบลโคกสำโรง อำเภอโคกสำโรง จังหวัดลพบุรี</t>
  </si>
  <si>
    <t>งานปรับปรุงพื้นที่ ตามแบบมาตรฐาน โคก หนอง นา ขนาด 3 ไร่ สำนักงานพัฒนาชุมชนอำเภอหนองม่วง ตำบลหนองม่วง อำเภอหนองม่วง จังหวัดลพบุรี</t>
  </si>
  <si>
    <t>งานปรับปรุงพื้นที่ ตามแบบมาตรฐาน โคก หนอง นา ขนาด 3 ไร่ สำนักงานพัฒนาชุมชนอำเภอป่าซาง ตำบลป่าซาง อำเภอป่าซาง จังหวัดลำพูน</t>
  </si>
  <si>
    <t>งานปรับปรุงพื้นที่ ตามแบบมาตรฐาน โคก หนอง นา ขนาด 3 ไร่ สำนักงานพัฒนาชุมชนอำเภอแม่ทา ตำบลทาสบเส้า อำเภอแม่ทา จังหวัดลำพูน</t>
  </si>
  <si>
    <t>15004360005003210174</t>
  </si>
  <si>
    <t>งานปรับปรุงพื้นที่ ตามแบบมาตรฐาน โคก หนอง นา ขนาด 3 ไร่ สำนักงานพัฒนาชุมชนอำเภอขุนหาญ ตำบลสิ อำเภอขุนหาญ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</si>
  <si>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สำนักงานพัฒนาชุมชนอำเภอกันทรลักษณ์ ตำบลน้ำอ้อม อำเภอกันทรลักษ์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</si>
  <si>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สำนักงานพัฒนาชุมชนอำเภอวังหิน ตำบลบุสูง อำเภอวังหิน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</si>
  <si>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สำนักงานพัฒนาชุมชนอำเภอปรางค์กู่ ตำบลพิมาย อำเภอปรางค์กู่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</si>
  <si>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สำนักงานพัฒนาชุมชนอำเภอโนนคูณ ตำบลโนนค้อ อำเภอโนนคูณ จังหวัดศรีสะเกษ</t>
  </si>
  <si>
    <t>งานปรับปรุงพื้นที่ ตามแบบมาตรฐาน โคก หนอง นา ขนาด 3 ไร่ สำนักงานพัฒนาชุมชนอำเภอสทิงพระ ตำบลจะทิ้งพระ อำเภอสทิงพระ จังหวัดสงขลา</t>
  </si>
  <si>
    <t>งานปรับปรุงพื้นที่ ตามแบบมาตรฐาน โคก หนอง นา ขนาด 3 ไร่ สำนักงานพัฒนาชุมชนอำเภอเขาฉกรรจ์ ตำบลเขาฉกรรจ์ อำเภอเขาฉกรรจ์ จังหวัดสระแก้ว</t>
  </si>
  <si>
    <t>งานปรับปรุงพื้นที่ ตามแบบมาตรฐาน โคก หนอง นา ขนาด 3 ไร่ สำนักงานพัฒนาชุมชนอำเภอเมืองสระแก้ว ตำบลสระแก้ว อำเภอเมืองสระแก้ว จังหวัดสระแก้ว</t>
  </si>
  <si>
    <t>งานปรับปรุงพื้นที่ ตามแบบมาตรฐาน โคก หนอง นา ขนาด 3 ไร่ สำนักงานพัฒนาชุมชนอำเภอตาพระยา ตำบลตาพระยา อำเภอตาพระยา จังหวัดสระแก้ว</t>
  </si>
  <si>
    <t>งานปรับปรุงพื้นที่ ตามแบบมาตรฐาน โคก หนอง นา ขนาด 3 ไร่ สำนักงานพัฒนาชุมชนอำเภอดอนพุด ตำบลดอนพุด อำเภอดอนพุด จังหวัดสระบุรี</t>
  </si>
  <si>
    <t>งานปรับปรุงพื้นที่ ตามแบบมาตรฐาน โคก หนอง นา ขนาด 3 ไร่ สำนักงานพัฒนาชุมชนอำเภอค่ายบางระจัน ตำบลบางระจัน อำเภอค่ายบางระจัน จังหวัดสิงห์บุรี</t>
  </si>
  <si>
    <t>งานปรับปรุงพื้นที่ ตามแบบมาตรฐาน โคก หนอง นา ขนาด 3 ไร่ สำนักงานพัฒนาชุมชนอำเภอศรีสัชนาลัย ตำบลหาดเสี้ยว อำเภอศรีสัชนาลัย จังหวัดสุโขทัย</t>
  </si>
  <si>
    <t>งานปรับปรุงพื้นที่ ตามแบบมาตรฐาน โคก หนอง นา ขนาด 3 ไร่ สำนักงานพัฒนาชุมชนอำเภอดอนเจดีย์ ตำบลดอนเจดีย์ อำเภอดอนเจดีย์ จังหวัดสุพรรณบุรี</t>
  </si>
  <si>
    <t>งานปรับปรุงพื้นที่ ตามแบบมาตรฐาน โคก หนอง นา ขนาด 3 ไร่ สำนักงานพัฒนาชุมชนอำเภอเมืองสุราษฎร์ธานี ตำบลตลาด อำเภอเมืองสุราษฎร์ธานี จังหวัดสุราษฎร์ธานี</t>
  </si>
  <si>
    <t>งานปรับปรุงพื้นที่ ตามแบบมาตรฐาน โคก หนอง นา ขนาด 3 ไร่ สำนักงานพัฒนาชุมชนอำเภอพุนพิน ตำบลท่าข้าม อำเภอพุนพิน จังหวัดสุราษฎร์ธานี</t>
  </si>
  <si>
    <t>งานปรับปรุงพื้นที่ ตามแบบมาตรฐาน โคก หนอง นา ขนาด 3 ไร่ สำนักงานพัฒนาชุมชนอำเภอไชโย ตำบลจรเข้ร้อง อำเภอไชโย จังหวัดอ่างทอง</t>
  </si>
  <si>
    <t>งานปรับปรุงพื้นที่ ตามแบบมาตรฐาน โคก หนอง นา ขนาด 3 ไร่ สำนักงานพัฒนาชุมชนอำเภอหัวตะพาน ตำบลรัตนวารี อำเภอหัวตะพาน จังหวัดอำนาจเจริญ</t>
  </si>
  <si>
    <t>งานปรับปรุงพื้นที่ ตามแบบมาตรฐาน โคก หนอง นา ขนาด 3 ไร่ สำนักงานพัฒนาชุมชนอำเภอเมืองอุตรดิตถ์ ตำบลท่าอิฐ อำเภอเมืองอุตรดิตถ์ จังหวัดอุตรดิตถ์</t>
  </si>
  <si>
    <t>งานปรับปรุงพื้นที่ ตามแบบมาตรฐาน โคก หนอง นา ขนาด 3 ไร่ สำนักงานพัฒนาชุมชนอำเภอบ้านไร่ ตำบลบ้านไร่ อำเภอบ้านไร่ จังหวัดอุทัยธานี</t>
  </si>
  <si>
    <t>งานปรับปรุงพื้นที่ ตามแบบมาตรฐาน โคก หนอง นา ขนาด 1 ไร่ สำนักงานพัฒนาชุมชนอำเภอท่ามะกา ตำบลท่ามะกา อำเภอท่ามะกา จังหวัดกาญจนบุรี</t>
  </si>
  <si>
    <t>งานปรับปรุงพื้นที่ ตามแบบมาตรฐาน โคก หนอง นา ขนาด 1 ไร่ สำนักงานพัฒนาชุมชนอำเภอกมลาไสย ตำบลกมลาไสย อำเภอกมลาไสย จังหวัดกาฬสินธุ์</t>
  </si>
  <si>
    <t>งานปรับปรุงพื้นที่ ตามแบบมาตรฐาน โคก หนอง นา ขนาด 1 ไร่ สำนักงานพัฒนาชุมชนอำเภอนามน ตำบลนามน อำเภอนามน จังหวัดกาฬสินธุ์</t>
  </si>
  <si>
    <t>งานปรับปรุงพื้นที่ ตามแบบมาตรฐาน โคก หนอง นา ขนาด 1 ไร่ สำนักงานพัฒนาชุมชนอำเภอบึงสามัคคี ตำบลวังชะโอน อำเภอบึงสามัคคี จังหวัดกำแพงเพชร</t>
  </si>
  <si>
    <t>งานปรับปรุงพื้นที่ ตามแบบมาตรฐาน โคก หนอง นา ขนาด 1 ไร่ สำนักงานพัฒนาชุมชนอำเภอทรายทองวัฒนา ตำบลทุ่งทราย อำเภอทรายทองวัฒนา จังหวัดกำแพงเพชร</t>
  </si>
  <si>
    <t>งานปรับปรุงพื้นที่ ตามแบบมาตรฐาน โคก หนอง นา ขนาด 1 ไร่ สำนักงานพัฒนาชุมชนอำเภอบ่อทอง ตำบลบ่อทอง อำเภอบ่อทอง จังหวัดชลบุรี</t>
  </si>
  <si>
    <t>งานปรับปรุงพื้นที่ ตามแบบมาตรฐาน โคก หนอง นา ขนาด 1 ไร่ สำนักงานพัฒนาชุมชนอำเภอเทิง ตำบลเวียง อำเภอเทิง จังหวัดเชียงราย</t>
  </si>
  <si>
    <t>งานปรับปรุงพื้นที่ ตามแบบมาตรฐาน โคก หนอง นา ขนาด 1 ไร่ สำนักงานพัฒนาชุมชนอำเภอเมืองเชียงราย ตำบลเวียง อำเภอเมืองเชียงราย จังหวัดเชียงราย</t>
  </si>
  <si>
    <t>งานปรับปรุงพื้นที่ ตามแบบมาตรฐาน โคก หนอง นา ขนาด 1 ไร่ สำนักงานพัฒนาชุมชนอำเภอเวียงเชียงรุ้ง ตำบลทุ่งก่อ อำเภอเวียงเชียงรุ้ง จังหวัดเชียงราย</t>
  </si>
  <si>
    <t>งานปรับปรุงพื้นที่ ตามแบบมาตรฐาน โคก หนอง นา ขนาด 1 ไร่ สำนักงานพัฒนาชุมชนอำเภอฮอด ตำบลหางดง อำเภอฮอด จังหวัดเชียงใหม่</t>
  </si>
  <si>
    <t>งานปรับปรุงพื้นที่ ตามแบบมาตรฐาน โคก หนอง นา ขนาด 1 ไร่ สำนักงานพัฒนาชุมชนอำเภอพบพระ ตำบลพบพระ อำเภอพบพระ จังหวัดตาก</t>
  </si>
  <si>
    <t>งานปรับปรุงพื้นที่ ตามแบบมาตรฐาน โคก หนอง นา ขนาด 1 ไร่ สำนักงานพัฒนาชุมชนอำเภอแม่ระมาด ตำบลแม่ระมาด อำเภอแม่ระมาด จังหวัดตาก</t>
  </si>
  <si>
    <t>งานปรับปรุงพื้นที่ ตามแบบมาตรฐาน โคก หนอง นา ขนาด 1 ไร่ สำนักงานพัฒนาชุมชนอำเภอประทาย ตำบลประทาย อำเภอประทาย จังหวัดนครราชสีมา</t>
  </si>
  <si>
    <t>งานปรับปรุงพื้นที่ ตามแบบมาตรฐาน โคก หนอง นา ขนาด 1 ไร่ สำนักงานพัฒนาชุมชนอำเภอโนนแดง ตำบลดอนยาวใหญ่ อำเภอโนนแดง จังหวัดนครราชสีมา</t>
  </si>
  <si>
    <t>งานปรับปรุงพื้นที่ ตามแบบมาตรฐาน โคก หนอง นา ขนาด 1 ไร่ สำนักงานพัฒนาชุมชนอำเภอเก้าเลี้ยว ตำบลเก้าเลี้ยว อำเภอเก้าเลี้ยว จังหวัดนครสวรรค์</t>
  </si>
  <si>
    <t>งานปรับปรุงพื้นที่ ตามแบบมาตรฐาน โคก หนอง นา ขนาด 1 ไร่ สำนักงานพัฒนาชุมชนอำเภอเวียงสา ตำบลกลางเวียง อำเภอเวียงสา จังหวัดน่าน</t>
  </si>
  <si>
    <t>งานปรับปรุงพื้นที่ ตามแบบมาตรฐาน โคก หนอง นา ขนาด 1 ไร่ สำนักงานพัฒนาชุมชนอำเภอบ้านกรวด ตำบลปราสาท อำเภอบ้านกรวด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</si>
  <si>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สำนักงานพัฒนาชุมชนอำเภอประโคนชัย ตำบลประโคนชัย อำเภอประโคนชัย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</si>
  <si>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สำนักงานพัฒนาชุมชนอำเภอบ้านด่าน ตำบลบ้านด่าน อำเภอบ้านด่าน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</si>
  <si>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สำนักงานพัฒนาชุมชนอำเภอลำปลายมาศ ตำบลลำปลายมาศ อำเภอลำปลายมาศ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</si>
  <si>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สำนักงานพัฒนาชุมชนอำเภอท่าเรือ ตำบลท่าเจ้าสนุก อำเภอท่าเรือ จังหวัดพระนครศรีอยุธยา</t>
  </si>
  <si>
    <t>งานปรับปรุงพื้นที่ ตามแบบมาตรฐาน โคก หนอง นา ขนาด 1 ไร่ สำนักงานพัฒนาชุมชนอำเภอบางแก้ว ตำบลนาปะขอ อำเภอบางแก้ว จังหวัดพัทลุง</t>
  </si>
  <si>
    <t>งานปรับปรุงพื้นที่ ตามแบบมาตรฐาน โคก หนอง นา ขนาด 1 ไร่ สำนักงานพัฒนาชุมชนอำเภอกงหรา ตำบลคลองทรายขาว อำเภอกงหรา จังหวัดพัทลุง</t>
  </si>
  <si>
    <t>งานปรับปรุงพื้นที่ ตามแบบมาตรฐาน โคก หนอง นา ขนาด 1 ไร่ สำนักงานพัฒนาชุมชนอำเภอวังทรายพูน ตำบลหนองพระ อำเภอวังทรายพูน จังหวัดพิจิตร</t>
  </si>
  <si>
    <t>งานปรับปรุงพื้นที่ ตามแบบมาตรฐาน โคก หนอง นา ขนาด 1 ไร่ สำนักงานพัฒนาชุมชนอำเภอเด่นชัย ตำบลเด่นชัย อำเภอเด่นชัย จังหวัดแพร่</t>
  </si>
  <si>
    <t>งานปรับปรุงพื้นที่ ตามแบบมาตรฐาน โคก หนอง นา ขนาด 1 ไร่ สำนักงานพัฒนาชุมชนอำเภอถลาง ตำบลเทพกระษัตรี อำเภอถลาง จังหวัดภูเก็ต</t>
  </si>
  <si>
    <t>งานปรับปรุงพื้นที่ ตามแบบมาตรฐาน โคก หนอง นา ขนาด 1 ไร่ สำนักงานพัฒนาชุมชนอำเภอนิคมคำสร้อย ตำบลนิคมคำสร้อย อำเภอนิคมคำสร้อย จังหวัดมุกดาหาร</t>
  </si>
  <si>
    <t>งานปรับปรุงพื้นที่ ตามแบบมาตรฐาน โคก หนอง นา ขนาด 1 ไร่ สำนักงานพัฒนาชุมชนอำเภอดอนตาล ตำบลดอนตาล อำเภอดอนตาล จังหวัดมุกดาหาร</t>
  </si>
  <si>
    <t>งานปรับปรุงพื้นที่ ตามแบบมาตรฐาน โคก หนอง นา ขนาด 1 ไร่ สำนักงานพัฒนาชุมชนอำเภอหนองสูง ตำบลหนองสูงเหนือ อำเภอหนองสูง จังหวัดมุกดาหาร</t>
  </si>
  <si>
    <t>งานปรับปรุงพื้นที่ ตามแบบมาตรฐาน โคก หนอง นา ขนาด 1 ไร่ สำนักงานพัฒนาชุมชนอำเภอธวัชบุรี ตำบลนิเวศน์ อำเภอธวัชบุรี จังหวัดร้อยเอ็ด</t>
  </si>
  <si>
    <t>งานปรับปรุงพื้นที่ ตามแบบมาตรฐาน โคก หนอง นา ขนาด 1 ไร่ สำนักงานพัฒนาชุมชนอำเภอพนมไพร ตำบลพนมไพร อำเภอพนมไพร จังหวัดร้อยเอ็ด</t>
  </si>
  <si>
    <t>งานปรับปรุงพื้นที่ ตามแบบมาตรฐาน โคก หนอง นา ขนาด 1 ไร่ สำนักงานพัฒนาชุมชนอำเภอเมืองระยอง ตำบลท่าประดู่ อำเภอเมืองระยอง จังหวัดระยอง</t>
  </si>
  <si>
    <t>งานปรับปรุงพื้นที่ ตามแบบมาตรฐาน โคก หนอง นา ขนาด 1 ไร่ สำนักงานพัฒนาชุมชนอำเภอบ้านฉาง ตำบลพลา อำเภอบ้านฉาง จังหวัดระยอง</t>
  </si>
  <si>
    <t>งานปรับปรุงพื้นที่ ตามแบบมาตรฐาน โคก หนอง นา ขนาด 1 ไร่ สำนักงานพัฒนาชุมชนอำเภอแกลง ตำบลทางเกวียน อำเภอแกลง จังหวัดระยอง</t>
  </si>
  <si>
    <t>งานปรับปรุงพื้นที่ ตามแบบมาตรฐาน โคก หนอง นา ขนาด 1 ไร่ สำนักงานพัฒนาชุมชนอำเภอโคกสำโรง ตำบลโคกสำโรง อำเภอโคกสำโรง จังหวัดลพบุรี</t>
  </si>
  <si>
    <t>งานปรับปรุงพื้นที่ ตามแบบมาตรฐาน โคก หนอง นา ขนาด 1 ไร่ สำนักงานพัฒนาชุมชนอำเภอกันทรลักษณ์ ตำบลน้ำอ้อม อำเภอกันทรลักษ์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</si>
  <si>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สำนักงานพัฒนาชุมชนอำเภอศิลาลาด ตำบลกุง อำเภอศิลาลาด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</si>
  <si>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สำนักงานพัฒนาชุมชนอำเภอวังหิน ตำบลบุสูง อำเภอวังหิน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</si>
  <si>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สำนักงานพัฒนาชุมชนอำเภอปรางค์กู่ ตำบลพิมาย อำเภอปรางค์กู่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</si>
  <si>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สำนักงานพัฒนาชุมชนอำเภอโนนคูณ ตำบลโนนค้อ อำเภอโนนคูณ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</si>
  <si>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สำนักงานพัฒนาชุมชนอำเภอพยุห์ ตำบลพยุห์ อำเภอพยุห์ จังหวัดศรีสะเกษ</t>
  </si>
  <si>
    <t>งานปรับปรุงพื้นที่ ตามแบบมาตรฐาน โคก หนอง นา ขนาด 1 ไร่ สำนักงานพัฒนาชุมชนอำเภออากาศอำนวย ตำบลอากาศ อำเภออากาศอำนวย จังหวัดสกลนคร</t>
  </si>
  <si>
    <t>งานปรับปรุงพื้นที่ ตามแบบมาตรฐาน โคก หนอง นา ขนาด 1 ไร่ สำนักงานพัฒนาชุมชนอำเภอเมืองสตูล ตำบลคลองขุด อำเภอเมืองสตูล จังหวัดสตูล</t>
  </si>
  <si>
    <t>งานปรับปรุงพื้นที่ ตามแบบมาตรฐาน โคก หนอง นา ขนาด 1 ไร่ สำนักงานพัฒนาชุมชนอำเภอบางระจัน ตำบลสิงห์ อำเภอบางระจัน จังหวัดสิงห์บุรี</t>
  </si>
  <si>
    <t>งานปรับปรุงพื้นที่ ตามแบบมาตรฐาน โคก หนอง นา ขนาด 1 ไร่ สำนักงานพัฒนาชุมชนอำเภอเมืองสิงห์บุรี ตำบลบางพุทรา อำเภอเมืองสิงห์บุรี จังหวัดสิงห์บุรี</t>
  </si>
  <si>
    <t>งานปรับปรุงพื้นที่ ตามแบบมาตรฐาน โคก หนอง นา ขนาด 1 ไร่ สำนักงานพัฒนาชุมชนอำเภอโพนพิสัย ตำบลจุมพล อำเภอโพนพิสัย จังหวัดหนองคาย</t>
  </si>
  <si>
    <t>งานปรับปรุงพื้นที่ ตามแบบมาตรฐาน โคก หนอง นา ขนาด 1 ไร่ สำนักงานพัฒนาชุมชนอำเภอเมืองหนองคาย ตำบลมีชัย อำเภอเมืองหนองคาย จังหวัดหนองคาย</t>
  </si>
  <si>
    <t>งานปรับปรุงพื้นที่ ตามแบบมาตรฐาน โคก หนอง นา ขนาด 1 ไร่ สำนักงานพัฒนาชุมชนอำเภอไชโย ตำบลจรเข้ร้อง อำเภอไชโย จังหวัดอ่างทอง</t>
  </si>
  <si>
    <t>งานปรับปรุงพื้นที่ ตามแบบมาตรฐาน โคก หนอง นา ขนาด 1 ไร่ สำนักงานพัฒนาชุมชนอำเภอเสนา  จังหวัดพระนครศรีอยุธยา</t>
  </si>
  <si>
    <t>งานปรับปรุงพื้นที่ ตามแบบมาตรฐาน โคก หนอง นา ขนาด 3 ไร่ สำนักงานพัฒนาชุมชนอำเภอท่าเรือ จังหวัดพระนครศรีอยุธยา</t>
  </si>
  <si>
    <t>งานปรับปรุงพื้นที่ ตามแบบมาตรฐาน โคก หนอง นา ขนาด 1 ไร่ สำนักงานพัฒนาชุมชนอำเภอกบินทร์บุรี  จังหวัดปราจีนบุรี</t>
  </si>
  <si>
    <t>งานปรับปรุงพื้นที่ ตามแบบมาตรฐาน โคก หนอง นา ขนาด 1 ไร่ สำนักงานพัฒนาชุมชนอำเภอแคนดง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</si>
  <si>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สำนักงานพัฒนาชุมชนอำเภอพลับพลาชัย จังหวัดบุรีรัมย์</t>
  </si>
  <si>
    <t>งานปรับปรุงพื้นที่ ตามแบบมาตรฐาน โคก หนอง นา ขนาด 1 ไร่ สำนักงานพัฒนาชุมชนอำเภอศรีขรภูมิ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</si>
  <si>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สำนักงานพัฒนาชุมชนอำเภอลำดวน จังหวัดสุรินทร์</t>
  </si>
  <si>
    <t>150043600050032100425</t>
  </si>
  <si>
    <t>งานปรับปรุงพื้นที่ ตามแบบมาตรฐาน โคก หนอง นา ขนาด 3 ไร่ สำนักงานพัฒนาชุมชนอำเภอท่าตูม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</si>
  <si>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สำนักงานพัฒนาชุมชนอำเภอรัตนบุรี จังหวัดสุรินทร์</t>
  </si>
  <si>
    <t>งานปรับปรุงพื้นที่ ตามแบบมาตรฐาน โคก หนอง นา ขนาด 3 ไร่ สำนักงานพัฒนาชุมชนอำเภอศรีเมืองใหม่  จังหวัดอุบลราชธานี</t>
  </si>
  <si>
    <t>งานปรับปรุงพื้นที่ ตามแบบมาตรฐาน โคก หนอง นา ขนาด 3 ไร่ สำนักงานพัฒนาชุมชนอำเภอไทยเจริญ  จังหวัดยโสธร</t>
  </si>
  <si>
    <t>งานปรับปรุงพื้นที่ ตามแบบมาตรฐาน โคก หนอง นา ขนาด 3 ไร่ สำนักงานพัฒนาชุมชนอำเภอบ้านแท่น จังหวัดชัยภูมิ</t>
  </si>
  <si>
    <t>งานปรับปรุงพื้นที่ ตามแบบมาตรฐาน โคก หนอง นา ขนาด 3 ไร่ สำนักงานพัฒนาชุมชนอำเภอโนนสัง  จังหวัดหนองบัวลำภู</t>
  </si>
  <si>
    <t>งานปรับปรุงพื้นที่ ตามแบบมาตรฐาน โคก หนอง นา ขนาด 1 ไร่ สำนักงานพัฒนาชุมชนอำเภอพล จังหวัดขอนแก่น</t>
  </si>
  <si>
    <t>งานปรับปรุงพื้นที่ ตามแบบมาตรฐาน โคก หนอง นา ขนาด 1 ไร่ สำนักงานพัฒนาชุมชนอำเภอเปือยน้อย จังหวัดขอนแก่น</t>
  </si>
  <si>
    <t>งานปรับปรุงพื้นที่ ตามแบบมาตรฐาน โคก หนอง นา ขนาด 1 ไร่ สำนักงานพัฒนาชุมชนอำเภอมัญจาคีรี จังหวัดขอนแก่น</t>
  </si>
  <si>
    <t>งานปรับปรุงพื้นที่ ตามแบบมาตรฐาน โคก หนอง นา ขนาด 1 ไร่ สำนักงานพัฒนาชุมชนอำเภอชุมแพ  จังหวัดขอนแก่น</t>
  </si>
  <si>
    <t>งานปรับปรุงพื้นที่ ตามแบบมาตรฐาน โคก หนอง นา ขนาด 3 ไร่ สำนักงานพัฒนาชุมชนอำเภอเมืองขอนแก่น จังหวัดขอนแก่น</t>
  </si>
  <si>
    <t>งานปรับปรุงพื้นที่ ตามแบบมาตรฐาน โคก หนอง นา ขนาด 3 ไร่ สำนักงานพัฒนาชุมชนอำเภอเปือยน้อย  จังหวัดขอนแก่น</t>
  </si>
  <si>
    <t>งานปรับปรุงพื้นที่ ตามแบบมาตรฐาน โคก หนอง นา ขนาด 3 ไร่ สำนักงานพัฒนาชุมชนอำเภอพล  จังหวัดขอนแก่น</t>
  </si>
  <si>
    <t>งานปรับปรุงพื้นที่ ตามแบบมาตรฐาน โคก หนอง นา ขนาด 3 ไร่ สำนักงานพัฒนาชุมชนอำเภอชุมแพ  จังหวัดขอนแก่น</t>
  </si>
  <si>
    <t>งานปรับปรุงพื้นที่ ตามแบบมาตรฐาน โคก หนอง นา ขนาด 1 ไร่ สำนักงานพัฒนาชุมชนอำเภอกุดจับ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</si>
  <si>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สำนักงานพัฒนาชุมชนอำเภอหนองแสง 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</si>
  <si>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สำนักงานพัฒนาชุมชนอำเภอประจักษ์ศิลปาคม จังหวัดอุดรธานี</t>
  </si>
  <si>
    <t>งานปรับปรุงพื้นที่ ตามแบบมาตรฐาน โคก หนอง นา ขนาด 3 ไร่ สำนักงานพัฒนาชุมชนอำเภอท่าบ่อ  จังหวัดหนองคาย</t>
  </si>
  <si>
    <t>งานปรับปรุงพื้นที่ ตามแบบมาตรฐาน โคก หนอง นา ขนาด 1 ไร่ สำนักงานพัฒนาชุมชนอำเภอจตุรพักตรพิมาน จังหวัดร้อยเอ็ด</t>
  </si>
  <si>
    <t>งานปรับปรุงพื้นที่ ตามแบบมาตรฐาน โคก หนอง นา ขนาด 1 ไร่ สำนักงานพัฒนาชุมชนอำเภอเสลภูมิ จังหวัดร้อยเอ็ด</t>
  </si>
  <si>
    <t>งานปรับปรุงพื้นที่ ตามแบบมาตรฐาน โคก หนอง นา ขนาด 3 ไร่ สำนักงานพัฒนาชุมชนอำเภอกุฉินารายณ์ จังหวัดกาฬสินธุ์</t>
  </si>
  <si>
    <t>งานปรับปรุงพื้นที่ ตามแบบมาตรฐาน โคก หนอง นา ขนาด 1 ไร่ สำนักงานพัฒนาชุมชนอำเภอเมืองสกลนคร จังหวัดสกลนคร</t>
  </si>
  <si>
    <t>งานปรับปรุงพื้นที่ ตามแบบมาตรฐาน โคก หนอง นา ขนาด 1 ไร่ สำนักงานพัฒนาชุมชนอำเภอภูพาน  จังหวัดสกลนคร</t>
  </si>
  <si>
    <t>งานปรับปรุงพื้นที่ ตามแบบมาตรฐาน โคก หนอง นา ขนาด 1 ไร่ สำนักงานพัฒนาชุมชนอำเภอพรรณานิคม  จังหวัดสกลนคร</t>
  </si>
  <si>
    <t>งานปรับปรุงพื้นที่ ตามแบบมาตรฐาน โคก หนอง นา ขนาด 1 ไร่ สำนักงานพัฒนาชุมชนอำเภอบ้านแพง  จังหวัดนครพนม</t>
  </si>
  <si>
    <t>งานปรับปรุงพื้นที่ ตามแบบมาตรฐาน โคก หนอง นา ขนาด 3 ไร่ สำนักงานพัฒนาชุมชนอำเภอท่าอุเทา  จังหวัดนครพนม</t>
  </si>
  <si>
    <t>งานปรับปรุงพื้นที่ ตามแบบมาตรฐาน โคก หนอง นา ขนาด 3 ไร่ สำนักงานพัฒนาชุมชนอำเภอวังยาง จังหวัดนครพนม</t>
  </si>
  <si>
    <t>งานปรับปรุงพื้นที่ ตามแบบมาตรฐาน โคก หนอง นา ขนาด 1 ไร่ สำนักงานพัฒนาชุมชนอำเภอสันป่าตอง  จังหวัดเชียงใหม่</t>
  </si>
  <si>
    <t>งานปรับปรุงพื้นที่ ตามแบบมาตรฐาน โคก หนอง นา ขนาด 1 ไร่ สำนักงานพัฒนาชุมชนอำเภอจุน จังหวัดพะเยา</t>
  </si>
  <si>
    <t>งานปรับปรุงพื้นที่ ตามแบบมาตรฐาน โคก หนอง นา ขนาด 1 ไร่ สำนักงานพัฒนาชุมชนอำเภอดอกคำใต้ จังหวัดพะเยา</t>
  </si>
  <si>
    <t>งานปรับปรุงพื้นที่ ตามแบบมาตรฐาน โคก หนอง นา ขนาด 1 ไร่ สำนักงานพัฒนาชุมชนอำเภอเวียงแก่น จังหวัดเชียงราย</t>
  </si>
  <si>
    <t>งานปรับปรุงพื้นที่ ตามแบบมาตรฐาน โคก หนอง นา ขนาด 1 ไร่ สำนักงานพัฒนาชุมชนอำเภอสบเมย จังหวัดแม่ฮ่องสอน</t>
  </si>
  <si>
    <t>งานปรับปรุงพื้นที่ ตามแบบมาตรฐาน โคก หนอง นา ขนาด 3 ไร่ สำนักงานพัฒนาชุมชนอำเภอวิเชียรบุรี จังหวัดเพชรบูรณ์</t>
  </si>
  <si>
    <t>งานปรับปรุงพื้นที่ ตามแบบมาตรฐาน โคก หนอง นา ขนาด 3 ไร่ สำนักงานพัฒนาชุมชนอำเภอหนองปรือ จังหวัดกาญจนบุรี</t>
  </si>
  <si>
    <t>งานปรับปรุงพื้นที่ ตามแบบมาตรฐาน โคก หนอง นา ขนาด 3 ไร่ สำนักงานพัฒนาชุมชนอำเภอเดิมบางนางบวช จังหวัดสุพรรณบุรี</t>
  </si>
  <si>
    <t>งานปรับปรุงพื้นที่ ตามแบบมาตรฐาน โคก หนอง นา ขนาด 3 ไร่ สำนักงานพัฒนาชุมชนอำเภอทับสะแก จังหวัดประจวบคีรีขันธ์</t>
  </si>
  <si>
    <t>งานปรับปรุงพื้นที่ ตามแบบมาตรฐาน โคก หนอง นา ขนาด 1 ไร่ สำนักงานพัฒนาชุมชนอำเภอหัวไทร จังหวัดนครศรีธรรมราช</t>
  </si>
  <si>
    <t>งานปรับปรุงพื้นที่ ตามแบบมาตรฐาน โคก หนอง นา ขนาด 3 ไร่ สำนักงานพัฒนาชุมชนอำเภอชะอวด จังหวัดนครศรีธรรมราช</t>
  </si>
  <si>
    <t>งานปรับปรุงพื้นที่ ตามแบบมาตรฐาน โคก หนอง นา ขนาด 3 ไร่ สำนักงานพัฒนาชุมชนอำเภอเชียรใหญ่ จังหวัดนครศรีธรรมราช</t>
  </si>
  <si>
    <t>งานปรับปรุงพื้นที่ ตามแบบมาตรฐาน โคก หนอง นา ขนาด 3 ไร่ สำนักงานพัฒนาชุมชนอำเภอนาบอน จังหวัดนครศรีธรรมราช</t>
  </si>
  <si>
    <t>งานปรับปรุงพื้นที่ ตามแบบมาตรฐาน โคก หนอง นา ขนาด 3 ไร่ สำนักงานพัฒนาชุมชนอำเภอท่าฉาง จังหวัดสุราษฎร์ธานี</t>
  </si>
  <si>
    <t>งานปรับปรุงพื้นที่ ตามแบบมาตรฐาน โคก หนอง นา ขนาด 1 ไร่ สำนักงานพัฒนาชุมชนอำเภอละงู จังหวัดสตูล</t>
  </si>
  <si>
    <t>งานปรับปรุงพื้นที่ ตามแบบมาตรฐาน โคก หนอง นา ขนาด 1 ไร่ สำนักงานพัฒนาชุมชนอำเภอศรีนครินทร์ จังหวัดพัทลุง</t>
  </si>
  <si>
    <t>งานปรับปรุงพื้นที่ ตามแบบมาตรฐาน โคก หนอง นา ขนาด 3 ไร่ สำนักงานพัฒนาชุมชนอำเภอตะโหมด จังหวัดพัทลุง</t>
  </si>
  <si>
    <t>งานปรับปรุงพื้นที่ ตามแบบมาตรฐาน โคก หนอง นา ขนาด 1 ไร่ สำนักงานพัฒนาชุมชนอำเภอระแงะ จังหวัดนราธิวาส</t>
  </si>
  <si>
    <t>นราธืวาส</t>
  </si>
  <si>
    <t>งานปรับปรุงพื้นที่ ตามแบบมาตรฐาน โคก หนอง นา ขนาด 3 ไร่ สำนักงานพัฒนาชุมชนอำเภอระแงะ จังหวัดนราธิวาส</t>
  </si>
  <si>
    <t>งานปรับปรุงพื้นที่ ตามแบบมาตรฐาน โคก หนอง นา ขนาด 1 ไร่ สำนักงานพัฒนาชุมชนอำเภอเกษตรสมบูรณ์ จังหวัดชัยภูมิ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</si>
  <si>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ศูนย์ศึกษาและพัฒนาชุมชนนครราชสีมา ตำบลแหลมทอง อำเภอหนองบุญมาก จังหวัดนครราชสีมา</t>
  </si>
  <si>
    <t>15004360005003220001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</si>
  <si>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ศูนย์ศึกษาและพัฒนาชุมชนอุบลราชธานี ตำบลแจระแม อำเภอเมืองอุบลราชธานี จังหวัดอุบลราชธานี</t>
  </si>
  <si>
    <t>15004360005003220002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</si>
  <si>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ศูนย์ศึกษาและพัฒนาชุมชนนครนายก ตำบลสาริกา อำเภอเมืองนครนายก จังหวัดนครนายก</t>
  </si>
  <si>
    <t>15004360005003220003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</si>
  <si>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</si>
  <si>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>15004360005003220004</t>
  </si>
  <si>
    <t>งานระบบไฟฟ้า ศูนย์ส่งเสริม พัฒนา และยกระดับเศรษฐกิจฐานรากด้วยโมเดลเศรษฐกิจใหม่ ตำบลบางลูกเสือ อำเภออ</t>
  </si>
  <si>
    <t>15004360005003220005</t>
  </si>
  <si>
    <t>งานระบบประปา ศูนย์ส่งเสริม พัฒนา และยกระดับเศรษฐกิจฐานรากด้วยโมเดลเศรษฐกิจใหม่ ตำบลบางลูกเสือ อำเภออ</t>
  </si>
  <si>
    <t>15004360005003220006</t>
  </si>
  <si>
    <t>อาคารศูนย์เรียนรู้อเนกประสงค์ศูนย์ส่งเสริม พัฒนา และยกระดับเศรษฐกิจฐานรากด้วยโมเดลเศรษฐกิจใหม่</t>
  </si>
  <si>
    <t>15004360005003220007</t>
  </si>
  <si>
    <t>ผลการใช้จ่ายงบลงทุน ประจำปีงบประมาณ พ.ศ.2567</t>
  </si>
  <si>
    <t>รายละเอียดการใช้จ่ายงบลงทุน ประจำปีงบประมาณ พ.ศ. 2567</t>
  </si>
  <si>
    <t>ศพช. เพชรบุรี</t>
  </si>
  <si>
    <t>สำนักงานพัฒนาชุมชนจังหวัด</t>
  </si>
  <si>
    <t>ประจำปีงบประมาณ พ.ศ. 2567</t>
  </si>
  <si>
    <t>ข้อมูลสะสมตั้งแต่วันที่ 22 ธันวาคม 2566 ถึงวันที่ 15 กันยายน 2567</t>
  </si>
  <si>
    <t xml:space="preserve"> 22 ธ.ค.66</t>
  </si>
  <si>
    <t>15004510042093210006</t>
  </si>
  <si>
    <t>โครงการสนับสนุนการบริหารจัดการน้ำและงานชลประทาน</t>
  </si>
  <si>
    <t>15004660088093220051</t>
  </si>
  <si>
    <t xml:space="preserve"> 8 ม.ค.67</t>
  </si>
  <si>
    <t>15004510083093210001</t>
  </si>
  <si>
    <t>โครงการอ่างเก็บน้ำลำสะพุง อันเนื่องมาจากพระราชดำริ จังหวัดชัยภูมิ</t>
  </si>
  <si>
    <t>15004510082793210004</t>
  </si>
  <si>
    <t>โครงการประตูระบายน้ำศรีสองรัก อันเนื่องมาจากพระราชดำริ อำเภอเชียงคาน จังหวัดเลย</t>
  </si>
  <si>
    <t>15004510041093220004</t>
  </si>
  <si>
    <t>โครงการอ่างเก็บน้ำลำน้ำชี อันเนื่องมาจากพระราชดำริ จังหวัดชัยภูมิ</t>
  </si>
  <si>
    <t xml:space="preserve"> 16 ม.ค.67</t>
  </si>
  <si>
    <t>โครงการสนับสนุนอาชีพครัวเรือนในพื้นที่ลุ่มน้ำปากพนัง 
อันเนื่องมาจากพระราชดำริ อำเภอหัวไทร จังหวัดนครศรีธรรมราช</t>
  </si>
  <si>
    <t xml:space="preserve"> 7 มี.ค.67</t>
  </si>
  <si>
    <t xml:space="preserve"> 28 มิ.ย.67</t>
  </si>
  <si>
    <t>15004510035093210004</t>
  </si>
  <si>
    <t>15004510087093210005</t>
  </si>
  <si>
    <t>โครงการอ่างเก็บน้ำแม่ตาช้าง ตำบลป่าแดด 
อำเภอแม่สรวย จังหวัดเชียงราย</t>
  </si>
  <si>
    <t>รายงานผลการใช้จ่ายงบกลาง ประจำปีงบประมาณ พ.ศ. 2567</t>
  </si>
  <si>
    <t xml:space="preserve">ข้อมูลสะสมตั้งแต่วันที่ 7 พฤศจิกายน 2566 ถึงวันที่ 15 กันยายน 67 </t>
  </si>
  <si>
    <t>รายการเงินสำรองจ่ายเพื่อกรณีฉุกเฉินหรือจำเป็น 
เพื่อเป็นค่าใช้จ่ายในการดำเนินโครงการ Silk Festival 2023 สู่การพัฒนาที่ยั่งยืน</t>
  </si>
  <si>
    <t xml:space="preserve"> 7 พ.ย.66</t>
  </si>
  <si>
    <t>90909610012000000006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</si>
  <si>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</si>
  <si>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 xml:space="preserve"> 8 ธ.ค.66</t>
  </si>
  <si>
    <t>90909610012000000013</t>
  </si>
  <si>
    <t>รายการค่าใช้จ่ายตามโครงการอันเนื่องมาจากพระราชดำริ โครงการฟื้นฟูและอนุรักษ์ป่าทุ่งทะเลอันเนื่องมาจากพระราชดำริ อำเภอเกาะลันตา จังหวัดกระบี่</t>
  </si>
  <si>
    <t xml:space="preserve"> 10 ก.ค.67</t>
  </si>
  <si>
    <t>9090936001500E800001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</si>
  <si>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</si>
  <si>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9090936001500E900001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</si>
  <si>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</si>
  <si>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 xml:space="preserve"> 25 ก.ค.67</t>
  </si>
  <si>
    <t>90909610012000000372</t>
  </si>
  <si>
    <t>ข้อมูลสะสมตั้งแต่วันที่ 25 มิถุนายน 2567 ถึงวันที่ 15 กันยายน 2567</t>
  </si>
  <si>
    <t xml:space="preserve"> 25 มิ.ย. 67</t>
  </si>
  <si>
    <t>ค่าใช้จ่ายในการเดินทางไปราชการต่างประเทศชั่วคราว โครงการเสริมสร้างพัฒนาขีดสมรรถนะและรับรองมาตรฐานวิชาชีพที่ปรึกษาทางการบริหารในภาคราชการ หลักสูตรการเสริมสร้างและพัฒนาศักยภาพที่ปรึกษา
ด้านการบริหารสำหรับหน่วยงานภาคราชการ ระดับพื้นฐาน 
รุ่นที่ 12 (Certified Management Consultant - Fundamental : CMC 12)</t>
  </si>
  <si>
    <t xml:space="preserve"> 10 ก.ย. 67</t>
  </si>
  <si>
    <t>ถอนคืนเงินรายได้แผ่นดิน กรณีเงินสำนักงานพัฒนาชุมชนจังหวัดพิษณุโลกขาดบัญชี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</si>
</sst>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[$-1070000]d/m/yy;@"/>
    <numFmt numFmtId="169" formatCode="_(* #,##0.000_);_(* \(#,##0.000\);_(* &quot;-&quot;??_);_(@_)"/>
    <numFmt numFmtId="170" formatCode="_-* #,##0_-;\-* #,##0_-;_-* &quot;-&quot;??_-;_-@_-"/>
    <numFmt numFmtId="171" formatCode="0;[Red]0"/>
    <numFmt numFmtId="173" formatCode="0.00_);\(0.00\)"/>
    <numFmt numFmtId="174" formatCode="0.000"/>
    <numFmt numFmtId="175" formatCode="_(* #,##0.0000_);_(* \(#,##0.0000\);_(* &quot;-&quot;??_);_(@_)"/>
  </numFmts>
  <fonts count="262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b/>
      <sz val="14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b/>
      <sz val="18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7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20"/>
      <name val="Arial"/>
      <family val="2"/>
    </font>
    <font>
      <sz val="24"/>
      <name val="TH SarabunPSK"/>
      <family val="2"/>
    </font>
    <font>
      <b/>
      <sz val="17"/>
      <color rgb="FFFF0000"/>
      <name val="TH SarabunPSK"/>
      <family val="2"/>
    </font>
    <font>
      <sz val="18"/>
      <color theme="0"/>
      <name val="TH SarabunPSK"/>
      <family val="2"/>
    </font>
    <font>
      <b/>
      <sz val="24"/>
      <name val="TH SarabunPSK"/>
      <family val="2"/>
    </font>
    <font>
      <b/>
      <sz val="20"/>
      <color theme="1"/>
      <name val="TH SarabunPSK"/>
      <family val="2"/>
    </font>
    <font>
      <b/>
      <sz val="22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u/>
      <sz val="22"/>
      <name val="TH SarabunPSK"/>
      <family val="2"/>
    </font>
    <font>
      <b/>
      <u/>
      <sz val="22"/>
      <color theme="0"/>
      <name val="TH SarabunPSK"/>
      <family val="2"/>
    </font>
    <font>
      <b/>
      <sz val="22"/>
      <color theme="0"/>
      <name val="TH SarabunPSK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u val="singleAccounting"/>
      <sz val="14"/>
      <name val="TH SarabunPSK"/>
      <family val="2"/>
    </font>
    <font>
      <b/>
      <u val="singleAccounting"/>
      <sz val="16"/>
      <name val="TH SarabunPSK"/>
      <family val="2"/>
    </font>
    <font>
      <sz val="26"/>
      <color theme="0"/>
      <name val="TH SarabunPSK"/>
      <family val="2"/>
    </font>
    <font>
      <sz val="10"/>
      <color theme="1"/>
      <name val="Arial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  <font>
      <b/>
      <sz val="15"/>
      <name val="TH SarabunPSK"/>
      <family val="2"/>
    </font>
    <font>
      <sz val="16"/>
      <name val="Arial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7"/>
      <name val="TH SarabunPSK"/>
      <family val="2"/>
    </font>
    <font>
      <sz val="16"/>
      <color theme="0"/>
      <name val="TH SarabunPSK"/>
      <family val="2"/>
    </font>
    <font>
      <b/>
      <sz val="20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Tahoma"/>
      <family val="2"/>
    </font>
    <font>
      <sz val="9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b/>
      <u val="doubleAccounting"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u val="singleAccounting"/>
      <sz val="16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u/>
      <sz val="11"/>
      <name val="Chulabhorn Likit Text Light"/>
      <family val="3"/>
    </font>
    <font>
      <b/>
      <u/>
      <sz val="12"/>
      <name val="Chulabhorn Likit Text Light"/>
      <family val="3"/>
    </font>
    <font>
      <u val="singleAccounting"/>
      <sz val="12"/>
      <name val="Chulabhorn Likit Text Light"/>
      <family val="3"/>
    </font>
    <font>
      <b/>
      <u val="doubleAccounting"/>
      <sz val="12"/>
      <color theme="1"/>
      <name val="Chulabhorn Likit Text Light"/>
      <family val="3"/>
    </font>
    <font>
      <u val="singleAccounting"/>
      <sz val="12"/>
      <color theme="1"/>
      <name val="Chulabhorn Likit Text Light"/>
      <family val="3"/>
    </font>
    <font>
      <b/>
      <u val="double"/>
      <sz val="12"/>
      <name val="Chulabhorn Likit Text Light"/>
      <family val="3"/>
    </font>
    <font>
      <b/>
      <sz val="14"/>
      <color theme="1"/>
      <name val="Chulabhorn Likit Text Light"/>
      <family val="3"/>
    </font>
    <font>
      <sz val="20"/>
      <color theme="1"/>
      <name val="TH SarabunPSK"/>
      <family val="2"/>
    </font>
    <font>
      <sz val="10"/>
      <name val="Arial"/>
      <family val="2"/>
    </font>
    <font>
      <b/>
      <sz val="22"/>
      <color rgb="FFFF0000"/>
      <name val="TH SarabunPSK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b/>
      <sz val="12"/>
      <color rgb="FFFF0000"/>
      <name val="Chulabhorn Likit Text Light"/>
      <family val="3"/>
    </font>
    <font>
      <sz val="14"/>
      <name val="Chulabhorn Likit Text Light"/>
      <family val="3"/>
    </font>
    <font>
      <sz val="14"/>
      <color theme="0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sz val="13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4"/>
      <color rgb="FFFF0000"/>
      <name val="Chulabhorn Likit Text Light"/>
      <family val="3"/>
    </font>
    <font>
      <sz val="10"/>
      <name val="Arial"/>
      <family val="2"/>
    </font>
    <font>
      <sz val="14"/>
      <color theme="4"/>
      <name val="Chulabhorn Likit Text Light"/>
      <family val="3"/>
    </font>
    <font>
      <sz val="11"/>
      <color theme="1"/>
      <name val="Chulabhorn Likit Text Light"/>
      <family val="3"/>
    </font>
    <font>
      <sz val="10"/>
      <name val="Arial"/>
      <family val="2"/>
    </font>
    <font>
      <sz val="16"/>
      <color rgb="FFFF0000"/>
      <name val="Chulabhorn Likit Text Light"/>
      <family val="3"/>
    </font>
    <font>
      <b/>
      <u/>
      <sz val="12"/>
      <color theme="0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Chulabhorn Likit Text Light"/>
      <family val="3"/>
    </font>
    <font>
      <b/>
      <sz val="20"/>
      <color theme="1"/>
      <name val="Chulabhorn Likit Text Light"/>
      <family val="3"/>
    </font>
    <font>
      <sz val="14"/>
      <color theme="1"/>
      <name val="Chulabhorn Likit Text Light"/>
      <family val="3"/>
    </font>
    <font>
      <b/>
      <sz val="14"/>
      <color theme="0"/>
      <name val="Chulabhorn Likit Text Light"/>
      <family val="3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b/>
      <sz val="17"/>
      <name val="Chulabhorn Likit Text Light"/>
      <family val="3"/>
    </font>
    <font>
      <b/>
      <sz val="18"/>
      <name val="Chulabhorn Likit Text Light"/>
      <family val="3"/>
    </font>
    <font>
      <b/>
      <u val="singleAccounting"/>
      <sz val="12"/>
      <name val="Chulabhorn Likit Text Light"/>
      <family val="3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20"/>
      <color theme="1"/>
      <name val="Chulabhorn Likit Text Light"/>
      <family val="3"/>
    </font>
    <font>
      <sz val="12"/>
      <name val="TH SarabunPSK"/>
      <family val="2"/>
    </font>
    <font>
      <sz val="12"/>
      <name val="Chulabhorn Likit Text Light"/>
      <family val="3"/>
      <charset val="222"/>
    </font>
    <font>
      <b/>
      <sz val="12"/>
      <color theme="0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b/>
      <sz val="12"/>
      <color rgb="FFFF0000"/>
      <name val="Chulabhorn Likit Text Light"/>
      <family val="3"/>
      <charset val="222"/>
    </font>
    <font>
      <b/>
      <sz val="12"/>
      <color indexed="10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2"/>
      <color rgb="FFFF0000"/>
      <name val="Chulabhorn Likit Text Light"/>
      <family val="3"/>
      <charset val="222"/>
    </font>
    <font>
      <sz val="12"/>
      <color indexed="10"/>
      <name val="Chulabhorn Likit Text Light"/>
      <family val="3"/>
      <charset val="222"/>
    </font>
    <font>
      <b/>
      <sz val="11"/>
      <color theme="0"/>
      <name val="Chulabhorn Likit Text Light"/>
      <family val="3"/>
    </font>
    <font>
      <b/>
      <sz val="12"/>
      <color theme="1"/>
      <name val="TH SarabunPSK"/>
      <family val="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b/>
      <sz val="16"/>
      <color theme="0"/>
      <name val="Chulabhorn Likit Text Light"/>
      <family val="3"/>
    </font>
    <font>
      <sz val="13"/>
      <color theme="1"/>
      <name val="Chulabhorn Likit Text Light"/>
      <family val="3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20"/>
      <color theme="3" tint="0.39997558519241921"/>
      <name val="Chulabhorn Likit Text Light"/>
      <family val="3"/>
    </font>
    <font>
      <sz val="10"/>
      <color theme="1"/>
      <name val="Chulabhorn Likit Text Light"/>
      <family val="3"/>
    </font>
    <font>
      <sz val="18"/>
      <name val="Chulabhorn Likit Text Light"/>
      <family val="3"/>
    </font>
    <font>
      <sz val="17"/>
      <name val="Chulabhorn Likit Text Light"/>
      <family val="3"/>
    </font>
    <font>
      <sz val="16"/>
      <color rgb="FFFF0000"/>
      <name val="TH SarabunPSK"/>
      <family val="2"/>
    </font>
    <font>
      <sz val="10"/>
      <name val="Arial"/>
      <charset val="222"/>
    </font>
    <font>
      <b/>
      <sz val="12"/>
      <color theme="4"/>
      <name val="Chulabhorn Likit Text Light"/>
      <family val="3"/>
    </font>
    <font>
      <b/>
      <sz val="18"/>
      <color rgb="FFFF0000"/>
      <name val="TH SarabunPSK"/>
      <family val="2"/>
    </font>
    <font>
      <b/>
      <sz val="20"/>
      <color rgb="FFFF0000"/>
      <name val="TH SarabunPSK"/>
      <family val="2"/>
    </font>
    <font>
      <sz val="13"/>
      <color theme="1"/>
      <name val="Chulabhorn Likit Text Light"/>
      <family val="3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Chulabhorn Likit Text Light"/>
      <family val="3"/>
      <charset val="222"/>
    </font>
    <font>
      <sz val="14"/>
      <color theme="1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6"/>
      <color theme="0"/>
      <name val="Chulabhorn Likit Text Light"/>
      <family val="3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3"/>
      <name val="Chulabhorn Likit Text Light"/>
      <family val="3"/>
    </font>
    <font>
      <b/>
      <sz val="16"/>
      <color theme="1"/>
      <name val="Chulabhorn Likit Text Light"/>
      <family val="3"/>
      <charset val="222"/>
    </font>
    <font>
      <b/>
      <sz val="18"/>
      <color theme="1"/>
      <name val="Chulabhorn Likit Text Light"/>
      <family val="3"/>
      <charset val="222"/>
    </font>
    <font>
      <sz val="18"/>
      <color theme="1"/>
      <name val="Chulabhorn Likit Text Light"/>
      <family val="3"/>
      <charset val="222"/>
    </font>
    <font>
      <sz val="16"/>
      <color theme="1"/>
      <name val="Chulabhorn Likit Text Light๙"/>
    </font>
    <font>
      <b/>
      <u/>
      <sz val="12"/>
      <color theme="1"/>
      <name val="Chulabhorn Likit Text Light"/>
      <family val="3"/>
      <charset val="222"/>
    </font>
    <font>
      <b/>
      <sz val="18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FF8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theme="8" tint="0.39997558519241921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9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98" fillId="0" borderId="0" applyFont="0" applyFill="0" applyBorder="0" applyAlignment="0" applyProtection="0"/>
    <xf numFmtId="0" fontId="121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125" fillId="0" borderId="0"/>
    <xf numFmtId="0" fontId="12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129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9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9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12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129" fillId="0" borderId="0"/>
    <xf numFmtId="0" fontId="50" fillId="0" borderId="0"/>
    <xf numFmtId="0" fontId="50" fillId="0" borderId="0"/>
    <xf numFmtId="0" fontId="125" fillId="0" borderId="0"/>
    <xf numFmtId="43" fontId="12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2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134" fillId="0" borderId="0"/>
    <xf numFmtId="0" fontId="46" fillId="0" borderId="0"/>
    <xf numFmtId="0" fontId="46" fillId="0" borderId="0"/>
    <xf numFmtId="0" fontId="45" fillId="0" borderId="0"/>
    <xf numFmtId="0" fontId="13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138" fillId="0" borderId="0"/>
    <xf numFmtId="0" fontId="37" fillId="0" borderId="0"/>
    <xf numFmtId="0" fontId="59" fillId="0" borderId="0"/>
    <xf numFmtId="0" fontId="37" fillId="0" borderId="0"/>
    <xf numFmtId="0" fontId="139" fillId="0" borderId="0"/>
    <xf numFmtId="43" fontId="139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138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14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14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14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14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14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65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68" fillId="0" borderId="0"/>
    <xf numFmtId="0" fontId="17" fillId="19" borderId="150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69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0" fillId="0" borderId="0"/>
    <xf numFmtId="0" fontId="14" fillId="0" borderId="0"/>
    <xf numFmtId="43" fontId="14" fillId="0" borderId="0" applyFont="0" applyFill="0" applyBorder="0" applyAlignment="0" applyProtection="0"/>
    <xf numFmtId="0" fontId="176" fillId="0" borderId="0"/>
    <xf numFmtId="43" fontId="125" fillId="0" borderId="0" applyFont="0" applyFill="0" applyBorder="0" applyAlignment="0" applyProtection="0"/>
    <xf numFmtId="0" fontId="12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85" fillId="0" borderId="0"/>
    <xf numFmtId="0" fontId="185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9" borderId="150" applyNumberFormat="0" applyFont="0" applyAlignment="0" applyProtection="0"/>
    <xf numFmtId="0" fontId="6" fillId="19" borderId="150" applyNumberFormat="0" applyFont="0" applyAlignment="0" applyProtection="0"/>
    <xf numFmtId="43" fontId="9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88" fillId="0" borderId="0"/>
    <xf numFmtId="0" fontId="3" fillId="0" borderId="0"/>
    <xf numFmtId="0" fontId="98" fillId="0" borderId="0"/>
    <xf numFmtId="0" fontId="191" fillId="0" borderId="0"/>
    <xf numFmtId="0" fontId="192" fillId="0" borderId="0"/>
    <xf numFmtId="0" fontId="2" fillId="0" borderId="0"/>
    <xf numFmtId="0" fontId="196" fillId="0" borderId="0"/>
    <xf numFmtId="0" fontId="197" fillId="0" borderId="0"/>
    <xf numFmtId="0" fontId="198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205" fillId="0" borderId="0"/>
    <xf numFmtId="0" fontId="212" fillId="0" borderId="0"/>
    <xf numFmtId="0" fontId="59" fillId="0" borderId="0"/>
    <xf numFmtId="0" fontId="226" fillId="0" borderId="0"/>
    <xf numFmtId="0" fontId="233" fillId="0" borderId="0"/>
    <xf numFmtId="0" fontId="233" fillId="0" borderId="0"/>
    <xf numFmtId="0" fontId="240" fillId="0" borderId="0"/>
  </cellStyleXfs>
  <cellXfs count="2968">
    <xf numFmtId="0" fontId="0" fillId="0" borderId="0" xfId="0"/>
    <xf numFmtId="165" fontId="70" fillId="0" borderId="0" xfId="3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0" fillId="0" borderId="4" xfId="0" applyFont="1" applyBorder="1" applyAlignment="1">
      <alignment horizontal="center"/>
    </xf>
    <xf numFmtId="0" fontId="70" fillId="4" borderId="5" xfId="0" applyFont="1" applyFill="1" applyBorder="1" applyAlignment="1">
      <alignment horizontal="center"/>
    </xf>
    <xf numFmtId="165" fontId="70" fillId="4" borderId="6" xfId="0" applyNumberFormat="1" applyFont="1" applyFill="1" applyBorder="1" applyAlignment="1">
      <alignment horizontal="center"/>
    </xf>
    <xf numFmtId="165" fontId="70" fillId="4" borderId="7" xfId="3" applyFont="1" applyFill="1" applyBorder="1" applyAlignment="1">
      <alignment horizontal="center"/>
    </xf>
    <xf numFmtId="165" fontId="70" fillId="4" borderId="8" xfId="3" applyFont="1" applyFill="1" applyBorder="1" applyAlignment="1">
      <alignment horizontal="center"/>
    </xf>
    <xf numFmtId="0" fontId="70" fillId="0" borderId="0" xfId="0" applyFont="1"/>
    <xf numFmtId="165" fontId="70" fillId="0" borderId="9" xfId="0" applyNumberFormat="1" applyFont="1" applyBorder="1" applyAlignment="1">
      <alignment horizontal="center"/>
    </xf>
    <xf numFmtId="165" fontId="70" fillId="0" borderId="10" xfId="3" applyFont="1" applyFill="1" applyBorder="1" applyAlignment="1">
      <alignment horizontal="center"/>
    </xf>
    <xf numFmtId="165" fontId="70" fillId="0" borderId="10" xfId="3" applyFont="1" applyFill="1" applyBorder="1"/>
    <xf numFmtId="165" fontId="70" fillId="0" borderId="11" xfId="0" applyNumberFormat="1" applyFont="1" applyBorder="1" applyAlignment="1">
      <alignment horizontal="center"/>
    </xf>
    <xf numFmtId="165" fontId="70" fillId="0" borderId="12" xfId="3" applyFont="1" applyFill="1" applyBorder="1" applyAlignment="1">
      <alignment horizontal="center"/>
    </xf>
    <xf numFmtId="165" fontId="70" fillId="0" borderId="12" xfId="3" applyFont="1" applyFill="1" applyBorder="1"/>
    <xf numFmtId="165" fontId="71" fillId="0" borderId="13" xfId="3" applyFont="1" applyFill="1" applyBorder="1" applyAlignment="1">
      <alignment horizontal="center"/>
    </xf>
    <xf numFmtId="165" fontId="71" fillId="0" borderId="13" xfId="3" applyFont="1" applyFill="1" applyBorder="1"/>
    <xf numFmtId="165" fontId="71" fillId="0" borderId="0" xfId="3" applyFont="1"/>
    <xf numFmtId="0" fontId="71" fillId="0" borderId="0" xfId="0" applyFont="1"/>
    <xf numFmtId="165" fontId="71" fillId="0" borderId="14" xfId="0" applyNumberFormat="1" applyFont="1" applyBorder="1" applyAlignment="1">
      <alignment horizontal="center"/>
    </xf>
    <xf numFmtId="165" fontId="71" fillId="0" borderId="14" xfId="3" applyFont="1" applyFill="1" applyBorder="1" applyAlignment="1">
      <alignment horizontal="center"/>
    </xf>
    <xf numFmtId="165" fontId="71" fillId="0" borderId="14" xfId="3" applyFont="1" applyFill="1" applyBorder="1"/>
    <xf numFmtId="0" fontId="70" fillId="0" borderId="15" xfId="0" applyFont="1" applyBorder="1" applyAlignment="1">
      <alignment horizontal="left" indent="2"/>
    </xf>
    <xf numFmtId="165" fontId="71" fillId="0" borderId="16" xfId="0" applyNumberFormat="1" applyFont="1" applyBorder="1" applyAlignment="1">
      <alignment horizontal="center"/>
    </xf>
    <xf numFmtId="165" fontId="71" fillId="0" borderId="16" xfId="3" applyFont="1" applyFill="1" applyBorder="1" applyAlignment="1">
      <alignment horizontal="center"/>
    </xf>
    <xf numFmtId="165" fontId="71" fillId="0" borderId="16" xfId="3" applyFont="1" applyFill="1" applyBorder="1"/>
    <xf numFmtId="0" fontId="71" fillId="0" borderId="15" xfId="0" applyFont="1" applyBorder="1" applyAlignment="1">
      <alignment horizontal="left" indent="2"/>
    </xf>
    <xf numFmtId="0" fontId="70" fillId="0" borderId="17" xfId="0" applyFont="1" applyBorder="1" applyAlignment="1">
      <alignment horizontal="left" indent="2"/>
    </xf>
    <xf numFmtId="165" fontId="71" fillId="0" borderId="13" xfId="0" applyNumberFormat="1" applyFont="1" applyBorder="1" applyAlignment="1">
      <alignment horizontal="center"/>
    </xf>
    <xf numFmtId="165" fontId="70" fillId="0" borderId="18" xfId="0" applyNumberFormat="1" applyFont="1" applyBorder="1" applyAlignment="1">
      <alignment horizontal="center"/>
    </xf>
    <xf numFmtId="165" fontId="70" fillId="0" borderId="18" xfId="3" applyFont="1" applyFill="1" applyBorder="1" applyAlignment="1">
      <alignment horizontal="center"/>
    </xf>
    <xf numFmtId="165" fontId="70" fillId="0" borderId="19" xfId="3" applyFont="1" applyFill="1" applyBorder="1"/>
    <xf numFmtId="165" fontId="71" fillId="0" borderId="0" xfId="3" applyFont="1" applyFill="1"/>
    <xf numFmtId="165" fontId="72" fillId="0" borderId="0" xfId="3" applyFont="1" applyAlignment="1">
      <alignment horizontal="right"/>
    </xf>
    <xf numFmtId="165" fontId="72" fillId="0" borderId="0" xfId="3" applyFont="1"/>
    <xf numFmtId="165" fontId="71" fillId="5" borderId="16" xfId="3" applyFont="1" applyFill="1" applyBorder="1"/>
    <xf numFmtId="165" fontId="71" fillId="5" borderId="13" xfId="3" applyFont="1" applyFill="1" applyBorder="1"/>
    <xf numFmtId="165" fontId="71" fillId="0" borderId="12" xfId="3" applyFont="1" applyFill="1" applyBorder="1"/>
    <xf numFmtId="165" fontId="71" fillId="0" borderId="12" xfId="0" applyNumberFormat="1" applyFont="1" applyBorder="1" applyAlignment="1">
      <alignment horizontal="center"/>
    </xf>
    <xf numFmtId="165" fontId="71" fillId="0" borderId="12" xfId="3" applyFont="1" applyFill="1" applyBorder="1" applyAlignment="1">
      <alignment horizontal="center"/>
    </xf>
    <xf numFmtId="165" fontId="70" fillId="0" borderId="13" xfId="3" applyFont="1" applyFill="1" applyBorder="1" applyAlignment="1">
      <alignment horizontal="center"/>
    </xf>
    <xf numFmtId="165" fontId="70" fillId="0" borderId="20" xfId="3" applyFont="1" applyBorder="1" applyAlignment="1">
      <alignment horizontal="center" vertical="center"/>
    </xf>
    <xf numFmtId="165" fontId="70" fillId="0" borderId="21" xfId="3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5" fontId="70" fillId="0" borderId="0" xfId="3" applyFont="1" applyFill="1" applyAlignment="1">
      <alignment vertical="center"/>
    </xf>
    <xf numFmtId="165" fontId="70" fillId="0" borderId="22" xfId="3" applyFont="1" applyBorder="1" applyAlignment="1">
      <alignment horizontal="center" vertical="center"/>
    </xf>
    <xf numFmtId="165" fontId="70" fillId="0" borderId="23" xfId="3" applyFont="1" applyFill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165" fontId="70" fillId="0" borderId="25" xfId="3" applyFont="1" applyBorder="1" applyAlignment="1">
      <alignment horizontal="center" vertical="center"/>
    </xf>
    <xf numFmtId="165" fontId="70" fillId="0" borderId="26" xfId="3" applyFont="1" applyFill="1" applyBorder="1" applyAlignment="1">
      <alignment horizontal="center" vertical="center"/>
    </xf>
    <xf numFmtId="165" fontId="70" fillId="0" borderId="26" xfId="3" applyFont="1" applyBorder="1" applyAlignment="1">
      <alignment horizontal="center" vertical="center"/>
    </xf>
    <xf numFmtId="165" fontId="70" fillId="0" borderId="24" xfId="3" applyFont="1" applyBorder="1" applyAlignment="1">
      <alignment horizontal="center" vertical="center"/>
    </xf>
    <xf numFmtId="49" fontId="70" fillId="0" borderId="24" xfId="3" applyNumberFormat="1" applyFont="1" applyBorder="1" applyAlignment="1">
      <alignment horizontal="center" vertical="center"/>
    </xf>
    <xf numFmtId="0" fontId="70" fillId="0" borderId="5" xfId="0" applyFont="1" applyBorder="1" applyAlignment="1">
      <alignment horizontal="center"/>
    </xf>
    <xf numFmtId="165" fontId="70" fillId="5" borderId="7" xfId="3" applyFont="1" applyFill="1" applyBorder="1" applyAlignment="1">
      <alignment horizontal="center"/>
    </xf>
    <xf numFmtId="165" fontId="70" fillId="0" borderId="27" xfId="3" applyFont="1" applyFill="1" applyBorder="1" applyAlignment="1">
      <alignment horizontal="center"/>
    </xf>
    <xf numFmtId="165" fontId="70" fillId="0" borderId="27" xfId="3" applyFont="1" applyBorder="1" applyAlignment="1">
      <alignment horizontal="center"/>
    </xf>
    <xf numFmtId="165" fontId="70" fillId="0" borderId="28" xfId="3" applyFont="1" applyBorder="1" applyAlignment="1">
      <alignment horizontal="center"/>
    </xf>
    <xf numFmtId="165" fontId="70" fillId="0" borderId="29" xfId="3" applyFont="1" applyBorder="1"/>
    <xf numFmtId="165" fontId="70" fillId="0" borderId="30" xfId="3" applyFont="1" applyBorder="1"/>
    <xf numFmtId="165" fontId="71" fillId="0" borderId="31" xfId="3" applyFont="1" applyFill="1" applyBorder="1"/>
    <xf numFmtId="165" fontId="71" fillId="0" borderId="32" xfId="3" applyFont="1" applyFill="1" applyBorder="1"/>
    <xf numFmtId="165" fontId="71" fillId="0" borderId="32" xfId="3" applyFont="1" applyBorder="1"/>
    <xf numFmtId="0" fontId="70" fillId="0" borderId="33" xfId="0" applyFont="1" applyBorder="1" applyAlignment="1">
      <alignment horizontal="left" indent="2"/>
    </xf>
    <xf numFmtId="165" fontId="70" fillId="5" borderId="34" xfId="3" applyFont="1" applyFill="1" applyBorder="1"/>
    <xf numFmtId="165" fontId="70" fillId="5" borderId="35" xfId="3" applyFont="1" applyFill="1" applyBorder="1"/>
    <xf numFmtId="165" fontId="70" fillId="0" borderId="35" xfId="3" applyFont="1" applyBorder="1"/>
    <xf numFmtId="165" fontId="70" fillId="0" borderId="36" xfId="3" applyFont="1" applyBorder="1"/>
    <xf numFmtId="165" fontId="71" fillId="0" borderId="33" xfId="3" applyFont="1" applyFill="1" applyBorder="1"/>
    <xf numFmtId="165" fontId="71" fillId="0" borderId="34" xfId="3" applyFont="1" applyFill="1" applyBorder="1"/>
    <xf numFmtId="165" fontId="71" fillId="0" borderId="34" xfId="3" applyFont="1" applyBorder="1"/>
    <xf numFmtId="165" fontId="70" fillId="5" borderId="16" xfId="3" applyFont="1" applyFill="1" applyBorder="1"/>
    <xf numFmtId="165" fontId="70" fillId="0" borderId="37" xfId="3" applyFont="1" applyBorder="1"/>
    <xf numFmtId="165" fontId="71" fillId="0" borderId="15" xfId="3" applyFont="1" applyFill="1" applyBorder="1"/>
    <xf numFmtId="165" fontId="71" fillId="0" borderId="16" xfId="3" applyFont="1" applyBorder="1"/>
    <xf numFmtId="165" fontId="70" fillId="0" borderId="38" xfId="3" applyFont="1" applyBorder="1"/>
    <xf numFmtId="165" fontId="70" fillId="0" borderId="39" xfId="3" applyFont="1" applyBorder="1"/>
    <xf numFmtId="165" fontId="71" fillId="0" borderId="35" xfId="3" applyFont="1" applyBorder="1"/>
    <xf numFmtId="165" fontId="70" fillId="5" borderId="13" xfId="3" applyFont="1" applyFill="1" applyBorder="1"/>
    <xf numFmtId="165" fontId="70" fillId="5" borderId="40" xfId="3" applyFont="1" applyFill="1" applyBorder="1"/>
    <xf numFmtId="165" fontId="70" fillId="5" borderId="4" xfId="3" applyFont="1" applyFill="1" applyBorder="1"/>
    <xf numFmtId="165" fontId="71" fillId="5" borderId="41" xfId="3" applyFont="1" applyFill="1" applyBorder="1"/>
    <xf numFmtId="165" fontId="70" fillId="0" borderId="42" xfId="3" applyFont="1" applyBorder="1"/>
    <xf numFmtId="165" fontId="70" fillId="0" borderId="32" xfId="3" applyFont="1" applyBorder="1"/>
    <xf numFmtId="165" fontId="70" fillId="0" borderId="43" xfId="3" applyFont="1" applyBorder="1"/>
    <xf numFmtId="165" fontId="71" fillId="0" borderId="38" xfId="3" applyFont="1" applyBorder="1"/>
    <xf numFmtId="165" fontId="71" fillId="0" borderId="44" xfId="3" applyFont="1" applyBorder="1"/>
    <xf numFmtId="165" fontId="71" fillId="0" borderId="45" xfId="3" applyFont="1" applyBorder="1"/>
    <xf numFmtId="165" fontId="70" fillId="0" borderId="46" xfId="3" applyFont="1" applyBorder="1"/>
    <xf numFmtId="165" fontId="71" fillId="0" borderId="47" xfId="3" applyFont="1" applyFill="1" applyBorder="1"/>
    <xf numFmtId="165" fontId="71" fillId="0" borderId="12" xfId="3" applyFont="1" applyBorder="1"/>
    <xf numFmtId="165" fontId="70" fillId="0" borderId="48" xfId="3" applyFont="1" applyBorder="1"/>
    <xf numFmtId="165" fontId="70" fillId="0" borderId="49" xfId="3" applyFont="1" applyBorder="1"/>
    <xf numFmtId="165" fontId="70" fillId="0" borderId="50" xfId="3" applyFont="1" applyBorder="1"/>
    <xf numFmtId="165" fontId="71" fillId="0" borderId="51" xfId="3" applyFont="1" applyFill="1" applyBorder="1"/>
    <xf numFmtId="165" fontId="71" fillId="0" borderId="52" xfId="3" applyFont="1" applyFill="1" applyBorder="1"/>
    <xf numFmtId="165" fontId="71" fillId="0" borderId="52" xfId="3" applyFont="1" applyBorder="1"/>
    <xf numFmtId="0" fontId="74" fillId="0" borderId="0" xfId="0" applyFont="1"/>
    <xf numFmtId="165" fontId="70" fillId="4" borderId="6" xfId="3" applyFont="1" applyFill="1" applyBorder="1" applyAlignment="1">
      <alignment horizontal="center"/>
    </xf>
    <xf numFmtId="165" fontId="70" fillId="0" borderId="11" xfId="3" applyFont="1" applyFill="1" applyBorder="1" applyAlignment="1">
      <alignment horizontal="center"/>
    </xf>
    <xf numFmtId="165" fontId="70" fillId="0" borderId="53" xfId="3" applyFont="1" applyBorder="1" applyAlignment="1">
      <alignment horizontal="center" vertical="center"/>
    </xf>
    <xf numFmtId="165" fontId="70" fillId="0" borderId="54" xfId="3" applyFont="1" applyBorder="1" applyAlignment="1">
      <alignment horizontal="center" vertical="center"/>
    </xf>
    <xf numFmtId="165" fontId="70" fillId="0" borderId="9" xfId="3" applyFont="1" applyFill="1" applyBorder="1" applyAlignment="1">
      <alignment horizontal="center"/>
    </xf>
    <xf numFmtId="165" fontId="70" fillId="0" borderId="59" xfId="3" applyFont="1" applyFill="1" applyBorder="1" applyAlignment="1">
      <alignment horizontal="center" vertical="center"/>
    </xf>
    <xf numFmtId="0" fontId="70" fillId="0" borderId="57" xfId="0" applyFont="1" applyBorder="1"/>
    <xf numFmtId="165" fontId="70" fillId="0" borderId="45" xfId="3" applyFont="1" applyFill="1" applyBorder="1"/>
    <xf numFmtId="0" fontId="70" fillId="0" borderId="47" xfId="0" applyFont="1" applyBorder="1"/>
    <xf numFmtId="165" fontId="70" fillId="0" borderId="60" xfId="3" applyFont="1" applyFill="1" applyBorder="1"/>
    <xf numFmtId="165" fontId="71" fillId="0" borderId="40" xfId="3" applyFont="1" applyFill="1" applyBorder="1"/>
    <xf numFmtId="0" fontId="70" fillId="0" borderId="61" xfId="0" applyFont="1" applyBorder="1" applyAlignment="1">
      <alignment horizontal="left" indent="2"/>
    </xf>
    <xf numFmtId="165" fontId="71" fillId="0" borderId="62" xfId="3" applyFont="1" applyFill="1" applyBorder="1"/>
    <xf numFmtId="165" fontId="71" fillId="0" borderId="63" xfId="3" applyFont="1" applyFill="1" applyBorder="1"/>
    <xf numFmtId="0" fontId="70" fillId="0" borderId="47" xfId="0" applyFont="1" applyBorder="1" applyAlignment="1">
      <alignment horizontal="left" indent="2"/>
    </xf>
    <xf numFmtId="165" fontId="71" fillId="0" borderId="60" xfId="3" applyFont="1" applyFill="1" applyBorder="1"/>
    <xf numFmtId="0" fontId="70" fillId="0" borderId="64" xfId="0" applyFont="1" applyBorder="1"/>
    <xf numFmtId="165" fontId="70" fillId="0" borderId="65" xfId="3" applyFont="1" applyFill="1" applyBorder="1"/>
    <xf numFmtId="166" fontId="70" fillId="5" borderId="34" xfId="3" applyNumberFormat="1" applyFont="1" applyFill="1" applyBorder="1"/>
    <xf numFmtId="0" fontId="70" fillId="6" borderId="0" xfId="0" applyFont="1" applyFill="1"/>
    <xf numFmtId="165" fontId="71" fillId="0" borderId="34" xfId="3" applyFont="1" applyFill="1" applyBorder="1" applyAlignment="1">
      <alignment horizontal="center"/>
    </xf>
    <xf numFmtId="165" fontId="70" fillId="0" borderId="19" xfId="3" applyFont="1" applyFill="1" applyBorder="1" applyAlignment="1">
      <alignment horizontal="center"/>
    </xf>
    <xf numFmtId="0" fontId="70" fillId="0" borderId="33" xfId="0" applyFont="1" applyBorder="1"/>
    <xf numFmtId="165" fontId="70" fillId="0" borderId="34" xfId="0" applyNumberFormat="1" applyFont="1" applyBorder="1" applyAlignment="1">
      <alignment horizontal="center"/>
    </xf>
    <xf numFmtId="165" fontId="70" fillId="0" borderId="34" xfId="3" applyFont="1" applyFill="1" applyBorder="1" applyAlignment="1">
      <alignment horizontal="center"/>
    </xf>
    <xf numFmtId="165" fontId="70" fillId="0" borderId="34" xfId="3" applyFont="1" applyFill="1" applyBorder="1"/>
    <xf numFmtId="165" fontId="70" fillId="0" borderId="35" xfId="3" applyFont="1" applyFill="1" applyBorder="1"/>
    <xf numFmtId="165" fontId="71" fillId="0" borderId="34" xfId="0" applyNumberFormat="1" applyFont="1" applyBorder="1" applyAlignment="1">
      <alignment horizontal="center"/>
    </xf>
    <xf numFmtId="165" fontId="71" fillId="0" borderId="35" xfId="3" applyFont="1" applyFill="1" applyBorder="1"/>
    <xf numFmtId="0" fontId="70" fillId="0" borderId="51" xfId="0" applyFont="1" applyBorder="1"/>
    <xf numFmtId="165" fontId="70" fillId="0" borderId="52" xfId="0" applyNumberFormat="1" applyFont="1" applyBorder="1" applyAlignment="1">
      <alignment horizontal="center"/>
    </xf>
    <xf numFmtId="165" fontId="70" fillId="0" borderId="52" xfId="3" applyFont="1" applyFill="1" applyBorder="1" applyAlignment="1">
      <alignment horizontal="center"/>
    </xf>
    <xf numFmtId="165" fontId="70" fillId="0" borderId="52" xfId="3" applyFont="1" applyFill="1" applyBorder="1"/>
    <xf numFmtId="165" fontId="70" fillId="0" borderId="66" xfId="3" applyFont="1" applyFill="1" applyBorder="1"/>
    <xf numFmtId="165" fontId="71" fillId="0" borderId="67" xfId="0" applyNumberFormat="1" applyFont="1" applyBorder="1" applyAlignment="1">
      <alignment horizontal="center"/>
    </xf>
    <xf numFmtId="165" fontId="71" fillId="0" borderId="67" xfId="3" applyFont="1" applyFill="1" applyBorder="1" applyAlignment="1">
      <alignment horizontal="center"/>
    </xf>
    <xf numFmtId="165" fontId="71" fillId="0" borderId="52" xfId="3" applyFont="1" applyFill="1" applyBorder="1" applyAlignment="1">
      <alignment horizontal="center"/>
    </xf>
    <xf numFmtId="165" fontId="71" fillId="0" borderId="66" xfId="3" applyFont="1" applyFill="1" applyBorder="1"/>
    <xf numFmtId="165" fontId="71" fillId="0" borderId="0" xfId="3" applyFont="1" applyAlignment="1">
      <alignment vertical="center"/>
    </xf>
    <xf numFmtId="165" fontId="70" fillId="0" borderId="0" xfId="3" applyFont="1"/>
    <xf numFmtId="165" fontId="70" fillId="0" borderId="0" xfId="3" applyFont="1" applyFill="1"/>
    <xf numFmtId="165" fontId="71" fillId="0" borderId="0" xfId="0" applyNumberFormat="1" applyFont="1"/>
    <xf numFmtId="0" fontId="70" fillId="0" borderId="0" xfId="0" applyFont="1" applyAlignment="1">
      <alignment horizontal="left" indent="2"/>
    </xf>
    <xf numFmtId="165" fontId="71" fillId="0" borderId="0" xfId="0" applyNumberFormat="1" applyFont="1" applyAlignment="1">
      <alignment horizontal="center"/>
    </xf>
    <xf numFmtId="165" fontId="71" fillId="0" borderId="0" xfId="3" applyFont="1" applyFill="1" applyBorder="1" applyAlignment="1">
      <alignment horizontal="center"/>
    </xf>
    <xf numFmtId="165" fontId="71" fillId="0" borderId="0" xfId="3" applyFont="1" applyFill="1" applyBorder="1"/>
    <xf numFmtId="165" fontId="83" fillId="7" borderId="3" xfId="3" applyFont="1" applyFill="1" applyBorder="1"/>
    <xf numFmtId="0" fontId="83" fillId="7" borderId="3" xfId="0" applyFont="1" applyFill="1" applyBorder="1" applyAlignment="1">
      <alignment vertical="center"/>
    </xf>
    <xf numFmtId="165" fontId="82" fillId="7" borderId="3" xfId="3" applyFont="1" applyFill="1" applyBorder="1" applyAlignment="1">
      <alignment horizontal="left"/>
    </xf>
    <xf numFmtId="0" fontId="74" fillId="7" borderId="3" xfId="0" applyFont="1" applyFill="1" applyBorder="1" applyAlignment="1">
      <alignment horizontal="left" indent="2"/>
    </xf>
    <xf numFmtId="165" fontId="71" fillId="0" borderId="68" xfId="3" applyFont="1" applyFill="1" applyBorder="1"/>
    <xf numFmtId="165" fontId="84" fillId="8" borderId="0" xfId="3" applyFont="1" applyFill="1" applyBorder="1" applyAlignment="1">
      <alignment horizontal="left"/>
    </xf>
    <xf numFmtId="165" fontId="85" fillId="0" borderId="0" xfId="3" applyFont="1" applyFill="1"/>
    <xf numFmtId="165" fontId="83" fillId="0" borderId="0" xfId="3" applyFont="1" applyFill="1" applyAlignment="1">
      <alignment horizontal="left"/>
    </xf>
    <xf numFmtId="165" fontId="70" fillId="7" borderId="3" xfId="0" applyNumberFormat="1" applyFont="1" applyFill="1" applyBorder="1" applyAlignment="1">
      <alignment horizontal="center"/>
    </xf>
    <xf numFmtId="165" fontId="70" fillId="7" borderId="3" xfId="3" applyFont="1" applyFill="1" applyBorder="1"/>
    <xf numFmtId="21" fontId="0" fillId="0" borderId="0" xfId="0" applyNumberFormat="1"/>
    <xf numFmtId="4" fontId="0" fillId="0" borderId="0" xfId="0" applyNumberFormat="1"/>
    <xf numFmtId="165" fontId="86" fillId="0" borderId="0" xfId="3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0" fontId="75" fillId="0" borderId="3" xfId="0" applyFont="1" applyBorder="1" applyAlignment="1">
      <alignment horizontal="center"/>
    </xf>
    <xf numFmtId="0" fontId="75" fillId="0" borderId="3" xfId="0" applyFont="1" applyBorder="1"/>
    <xf numFmtId="0" fontId="75" fillId="0" borderId="69" xfId="0" applyFont="1" applyBorder="1" applyAlignment="1">
      <alignment horizontal="center"/>
    </xf>
    <xf numFmtId="0" fontId="75" fillId="0" borderId="69" xfId="0" applyFont="1" applyBorder="1"/>
    <xf numFmtId="0" fontId="75" fillId="0" borderId="16" xfId="0" applyFont="1" applyBorder="1" applyAlignment="1">
      <alignment horizontal="center"/>
    </xf>
    <xf numFmtId="0" fontId="75" fillId="0" borderId="16" xfId="0" applyFont="1" applyBorder="1"/>
    <xf numFmtId="0" fontId="75" fillId="0" borderId="52" xfId="0" applyFont="1" applyBorder="1" applyAlignment="1">
      <alignment horizontal="center"/>
    </xf>
    <xf numFmtId="0" fontId="75" fillId="0" borderId="52" xfId="0" applyFont="1" applyBorder="1"/>
    <xf numFmtId="0" fontId="75" fillId="0" borderId="34" xfId="0" applyFont="1" applyBorder="1" applyAlignment="1">
      <alignment horizontal="center"/>
    </xf>
    <xf numFmtId="0" fontId="75" fillId="0" borderId="34" xfId="0" applyFont="1" applyBorder="1"/>
    <xf numFmtId="165" fontId="71" fillId="7" borderId="0" xfId="3" applyFont="1" applyFill="1"/>
    <xf numFmtId="0" fontId="76" fillId="0" borderId="0" xfId="0" applyFont="1"/>
    <xf numFmtId="167" fontId="0" fillId="0" borderId="0" xfId="3" applyNumberFormat="1" applyFont="1"/>
    <xf numFmtId="49" fontId="70" fillId="0" borderId="23" xfId="3" applyNumberFormat="1" applyFont="1" applyFill="1" applyBorder="1" applyAlignment="1">
      <alignment horizontal="center" vertical="center"/>
    </xf>
    <xf numFmtId="168" fontId="70" fillId="0" borderId="26" xfId="3" applyNumberFormat="1" applyFont="1" applyFill="1" applyBorder="1" applyAlignment="1">
      <alignment horizontal="center" vertical="center"/>
    </xf>
    <xf numFmtId="165" fontId="70" fillId="8" borderId="7" xfId="3" applyFont="1" applyFill="1" applyBorder="1" applyAlignment="1">
      <alignment horizontal="center"/>
    </xf>
    <xf numFmtId="165" fontId="70" fillId="8" borderId="4" xfId="3" applyFont="1" applyFill="1" applyBorder="1"/>
    <xf numFmtId="165" fontId="71" fillId="0" borderId="17" xfId="3" applyFont="1" applyFill="1" applyBorder="1"/>
    <xf numFmtId="165" fontId="76" fillId="0" borderId="0" xfId="3" applyFont="1"/>
    <xf numFmtId="0" fontId="87" fillId="0" borderId="3" xfId="0" applyFont="1" applyBorder="1" applyAlignment="1">
      <alignment horizontal="center"/>
    </xf>
    <xf numFmtId="0" fontId="87" fillId="0" borderId="3" xfId="0" applyFont="1" applyBorder="1" applyAlignment="1">
      <alignment horizontal="center" vertical="center"/>
    </xf>
    <xf numFmtId="2" fontId="87" fillId="0" borderId="3" xfId="0" applyNumberFormat="1" applyFont="1" applyBorder="1" applyAlignment="1">
      <alignment vertical="center"/>
    </xf>
    <xf numFmtId="14" fontId="70" fillId="0" borderId="26" xfId="3" applyNumberFormat="1" applyFont="1" applyFill="1" applyBorder="1" applyAlignment="1">
      <alignment horizontal="center" vertical="center"/>
    </xf>
    <xf numFmtId="168" fontId="70" fillId="0" borderId="23" xfId="3" applyNumberFormat="1" applyFont="1" applyFill="1" applyBorder="1" applyAlignment="1">
      <alignment horizontal="center" vertical="center"/>
    </xf>
    <xf numFmtId="165" fontId="70" fillId="5" borderId="10" xfId="3" applyFont="1" applyFill="1" applyBorder="1"/>
    <xf numFmtId="165" fontId="70" fillId="5" borderId="58" xfId="3" applyFont="1" applyFill="1" applyBorder="1"/>
    <xf numFmtId="165" fontId="70" fillId="5" borderId="0" xfId="3" applyFont="1" applyFill="1" applyBorder="1"/>
    <xf numFmtId="165" fontId="70" fillId="8" borderId="9" xfId="3" applyFont="1" applyFill="1" applyBorder="1"/>
    <xf numFmtId="165" fontId="71" fillId="0" borderId="10" xfId="3" applyFont="1" applyFill="1" applyBorder="1"/>
    <xf numFmtId="165" fontId="71" fillId="0" borderId="10" xfId="3" applyFont="1" applyBorder="1"/>
    <xf numFmtId="0" fontId="77" fillId="0" borderId="57" xfId="0" applyFont="1" applyBorder="1"/>
    <xf numFmtId="0" fontId="70" fillId="6" borderId="56" xfId="0" applyFont="1" applyFill="1" applyBorder="1"/>
    <xf numFmtId="165" fontId="70" fillId="6" borderId="32" xfId="3" applyFont="1" applyFill="1" applyBorder="1"/>
    <xf numFmtId="0" fontId="70" fillId="6" borderId="70" xfId="0" applyFont="1" applyFill="1" applyBorder="1"/>
    <xf numFmtId="165" fontId="70" fillId="6" borderId="4" xfId="3" applyFont="1" applyFill="1" applyBorder="1"/>
    <xf numFmtId="0" fontId="70" fillId="6" borderId="31" xfId="0" applyFont="1" applyFill="1" applyBorder="1"/>
    <xf numFmtId="0" fontId="81" fillId="0" borderId="0" xfId="0" applyFont="1"/>
    <xf numFmtId="0" fontId="80" fillId="0" borderId="16" xfId="0" applyFont="1" applyBorder="1" applyAlignment="1">
      <alignment horizontal="left" indent="2"/>
    </xf>
    <xf numFmtId="165" fontId="73" fillId="0" borderId="16" xfId="0" applyNumberFormat="1" applyFont="1" applyBorder="1" applyAlignment="1">
      <alignment horizontal="center"/>
    </xf>
    <xf numFmtId="165" fontId="73" fillId="0" borderId="16" xfId="3" applyFont="1" applyFill="1" applyBorder="1"/>
    <xf numFmtId="0" fontId="76" fillId="0" borderId="0" xfId="0" applyFont="1" applyAlignment="1">
      <alignment vertical="center"/>
    </xf>
    <xf numFmtId="0" fontId="73" fillId="0" borderId="0" xfId="0" applyFont="1"/>
    <xf numFmtId="4" fontId="75" fillId="0" borderId="3" xfId="0" applyNumberFormat="1" applyFont="1" applyBorder="1"/>
    <xf numFmtId="169" fontId="75" fillId="0" borderId="3" xfId="3" applyNumberFormat="1" applyFont="1" applyBorder="1"/>
    <xf numFmtId="2" fontId="75" fillId="0" borderId="3" xfId="0" applyNumberFormat="1" applyFont="1" applyBorder="1"/>
    <xf numFmtId="0" fontId="78" fillId="0" borderId="3" xfId="0" applyFont="1" applyBorder="1" applyAlignment="1">
      <alignment horizontal="center"/>
    </xf>
    <xf numFmtId="0" fontId="78" fillId="0" borderId="3" xfId="0" applyFont="1" applyBorder="1"/>
    <xf numFmtId="165" fontId="73" fillId="0" borderId="34" xfId="3" applyFont="1" applyFill="1" applyBorder="1"/>
    <xf numFmtId="0" fontId="80" fillId="0" borderId="12" xfId="0" applyFont="1" applyBorder="1" applyAlignment="1">
      <alignment horizontal="left" indent="2"/>
    </xf>
    <xf numFmtId="0" fontId="90" fillId="0" borderId="0" xfId="0" applyFont="1"/>
    <xf numFmtId="0" fontId="81" fillId="0" borderId="3" xfId="0" applyFont="1" applyBorder="1"/>
    <xf numFmtId="0" fontId="91" fillId="0" borderId="0" xfId="0" applyFont="1"/>
    <xf numFmtId="15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center"/>
    </xf>
    <xf numFmtId="165" fontId="91" fillId="0" borderId="0" xfId="3" applyFont="1" applyBorder="1"/>
    <xf numFmtId="165" fontId="81" fillId="0" borderId="3" xfId="3" applyFont="1" applyBorder="1" applyAlignment="1">
      <alignment horizontal="center"/>
    </xf>
    <xf numFmtId="165" fontId="75" fillId="0" borderId="3" xfId="3" applyFont="1" applyBorder="1"/>
    <xf numFmtId="165" fontId="0" fillId="0" borderId="0" xfId="3" applyFont="1" applyBorder="1"/>
    <xf numFmtId="0" fontId="80" fillId="0" borderId="81" xfId="0" applyFont="1" applyBorder="1" applyAlignment="1">
      <alignment horizontal="left" indent="2"/>
    </xf>
    <xf numFmtId="165" fontId="73" fillId="0" borderId="81" xfId="3" applyFont="1" applyFill="1" applyBorder="1" applyAlignment="1">
      <alignment horizontal="center"/>
    </xf>
    <xf numFmtId="165" fontId="73" fillId="0" borderId="81" xfId="0" applyNumberFormat="1" applyFont="1" applyBorder="1" applyAlignment="1">
      <alignment horizontal="center"/>
    </xf>
    <xf numFmtId="165" fontId="73" fillId="0" borderId="81" xfId="3" applyFont="1" applyFill="1" applyBorder="1"/>
    <xf numFmtId="165" fontId="92" fillId="0" borderId="16" xfId="0" applyNumberFormat="1" applyFont="1" applyBorder="1" applyAlignment="1">
      <alignment horizontal="center"/>
    </xf>
    <xf numFmtId="165" fontId="70" fillId="0" borderId="0" xfId="3" applyFont="1" applyFill="1" applyBorder="1" applyAlignment="1">
      <alignment horizontal="left"/>
    </xf>
    <xf numFmtId="165" fontId="93" fillId="8" borderId="0" xfId="3" applyFont="1" applyFill="1"/>
    <xf numFmtId="165" fontId="85" fillId="8" borderId="0" xfId="3" applyFont="1" applyFill="1"/>
    <xf numFmtId="165" fontId="80" fillId="0" borderId="59" xfId="3" applyFont="1" applyFill="1" applyBorder="1" applyAlignment="1">
      <alignment horizontal="center" vertical="center"/>
    </xf>
    <xf numFmtId="0" fontId="80" fillId="0" borderId="10" xfId="0" applyFont="1" applyBorder="1" applyAlignment="1">
      <alignment horizontal="center"/>
    </xf>
    <xf numFmtId="0" fontId="80" fillId="4" borderId="73" xfId="0" applyFont="1" applyFill="1" applyBorder="1" applyAlignment="1">
      <alignment horizontal="center"/>
    </xf>
    <xf numFmtId="165" fontId="80" fillId="4" borderId="74" xfId="0" applyNumberFormat="1" applyFont="1" applyFill="1" applyBorder="1" applyAlignment="1">
      <alignment horizontal="center"/>
    </xf>
    <xf numFmtId="165" fontId="80" fillId="4" borderId="74" xfId="3" applyFont="1" applyFill="1" applyBorder="1" applyAlignment="1">
      <alignment horizontal="center"/>
    </xf>
    <xf numFmtId="165" fontId="80" fillId="4" borderId="73" xfId="3" applyFont="1" applyFill="1" applyBorder="1" applyAlignment="1">
      <alignment horizontal="center"/>
    </xf>
    <xf numFmtId="0" fontId="80" fillId="9" borderId="73" xfId="0" applyFont="1" applyFill="1" applyBorder="1"/>
    <xf numFmtId="165" fontId="80" fillId="9" borderId="73" xfId="0" applyNumberFormat="1" applyFont="1" applyFill="1" applyBorder="1" applyAlignment="1">
      <alignment horizontal="center"/>
    </xf>
    <xf numFmtId="165" fontId="80" fillId="9" borderId="74" xfId="3" applyFont="1" applyFill="1" applyBorder="1" applyAlignment="1">
      <alignment horizontal="center"/>
    </xf>
    <xf numFmtId="165" fontId="80" fillId="9" borderId="73" xfId="3" applyFont="1" applyFill="1" applyBorder="1" applyAlignment="1">
      <alignment horizontal="center"/>
    </xf>
    <xf numFmtId="165" fontId="80" fillId="9" borderId="73" xfId="3" applyFont="1" applyFill="1" applyBorder="1"/>
    <xf numFmtId="0" fontId="80" fillId="0" borderId="34" xfId="0" applyFont="1" applyBorder="1" applyAlignment="1">
      <alignment wrapText="1"/>
    </xf>
    <xf numFmtId="165" fontId="80" fillId="0" borderId="34" xfId="0" applyNumberFormat="1" applyFont="1" applyBorder="1" applyAlignment="1">
      <alignment horizontal="center"/>
    </xf>
    <xf numFmtId="165" fontId="80" fillId="0" borderId="34" xfId="3" applyFont="1" applyFill="1" applyBorder="1" applyAlignment="1">
      <alignment horizontal="center"/>
    </xf>
    <xf numFmtId="165" fontId="80" fillId="0" borderId="34" xfId="3" applyFont="1" applyFill="1" applyBorder="1"/>
    <xf numFmtId="1" fontId="80" fillId="0" borderId="16" xfId="0" applyNumberFormat="1" applyFont="1" applyBorder="1" applyAlignment="1">
      <alignment horizontal="left"/>
    </xf>
    <xf numFmtId="165" fontId="80" fillId="0" borderId="16" xfId="0" applyNumberFormat="1" applyFont="1" applyBorder="1" applyAlignment="1">
      <alignment horizontal="center"/>
    </xf>
    <xf numFmtId="165" fontId="80" fillId="0" borderId="16" xfId="3" applyFont="1" applyFill="1" applyBorder="1" applyAlignment="1">
      <alignment horizontal="center"/>
    </xf>
    <xf numFmtId="0" fontId="80" fillId="0" borderId="12" xfId="0" applyFont="1" applyBorder="1"/>
    <xf numFmtId="165" fontId="80" fillId="0" borderId="12" xfId="0" applyNumberFormat="1" applyFont="1" applyBorder="1" applyAlignment="1">
      <alignment horizontal="center"/>
    </xf>
    <xf numFmtId="165" fontId="80" fillId="0" borderId="12" xfId="3" applyFont="1" applyFill="1" applyBorder="1" applyAlignment="1">
      <alignment horizontal="center"/>
    </xf>
    <xf numFmtId="165" fontId="80" fillId="0" borderId="12" xfId="3" applyFont="1" applyFill="1" applyBorder="1"/>
    <xf numFmtId="0" fontId="80" fillId="9" borderId="73" xfId="0" applyFont="1" applyFill="1" applyBorder="1" applyAlignment="1">
      <alignment wrapText="1"/>
    </xf>
    <xf numFmtId="165" fontId="80" fillId="8" borderId="34" xfId="3" applyFont="1" applyFill="1" applyBorder="1"/>
    <xf numFmtId="165" fontId="80" fillId="8" borderId="34" xfId="3" applyFont="1" applyFill="1" applyBorder="1" applyAlignment="1">
      <alignment horizontal="center"/>
    </xf>
    <xf numFmtId="0" fontId="80" fillId="0" borderId="34" xfId="0" applyFont="1" applyBorder="1" applyAlignment="1">
      <alignment horizontal="left" indent="2"/>
    </xf>
    <xf numFmtId="165" fontId="80" fillId="0" borderId="34" xfId="3" applyFont="1" applyFill="1" applyBorder="1" applyAlignment="1">
      <alignment horizontal="right"/>
    </xf>
    <xf numFmtId="0" fontId="80" fillId="0" borderId="16" xfId="0" applyFont="1" applyBorder="1" applyAlignment="1">
      <alignment horizontal="left"/>
    </xf>
    <xf numFmtId="165" fontId="80" fillId="8" borderId="10" xfId="3" applyFont="1" applyFill="1" applyBorder="1"/>
    <xf numFmtId="165" fontId="80" fillId="0" borderId="10" xfId="3" applyFont="1" applyFill="1" applyBorder="1" applyAlignment="1">
      <alignment horizontal="right"/>
    </xf>
    <xf numFmtId="165" fontId="80" fillId="8" borderId="10" xfId="3" applyFont="1" applyFill="1" applyBorder="1" applyAlignment="1">
      <alignment horizontal="center"/>
    </xf>
    <xf numFmtId="0" fontId="80" fillId="8" borderId="34" xfId="0" applyFont="1" applyFill="1" applyBorder="1" applyAlignment="1">
      <alignment wrapText="1"/>
    </xf>
    <xf numFmtId="165" fontId="80" fillId="8" borderId="34" xfId="0" applyNumberFormat="1" applyFont="1" applyFill="1" applyBorder="1" applyAlignment="1">
      <alignment horizontal="center"/>
    </xf>
    <xf numFmtId="165" fontId="80" fillId="0" borderId="16" xfId="3" applyFont="1" applyFill="1" applyBorder="1"/>
    <xf numFmtId="0" fontId="80" fillId="8" borderId="16" xfId="0" applyFont="1" applyFill="1" applyBorder="1" applyAlignment="1">
      <alignment wrapText="1"/>
    </xf>
    <xf numFmtId="165" fontId="80" fillId="8" borderId="16" xfId="0" applyNumberFormat="1" applyFont="1" applyFill="1" applyBorder="1" applyAlignment="1">
      <alignment horizontal="center"/>
    </xf>
    <xf numFmtId="165" fontId="80" fillId="8" borderId="16" xfId="3" applyFont="1" applyFill="1" applyBorder="1"/>
    <xf numFmtId="0" fontId="80" fillId="0" borderId="16" xfId="3" applyNumberFormat="1" applyFont="1" applyFill="1" applyBorder="1"/>
    <xf numFmtId="165" fontId="80" fillId="8" borderId="16" xfId="3" applyFont="1" applyFill="1" applyBorder="1" applyAlignment="1">
      <alignment horizontal="center"/>
    </xf>
    <xf numFmtId="0" fontId="80" fillId="0" borderId="52" xfId="0" applyFont="1" applyBorder="1" applyAlignment="1">
      <alignment horizontal="left" indent="2"/>
    </xf>
    <xf numFmtId="165" fontId="80" fillId="0" borderId="52" xfId="0" applyNumberFormat="1" applyFont="1" applyBorder="1" applyAlignment="1">
      <alignment horizontal="center"/>
    </xf>
    <xf numFmtId="165" fontId="80" fillId="0" borderId="52" xfId="3" applyFont="1" applyFill="1" applyBorder="1" applyAlignment="1">
      <alignment horizontal="center"/>
    </xf>
    <xf numFmtId="165" fontId="80" fillId="0" borderId="52" xfId="3" applyFont="1" applyFill="1" applyBorder="1"/>
    <xf numFmtId="0" fontId="80" fillId="0" borderId="52" xfId="3" applyNumberFormat="1" applyFont="1" applyFill="1" applyBorder="1"/>
    <xf numFmtId="165" fontId="95" fillId="0" borderId="34" xfId="3" applyFont="1" applyFill="1" applyBorder="1"/>
    <xf numFmtId="165" fontId="95" fillId="8" borderId="34" xfId="3" applyFont="1" applyFill="1" applyBorder="1" applyAlignment="1">
      <alignment horizontal="center"/>
    </xf>
    <xf numFmtId="0" fontId="80" fillId="0" borderId="16" xfId="0" applyFont="1" applyBorder="1"/>
    <xf numFmtId="165" fontId="97" fillId="0" borderId="0" xfId="3" applyFont="1" applyAlignment="1">
      <alignment horizontal="right"/>
    </xf>
    <xf numFmtId="165" fontId="75" fillId="0" borderId="0" xfId="3" applyFont="1" applyFill="1" applyBorder="1"/>
    <xf numFmtId="165" fontId="78" fillId="0" borderId="0" xfId="3" applyFont="1" applyFill="1" applyBorder="1"/>
    <xf numFmtId="165" fontId="80" fillId="0" borderId="10" xfId="0" applyNumberFormat="1" applyFont="1" applyBorder="1" applyAlignment="1">
      <alignment horizontal="center"/>
    </xf>
    <xf numFmtId="165" fontId="80" fillId="0" borderId="10" xfId="3" applyFont="1" applyFill="1" applyBorder="1"/>
    <xf numFmtId="165" fontId="80" fillId="0" borderId="10" xfId="3" applyFont="1" applyFill="1" applyBorder="1" applyAlignment="1">
      <alignment horizontal="center"/>
    </xf>
    <xf numFmtId="165" fontId="95" fillId="0" borderId="10" xfId="3" applyFont="1" applyFill="1" applyBorder="1"/>
    <xf numFmtId="165" fontId="80" fillId="9" borderId="3" xfId="0" applyNumberFormat="1" applyFont="1" applyFill="1" applyBorder="1" applyAlignment="1">
      <alignment horizontal="center"/>
    </xf>
    <xf numFmtId="165" fontId="80" fillId="9" borderId="3" xfId="3" applyFont="1" applyFill="1" applyBorder="1"/>
    <xf numFmtId="165" fontId="95" fillId="9" borderId="3" xfId="3" applyFont="1" applyFill="1" applyBorder="1"/>
    <xf numFmtId="165" fontId="80" fillId="9" borderId="3" xfId="3" applyFont="1" applyFill="1" applyBorder="1" applyAlignment="1">
      <alignment horizontal="center"/>
    </xf>
    <xf numFmtId="165" fontId="92" fillId="0" borderId="0" xfId="0" applyNumberFormat="1" applyFont="1" applyAlignment="1">
      <alignment horizontal="center"/>
    </xf>
    <xf numFmtId="0" fontId="80" fillId="9" borderId="3" xfId="0" applyFont="1" applyFill="1" applyBorder="1" applyAlignment="1">
      <alignment horizontal="center"/>
    </xf>
    <xf numFmtId="0" fontId="80" fillId="8" borderId="34" xfId="0" applyFont="1" applyFill="1" applyBorder="1" applyAlignment="1">
      <alignment horizontal="left" wrapText="1"/>
    </xf>
    <xf numFmtId="0" fontId="80" fillId="8" borderId="16" xfId="0" applyFont="1" applyFill="1" applyBorder="1" applyAlignment="1">
      <alignment horizontal="center" wrapText="1"/>
    </xf>
    <xf numFmtId="0" fontId="80" fillId="8" borderId="69" xfId="0" applyFont="1" applyFill="1" applyBorder="1" applyAlignment="1">
      <alignment horizontal="left"/>
    </xf>
    <xf numFmtId="165" fontId="80" fillId="8" borderId="69" xfId="0" applyNumberFormat="1" applyFont="1" applyFill="1" applyBorder="1" applyAlignment="1">
      <alignment horizontal="center"/>
    </xf>
    <xf numFmtId="165" fontId="80" fillId="8" borderId="69" xfId="3" applyFont="1" applyFill="1" applyBorder="1"/>
    <xf numFmtId="165" fontId="95" fillId="8" borderId="69" xfId="3" applyFont="1" applyFill="1" applyBorder="1"/>
    <xf numFmtId="165" fontId="95" fillId="0" borderId="16" xfId="3" applyFont="1" applyFill="1" applyBorder="1"/>
    <xf numFmtId="0" fontId="80" fillId="9" borderId="73" xfId="0" applyFont="1" applyFill="1" applyBorder="1" applyAlignment="1">
      <alignment horizontal="center" wrapText="1"/>
    </xf>
    <xf numFmtId="0" fontId="80" fillId="9" borderId="3" xfId="0" applyFont="1" applyFill="1" applyBorder="1" applyAlignment="1">
      <alignment horizontal="center" wrapText="1"/>
    </xf>
    <xf numFmtId="165" fontId="70" fillId="0" borderId="0" xfId="0" applyNumberFormat="1" applyFont="1"/>
    <xf numFmtId="0" fontId="80" fillId="0" borderId="0" xfId="0" applyFont="1" applyAlignment="1">
      <alignment horizontal="left" indent="2"/>
    </xf>
    <xf numFmtId="0" fontId="78" fillId="0" borderId="0" xfId="0" applyFont="1" applyAlignment="1">
      <alignment horizontal="left" indent="2"/>
    </xf>
    <xf numFmtId="165" fontId="79" fillId="0" borderId="0" xfId="0" applyNumberFormat="1" applyFont="1" applyAlignment="1">
      <alignment horizontal="center"/>
    </xf>
    <xf numFmtId="165" fontId="79" fillId="0" borderId="0" xfId="3" applyFont="1" applyFill="1" applyBorder="1" applyAlignment="1">
      <alignment horizontal="center"/>
    </xf>
    <xf numFmtId="165" fontId="79" fillId="0" borderId="0" xfId="3" applyFont="1" applyFill="1" applyBorder="1"/>
    <xf numFmtId="0" fontId="79" fillId="0" borderId="0" xfId="3" applyNumberFormat="1" applyFont="1" applyFill="1" applyBorder="1"/>
    <xf numFmtId="0" fontId="80" fillId="10" borderId="0" xfId="0" applyFont="1" applyFill="1" applyAlignment="1">
      <alignment horizontal="center"/>
    </xf>
    <xf numFmtId="165" fontId="73" fillId="10" borderId="0" xfId="0" applyNumberFormat="1" applyFont="1" applyFill="1" applyAlignment="1">
      <alignment horizontal="center"/>
    </xf>
    <xf numFmtId="165" fontId="73" fillId="10" borderId="0" xfId="3" applyFont="1" applyFill="1" applyBorder="1" applyAlignment="1">
      <alignment horizontal="center"/>
    </xf>
    <xf numFmtId="165" fontId="73" fillId="10" borderId="0" xfId="3" applyFont="1" applyFill="1" applyBorder="1"/>
    <xf numFmtId="0" fontId="80" fillId="0" borderId="0" xfId="0" applyFont="1"/>
    <xf numFmtId="165" fontId="73" fillId="0" borderId="0" xfId="0" applyNumberFormat="1" applyFont="1" applyAlignment="1">
      <alignment horizontal="center"/>
    </xf>
    <xf numFmtId="165" fontId="73" fillId="0" borderId="0" xfId="3" applyFont="1" applyFill="1" applyBorder="1" applyAlignment="1">
      <alignment horizontal="center"/>
    </xf>
    <xf numFmtId="165" fontId="73" fillId="0" borderId="0" xfId="3" applyFont="1" applyFill="1" applyBorder="1"/>
    <xf numFmtId="165" fontId="78" fillId="0" borderId="0" xfId="0" applyNumberFormat="1" applyFont="1" applyAlignment="1">
      <alignment horizontal="center"/>
    </xf>
    <xf numFmtId="165" fontId="78" fillId="0" borderId="0" xfId="3" applyFont="1" applyFill="1" applyBorder="1" applyAlignment="1">
      <alignment horizontal="center"/>
    </xf>
    <xf numFmtId="0" fontId="80" fillId="10" borderId="0" xfId="0" applyFont="1" applyFill="1" applyAlignment="1">
      <alignment horizontal="left" indent="2"/>
    </xf>
    <xf numFmtId="165" fontId="73" fillId="10" borderId="0" xfId="3" applyFont="1" applyFill="1" applyBorder="1" applyAlignment="1">
      <alignment horizontal="left"/>
    </xf>
    <xf numFmtId="0" fontId="78" fillId="0" borderId="0" xfId="0" applyFont="1"/>
    <xf numFmtId="165" fontId="89" fillId="0" borderId="0" xfId="3" applyFont="1" applyFill="1" applyBorder="1"/>
    <xf numFmtId="0" fontId="78" fillId="9" borderId="0" xfId="0" applyFont="1" applyFill="1"/>
    <xf numFmtId="165" fontId="92" fillId="7" borderId="34" xfId="3" applyFont="1" applyFill="1" applyBorder="1" applyAlignment="1">
      <alignment horizontal="center"/>
    </xf>
    <xf numFmtId="165" fontId="92" fillId="7" borderId="16" xfId="0" applyNumberFormat="1" applyFont="1" applyFill="1" applyBorder="1" applyAlignment="1">
      <alignment horizontal="center"/>
    </xf>
    <xf numFmtId="165" fontId="95" fillId="8" borderId="34" xfId="3" applyFont="1" applyFill="1" applyBorder="1"/>
    <xf numFmtId="165" fontId="95" fillId="8" borderId="16" xfId="0" applyNumberFormat="1" applyFont="1" applyFill="1" applyBorder="1" applyAlignment="1">
      <alignment horizontal="center"/>
    </xf>
    <xf numFmtId="0" fontId="96" fillId="10" borderId="73" xfId="0" applyFont="1" applyFill="1" applyBorder="1" applyAlignment="1">
      <alignment horizontal="center"/>
    </xf>
    <xf numFmtId="165" fontId="96" fillId="10" borderId="73" xfId="0" applyNumberFormat="1" applyFont="1" applyFill="1" applyBorder="1" applyAlignment="1">
      <alignment horizontal="center"/>
    </xf>
    <xf numFmtId="165" fontId="96" fillId="10" borderId="73" xfId="3" applyFont="1" applyFill="1" applyBorder="1" applyAlignment="1">
      <alignment horizontal="center"/>
    </xf>
    <xf numFmtId="165" fontId="96" fillId="10" borderId="73" xfId="3" applyFont="1" applyFill="1" applyBorder="1"/>
    <xf numFmtId="0" fontId="96" fillId="0" borderId="0" xfId="0" applyFont="1"/>
    <xf numFmtId="165" fontId="96" fillId="0" borderId="34" xfId="0" applyNumberFormat="1" applyFont="1" applyBorder="1" applyAlignment="1">
      <alignment horizontal="center"/>
    </xf>
    <xf numFmtId="165" fontId="96" fillId="0" borderId="34" xfId="3" applyFont="1" applyFill="1" applyBorder="1" applyAlignment="1">
      <alignment horizontal="center"/>
    </xf>
    <xf numFmtId="165" fontId="96" fillId="0" borderId="34" xfId="3" applyFont="1" applyFill="1" applyBorder="1"/>
    <xf numFmtId="0" fontId="99" fillId="0" borderId="0" xfId="0" applyFont="1"/>
    <xf numFmtId="165" fontId="96" fillId="0" borderId="16" xfId="0" applyNumberFormat="1" applyFont="1" applyBorder="1" applyAlignment="1">
      <alignment horizontal="center"/>
    </xf>
    <xf numFmtId="165" fontId="96" fillId="0" borderId="16" xfId="3" applyFont="1" applyFill="1" applyBorder="1" applyAlignment="1">
      <alignment horizontal="center"/>
    </xf>
    <xf numFmtId="0" fontId="96" fillId="4" borderId="73" xfId="0" applyFont="1" applyFill="1" applyBorder="1" applyAlignment="1">
      <alignment horizontal="center"/>
    </xf>
    <xf numFmtId="165" fontId="96" fillId="4" borderId="74" xfId="0" applyNumberFormat="1" applyFont="1" applyFill="1" applyBorder="1" applyAlignment="1">
      <alignment horizontal="center"/>
    </xf>
    <xf numFmtId="165" fontId="96" fillId="4" borderId="74" xfId="3" applyFont="1" applyFill="1" applyBorder="1" applyAlignment="1">
      <alignment horizontal="center"/>
    </xf>
    <xf numFmtId="165" fontId="96" fillId="4" borderId="73" xfId="3" applyFont="1" applyFill="1" applyBorder="1" applyAlignment="1">
      <alignment horizontal="center"/>
    </xf>
    <xf numFmtId="0" fontId="80" fillId="0" borderId="10" xfId="0" applyFont="1" applyBorder="1"/>
    <xf numFmtId="0" fontId="96" fillId="0" borderId="16" xfId="0" applyFont="1" applyBorder="1" applyAlignment="1">
      <alignment horizontal="left"/>
    </xf>
    <xf numFmtId="165" fontId="100" fillId="8" borderId="0" xfId="3" applyFont="1" applyFill="1"/>
    <xf numFmtId="0" fontId="71" fillId="0" borderId="0" xfId="0" applyFont="1" applyAlignment="1">
      <alignment horizontal="center"/>
    </xf>
    <xf numFmtId="0" fontId="103" fillId="0" borderId="0" xfId="0" applyFont="1"/>
    <xf numFmtId="0" fontId="102" fillId="0" borderId="0" xfId="0" applyFont="1" applyAlignment="1">
      <alignment vertical="center"/>
    </xf>
    <xf numFmtId="165" fontId="94" fillId="0" borderId="59" xfId="3" applyFont="1" applyFill="1" applyBorder="1" applyAlignment="1">
      <alignment horizontal="center" vertical="center"/>
    </xf>
    <xf numFmtId="0" fontId="91" fillId="0" borderId="0" xfId="0" applyFont="1" applyAlignment="1">
      <alignment vertical="center"/>
    </xf>
    <xf numFmtId="165" fontId="94" fillId="0" borderId="82" xfId="3" applyFont="1" applyBorder="1" applyAlignment="1">
      <alignment horizontal="center" vertical="center" wrapText="1"/>
    </xf>
    <xf numFmtId="165" fontId="94" fillId="0" borderId="10" xfId="3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/>
    </xf>
    <xf numFmtId="165" fontId="94" fillId="4" borderId="74" xfId="3" applyFont="1" applyFill="1" applyBorder="1" applyAlignment="1">
      <alignment horizontal="center"/>
    </xf>
    <xf numFmtId="165" fontId="94" fillId="4" borderId="73" xfId="3" applyFont="1" applyFill="1" applyBorder="1" applyAlignment="1">
      <alignment horizontal="center"/>
    </xf>
    <xf numFmtId="0" fontId="94" fillId="0" borderId="0" xfId="0" applyFont="1"/>
    <xf numFmtId="0" fontId="94" fillId="0" borderId="34" xfId="0" applyFont="1" applyBorder="1" applyAlignment="1">
      <alignment horizontal="center" wrapText="1"/>
    </xf>
    <xf numFmtId="165" fontId="94" fillId="0" borderId="34" xfId="0" applyNumberFormat="1" applyFont="1" applyBorder="1" applyAlignment="1">
      <alignment horizontal="left"/>
    </xf>
    <xf numFmtId="165" fontId="104" fillId="8" borderId="34" xfId="3" applyFont="1" applyFill="1" applyBorder="1" applyAlignment="1">
      <alignment horizontal="center"/>
    </xf>
    <xf numFmtId="165" fontId="94" fillId="8" borderId="34" xfId="3" applyFont="1" applyFill="1" applyBorder="1"/>
    <xf numFmtId="165" fontId="105" fillId="7" borderId="34" xfId="3" applyFont="1" applyFill="1" applyBorder="1" applyAlignment="1">
      <alignment horizontal="center"/>
    </xf>
    <xf numFmtId="165" fontId="105" fillId="8" borderId="0" xfId="3" applyFont="1" applyFill="1" applyBorder="1" applyAlignment="1">
      <alignment horizontal="center"/>
    </xf>
    <xf numFmtId="165" fontId="94" fillId="0" borderId="16" xfId="0" applyNumberFormat="1" applyFont="1" applyBorder="1" applyAlignment="1">
      <alignment horizontal="left"/>
    </xf>
    <xf numFmtId="165" fontId="104" fillId="8" borderId="34" xfId="3" applyFont="1" applyFill="1" applyBorder="1" applyAlignment="1">
      <alignment horizontal="left"/>
    </xf>
    <xf numFmtId="165" fontId="94" fillId="0" borderId="16" xfId="3" applyFont="1" applyFill="1" applyBorder="1" applyAlignment="1">
      <alignment horizontal="center"/>
    </xf>
    <xf numFmtId="165" fontId="94" fillId="0" borderId="34" xfId="3" applyFont="1" applyFill="1" applyBorder="1"/>
    <xf numFmtId="165" fontId="94" fillId="0" borderId="12" xfId="0" applyNumberFormat="1" applyFont="1" applyBorder="1" applyAlignment="1">
      <alignment horizontal="left"/>
    </xf>
    <xf numFmtId="0" fontId="94" fillId="0" borderId="52" xfId="0" applyFont="1" applyBorder="1" applyAlignment="1">
      <alignment horizontal="center" wrapText="1"/>
    </xf>
    <xf numFmtId="165" fontId="94" fillId="0" borderId="52" xfId="0" applyNumberFormat="1" applyFont="1" applyBorder="1" applyAlignment="1">
      <alignment horizontal="left"/>
    </xf>
    <xf numFmtId="165" fontId="94" fillId="0" borderId="52" xfId="3" applyFont="1" applyFill="1" applyBorder="1" applyAlignment="1">
      <alignment horizontal="center"/>
    </xf>
    <xf numFmtId="165" fontId="104" fillId="8" borderId="52" xfId="3" applyFont="1" applyFill="1" applyBorder="1" applyAlignment="1">
      <alignment horizontal="center"/>
    </xf>
    <xf numFmtId="165" fontId="94" fillId="0" borderId="52" xfId="3" applyFont="1" applyFill="1" applyBorder="1"/>
    <xf numFmtId="0" fontId="80" fillId="0" borderId="34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80" fillId="0" borderId="12" xfId="0" applyFont="1" applyBorder="1" applyAlignment="1">
      <alignment horizontal="center"/>
    </xf>
    <xf numFmtId="0" fontId="96" fillId="0" borderId="34" xfId="0" applyFont="1" applyBorder="1" applyAlignment="1">
      <alignment horizontal="left"/>
    </xf>
    <xf numFmtId="0" fontId="96" fillId="0" borderId="16" xfId="0" applyFont="1" applyBorder="1"/>
    <xf numFmtId="0" fontId="106" fillId="0" borderId="0" xfId="0" applyFont="1"/>
    <xf numFmtId="0" fontId="96" fillId="0" borderId="0" xfId="0" applyFont="1" applyAlignment="1">
      <alignment horizontal="center"/>
    </xf>
    <xf numFmtId="165" fontId="96" fillId="0" borderId="0" xfId="3" applyFont="1"/>
    <xf numFmtId="165" fontId="96" fillId="0" borderId="0" xfId="3" applyFont="1" applyFill="1"/>
    <xf numFmtId="0" fontId="94" fillId="0" borderId="10" xfId="0" applyFont="1" applyBorder="1" applyAlignment="1">
      <alignment horizontal="center" vertical="center"/>
    </xf>
    <xf numFmtId="165" fontId="71" fillId="0" borderId="0" xfId="3" applyFont="1" applyAlignment="1"/>
    <xf numFmtId="165" fontId="94" fillId="0" borderId="82" xfId="3" applyFont="1" applyBorder="1" applyAlignment="1">
      <alignment vertical="center" wrapText="1"/>
    </xf>
    <xf numFmtId="165" fontId="94" fillId="0" borderId="52" xfId="3" applyFont="1" applyFill="1" applyBorder="1" applyAlignment="1"/>
    <xf numFmtId="165" fontId="80" fillId="0" borderId="34" xfId="3" applyFont="1" applyFill="1" applyBorder="1" applyAlignment="1"/>
    <xf numFmtId="165" fontId="80" fillId="0" borderId="12" xfId="3" applyFont="1" applyFill="1" applyBorder="1" applyAlignment="1"/>
    <xf numFmtId="165" fontId="80" fillId="9" borderId="73" xfId="0" applyNumberFormat="1" applyFont="1" applyFill="1" applyBorder="1"/>
    <xf numFmtId="165" fontId="100" fillId="8" borderId="0" xfId="3" applyFont="1" applyFill="1" applyAlignment="1"/>
    <xf numFmtId="165" fontId="93" fillId="8" borderId="0" xfId="3" applyFont="1" applyFill="1" applyAlignment="1"/>
    <xf numFmtId="165" fontId="85" fillId="8" borderId="0" xfId="3" applyFont="1" applyFill="1" applyAlignment="1"/>
    <xf numFmtId="165" fontId="96" fillId="0" borderId="0" xfId="3" applyFont="1" applyAlignment="1"/>
    <xf numFmtId="169" fontId="94" fillId="4" borderId="74" xfId="0" applyNumberFormat="1" applyFont="1" applyFill="1" applyBorder="1" applyAlignment="1">
      <alignment horizontal="center"/>
    </xf>
    <xf numFmtId="169" fontId="94" fillId="4" borderId="74" xfId="3" applyNumberFormat="1" applyFont="1" applyFill="1" applyBorder="1" applyAlignment="1">
      <alignment horizontal="center"/>
    </xf>
    <xf numFmtId="169" fontId="94" fillId="4" borderId="74" xfId="3" applyNumberFormat="1" applyFont="1" applyFill="1" applyBorder="1" applyAlignment="1"/>
    <xf numFmtId="169" fontId="94" fillId="0" borderId="34" xfId="0" applyNumberFormat="1" applyFont="1" applyBorder="1" applyAlignment="1">
      <alignment horizontal="left"/>
    </xf>
    <xf numFmtId="169" fontId="104" fillId="8" borderId="34" xfId="3" applyNumberFormat="1" applyFont="1" applyFill="1" applyBorder="1" applyAlignment="1">
      <alignment horizontal="center"/>
    </xf>
    <xf numFmtId="169" fontId="104" fillId="8" borderId="34" xfId="3" applyNumberFormat="1" applyFont="1" applyFill="1" applyBorder="1" applyAlignment="1"/>
    <xf numFmtId="169" fontId="94" fillId="8" borderId="34" xfId="3" applyNumberFormat="1" applyFont="1" applyFill="1" applyBorder="1" applyAlignment="1">
      <alignment horizontal="center"/>
    </xf>
    <xf numFmtId="169" fontId="104" fillId="8" borderId="52" xfId="3" applyNumberFormat="1" applyFont="1" applyFill="1" applyBorder="1" applyAlignment="1">
      <alignment horizontal="center"/>
    </xf>
    <xf numFmtId="169" fontId="94" fillId="8" borderId="34" xfId="3" applyNumberFormat="1" applyFont="1" applyFill="1" applyBorder="1"/>
    <xf numFmtId="169" fontId="94" fillId="0" borderId="52" xfId="3" applyNumberFormat="1" applyFont="1" applyFill="1" applyBorder="1"/>
    <xf numFmtId="169" fontId="94" fillId="4" borderId="73" xfId="3" applyNumberFormat="1" applyFont="1" applyFill="1" applyBorder="1" applyAlignment="1">
      <alignment horizontal="center"/>
    </xf>
    <xf numFmtId="169" fontId="104" fillId="8" borderId="34" xfId="3" applyNumberFormat="1" applyFont="1" applyFill="1" applyBorder="1"/>
    <xf numFmtId="169" fontId="71" fillId="0" borderId="0" xfId="3" applyNumberFormat="1" applyFont="1" applyFill="1"/>
    <xf numFmtId="169" fontId="94" fillId="0" borderId="10" xfId="3" applyNumberFormat="1" applyFont="1" applyBorder="1" applyAlignment="1">
      <alignment horizontal="center" vertical="center" wrapText="1"/>
    </xf>
    <xf numFmtId="169" fontId="80" fillId="0" borderId="34" xfId="3" applyNumberFormat="1" applyFont="1" applyFill="1" applyBorder="1"/>
    <xf numFmtId="169" fontId="80" fillId="0" borderId="12" xfId="3" applyNumberFormat="1" applyFont="1" applyFill="1" applyBorder="1"/>
    <xf numFmtId="169" fontId="80" fillId="9" borderId="73" xfId="3" applyNumberFormat="1" applyFont="1" applyFill="1" applyBorder="1"/>
    <xf numFmtId="169" fontId="96" fillId="0" borderId="0" xfId="3" applyNumberFormat="1" applyFont="1" applyFill="1"/>
    <xf numFmtId="169" fontId="71" fillId="0" borderId="0" xfId="0" applyNumberFormat="1" applyFont="1"/>
    <xf numFmtId="0" fontId="85" fillId="0" borderId="0" xfId="0" applyFont="1"/>
    <xf numFmtId="165" fontId="85" fillId="0" borderId="0" xfId="3" applyFont="1"/>
    <xf numFmtId="0" fontId="107" fillId="0" borderId="0" xfId="0" applyFont="1"/>
    <xf numFmtId="0" fontId="108" fillId="0" borderId="0" xfId="0" applyFont="1"/>
    <xf numFmtId="165" fontId="94" fillId="0" borderId="0" xfId="0" applyNumberFormat="1" applyFont="1"/>
    <xf numFmtId="165" fontId="91" fillId="0" borderId="0" xfId="0" applyNumberFormat="1" applyFont="1" applyAlignment="1">
      <alignment vertical="center"/>
    </xf>
    <xf numFmtId="0" fontId="80" fillId="0" borderId="0" xfId="0" applyFont="1" applyAlignment="1">
      <alignment horizontal="center"/>
    </xf>
    <xf numFmtId="165" fontId="80" fillId="0" borderId="10" xfId="3" applyFont="1" applyBorder="1" applyAlignment="1">
      <alignment horizontal="center" vertical="center" wrapText="1"/>
    </xf>
    <xf numFmtId="165" fontId="109" fillId="0" borderId="0" xfId="3" applyFont="1"/>
    <xf numFmtId="165" fontId="109" fillId="0" borderId="0" xfId="3" applyFont="1" applyFill="1"/>
    <xf numFmtId="165" fontId="99" fillId="0" borderId="0" xfId="3" applyFont="1"/>
    <xf numFmtId="165" fontId="103" fillId="0" borderId="0" xfId="3" applyFont="1"/>
    <xf numFmtId="165" fontId="86" fillId="0" borderId="0" xfId="3" applyFont="1"/>
    <xf numFmtId="0" fontId="97" fillId="8" borderId="16" xfId="0" applyFont="1" applyFill="1" applyBorder="1" applyAlignment="1">
      <alignment horizontal="left" wrapText="1"/>
    </xf>
    <xf numFmtId="0" fontId="110" fillId="0" borderId="0" xfId="0" applyFont="1"/>
    <xf numFmtId="165" fontId="110" fillId="0" borderId="0" xfId="3" applyFont="1"/>
    <xf numFmtId="167" fontId="71" fillId="0" borderId="0" xfId="0" applyNumberFormat="1" applyFont="1"/>
    <xf numFmtId="167" fontId="111" fillId="0" borderId="0" xfId="0" applyNumberFormat="1" applyFont="1"/>
    <xf numFmtId="165" fontId="70" fillId="0" borderId="34" xfId="0" applyNumberFormat="1" applyFont="1" applyBorder="1" applyAlignment="1">
      <alignment horizontal="left"/>
    </xf>
    <xf numFmtId="165" fontId="70" fillId="0" borderId="16" xfId="0" applyNumberFormat="1" applyFont="1" applyBorder="1" applyAlignment="1">
      <alignment horizontal="left"/>
    </xf>
    <xf numFmtId="165" fontId="70" fillId="0" borderId="12" xfId="0" applyNumberFormat="1" applyFont="1" applyBorder="1" applyAlignment="1">
      <alignment horizontal="left"/>
    </xf>
    <xf numFmtId="165" fontId="70" fillId="0" borderId="0" xfId="0" applyNumberFormat="1" applyFont="1" applyAlignment="1">
      <alignment horizontal="left"/>
    </xf>
    <xf numFmtId="167" fontId="71" fillId="0" borderId="0" xfId="3" applyNumberFormat="1" applyFont="1"/>
    <xf numFmtId="167" fontId="70" fillId="0" borderId="16" xfId="3" applyNumberFormat="1" applyFont="1" applyFill="1" applyBorder="1" applyAlignment="1">
      <alignment horizontal="left"/>
    </xf>
    <xf numFmtId="165" fontId="75" fillId="0" borderId="0" xfId="3" applyFont="1"/>
    <xf numFmtId="165" fontId="70" fillId="0" borderId="16" xfId="3" applyFont="1" applyFill="1" applyBorder="1" applyAlignment="1">
      <alignment horizontal="left"/>
    </xf>
    <xf numFmtId="165" fontId="75" fillId="7" borderId="0" xfId="3" applyFont="1" applyFill="1"/>
    <xf numFmtId="165" fontId="75" fillId="7" borderId="0" xfId="0" applyNumberFormat="1" applyFont="1" applyFill="1"/>
    <xf numFmtId="167" fontId="71" fillId="7" borderId="0" xfId="3" applyNumberFormat="1" applyFont="1" applyFill="1"/>
    <xf numFmtId="165" fontId="112" fillId="0" borderId="0" xfId="3" applyFont="1"/>
    <xf numFmtId="165" fontId="108" fillId="0" borderId="0" xfId="3" applyFont="1"/>
    <xf numFmtId="165" fontId="113" fillId="0" borderId="0" xfId="3" applyFont="1"/>
    <xf numFmtId="165" fontId="108" fillId="8" borderId="0" xfId="3" applyFont="1" applyFill="1"/>
    <xf numFmtId="0" fontId="84" fillId="0" borderId="0" xfId="0" applyFont="1"/>
    <xf numFmtId="165" fontId="85" fillId="8" borderId="0" xfId="0" applyNumberFormat="1" applyFont="1" applyFill="1"/>
    <xf numFmtId="165" fontId="84" fillId="0" borderId="0" xfId="3" applyFont="1"/>
    <xf numFmtId="165" fontId="80" fillId="0" borderId="59" xfId="3" applyFont="1" applyBorder="1" applyAlignment="1">
      <alignment horizontal="center" vertical="center" wrapText="1"/>
    </xf>
    <xf numFmtId="165" fontId="76" fillId="0" borderId="0" xfId="3" applyFont="1" applyFill="1"/>
    <xf numFmtId="165" fontId="96" fillId="0" borderId="0" xfId="0" applyNumberFormat="1" applyFont="1"/>
    <xf numFmtId="165" fontId="75" fillId="0" borderId="0" xfId="0" applyNumberFormat="1" applyFont="1"/>
    <xf numFmtId="165" fontId="104" fillId="7" borderId="34" xfId="3" applyFont="1" applyFill="1" applyBorder="1" applyAlignment="1">
      <alignment horizontal="center"/>
    </xf>
    <xf numFmtId="165" fontId="104" fillId="7" borderId="52" xfId="3" applyFont="1" applyFill="1" applyBorder="1" applyAlignment="1">
      <alignment horizontal="center"/>
    </xf>
    <xf numFmtId="0" fontId="75" fillId="8" borderId="0" xfId="0" applyFont="1" applyFill="1"/>
    <xf numFmtId="165" fontId="94" fillId="8" borderId="52" xfId="3" applyFont="1" applyFill="1" applyBorder="1"/>
    <xf numFmtId="165" fontId="94" fillId="8" borderId="34" xfId="3" applyFont="1" applyFill="1" applyBorder="1" applyAlignment="1">
      <alignment horizontal="center"/>
    </xf>
    <xf numFmtId="165" fontId="104" fillId="8" borderId="34" xfId="3" applyFont="1" applyFill="1" applyBorder="1"/>
    <xf numFmtId="165" fontId="94" fillId="4" borderId="91" xfId="3" applyFont="1" applyFill="1" applyBorder="1" applyAlignment="1">
      <alignment horizontal="center"/>
    </xf>
    <xf numFmtId="165" fontId="94" fillId="0" borderId="3" xfId="3" applyFont="1" applyFill="1" applyBorder="1" applyAlignment="1">
      <alignment horizontal="center" vertical="center"/>
    </xf>
    <xf numFmtId="165" fontId="94" fillId="0" borderId="3" xfId="3" applyFont="1" applyBorder="1" applyAlignment="1">
      <alignment horizontal="center" vertical="center" wrapText="1"/>
    </xf>
    <xf numFmtId="165" fontId="94" fillId="4" borderId="91" xfId="0" applyNumberFormat="1" applyFont="1" applyFill="1" applyBorder="1" applyAlignment="1">
      <alignment horizontal="center"/>
    </xf>
    <xf numFmtId="165" fontId="94" fillId="4" borderId="82" xfId="3" applyFont="1" applyFill="1" applyBorder="1" applyAlignment="1">
      <alignment horizontal="center"/>
    </xf>
    <xf numFmtId="165" fontId="94" fillId="0" borderId="55" xfId="3" applyFont="1" applyFill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165" fontId="94" fillId="0" borderId="4" xfId="3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/>
    </xf>
    <xf numFmtId="165" fontId="80" fillId="0" borderId="10" xfId="3" applyFont="1" applyFill="1" applyBorder="1" applyAlignment="1">
      <alignment horizontal="center" vertical="center"/>
    </xf>
    <xf numFmtId="165" fontId="80" fillId="0" borderId="10" xfId="3" applyFont="1" applyFill="1" applyBorder="1" applyAlignment="1">
      <alignment vertical="center"/>
    </xf>
    <xf numFmtId="165" fontId="80" fillId="0" borderId="10" xfId="3" applyFont="1" applyBorder="1" applyAlignment="1">
      <alignment vertical="center" wrapText="1"/>
    </xf>
    <xf numFmtId="165" fontId="95" fillId="0" borderId="16" xfId="3" applyFont="1" applyFill="1" applyBorder="1" applyAlignment="1">
      <alignment horizontal="center"/>
    </xf>
    <xf numFmtId="165" fontId="59" fillId="0" borderId="0" xfId="3" applyFont="1"/>
    <xf numFmtId="165" fontId="0" fillId="0" borderId="0" xfId="3" applyFont="1"/>
    <xf numFmtId="165" fontId="0" fillId="0" borderId="0" xfId="0" applyNumberFormat="1"/>
    <xf numFmtId="165" fontId="0" fillId="0" borderId="0" xfId="3" applyFont="1" applyAlignment="1">
      <alignment horizontal="center"/>
    </xf>
    <xf numFmtId="165" fontId="59" fillId="0" borderId="0" xfId="3" applyFont="1" applyAlignment="1">
      <alignment horizontal="center"/>
    </xf>
    <xf numFmtId="0" fontId="75" fillId="8" borderId="0" xfId="0" applyFont="1" applyFill="1" applyAlignment="1">
      <alignment horizontal="center" vertical="top"/>
    </xf>
    <xf numFmtId="0" fontId="75" fillId="8" borderId="0" xfId="0" applyFont="1" applyFill="1" applyAlignment="1">
      <alignment horizontal="left" vertical="top"/>
    </xf>
    <xf numFmtId="165" fontId="75" fillId="8" borderId="0" xfId="3" applyFont="1" applyFill="1" applyBorder="1" applyAlignment="1">
      <alignment vertical="top"/>
    </xf>
    <xf numFmtId="165" fontId="78" fillId="0" borderId="0" xfId="17" applyFont="1" applyFill="1" applyAlignment="1">
      <alignment horizontal="center" vertical="top"/>
    </xf>
    <xf numFmtId="0" fontId="75" fillId="8" borderId="0" xfId="0" applyFont="1" applyFill="1" applyAlignment="1">
      <alignment vertical="top"/>
    </xf>
    <xf numFmtId="1" fontId="75" fillId="8" borderId="0" xfId="0" applyNumberFormat="1" applyFont="1" applyFill="1"/>
    <xf numFmtId="49" fontId="75" fillId="8" borderId="0" xfId="0" applyNumberFormat="1" applyFont="1" applyFill="1"/>
    <xf numFmtId="0" fontId="116" fillId="0" borderId="0" xfId="0" applyFont="1"/>
    <xf numFmtId="1" fontId="116" fillId="8" borderId="0" xfId="0" applyNumberFormat="1" applyFont="1" applyFill="1"/>
    <xf numFmtId="49" fontId="116" fillId="0" borderId="0" xfId="0" applyNumberFormat="1" applyFont="1"/>
    <xf numFmtId="0" fontId="78" fillId="0" borderId="79" xfId="0" applyFont="1" applyBorder="1"/>
    <xf numFmtId="0" fontId="115" fillId="0" borderId="79" xfId="0" applyFont="1" applyBorder="1"/>
    <xf numFmtId="165" fontId="117" fillId="8" borderId="94" xfId="3" applyFont="1" applyFill="1" applyBorder="1" applyAlignment="1" applyProtection="1">
      <alignment vertical="top"/>
    </xf>
    <xf numFmtId="165" fontId="78" fillId="8" borderId="25" xfId="3" applyFont="1" applyFill="1" applyBorder="1" applyAlignment="1" applyProtection="1">
      <alignment horizontal="center" vertical="center" wrapText="1"/>
    </xf>
    <xf numFmtId="0" fontId="75" fillId="8" borderId="0" xfId="0" applyFont="1" applyFill="1" applyAlignment="1">
      <alignment vertical="center"/>
    </xf>
    <xf numFmtId="0" fontId="78" fillId="7" borderId="7" xfId="0" applyFont="1" applyFill="1" applyBorder="1" applyAlignment="1">
      <alignment horizontal="center" vertical="center" wrapText="1"/>
    </xf>
    <xf numFmtId="0" fontId="78" fillId="7" borderId="7" xfId="0" applyFont="1" applyFill="1" applyBorder="1" applyAlignment="1">
      <alignment horizontal="center" vertical="center"/>
    </xf>
    <xf numFmtId="165" fontId="78" fillId="7" borderId="7" xfId="3" applyFont="1" applyFill="1" applyBorder="1" applyAlignment="1" applyProtection="1">
      <alignment horizontal="center" vertical="center" wrapText="1"/>
    </xf>
    <xf numFmtId="165" fontId="78" fillId="7" borderId="102" xfId="3" applyFont="1" applyFill="1" applyBorder="1" applyAlignment="1" applyProtection="1">
      <alignment horizontal="center" vertical="center" wrapText="1"/>
    </xf>
    <xf numFmtId="165" fontId="78" fillId="7" borderId="103" xfId="3" applyFont="1" applyFill="1" applyBorder="1" applyAlignment="1" applyProtection="1">
      <alignment horizontal="center" vertical="center" wrapText="1"/>
    </xf>
    <xf numFmtId="165" fontId="78" fillId="7" borderId="7" xfId="3" applyFont="1" applyFill="1" applyBorder="1" applyAlignment="1" applyProtection="1">
      <alignment horizontal="center" vertical="center"/>
    </xf>
    <xf numFmtId="170" fontId="78" fillId="7" borderId="7" xfId="3" applyNumberFormat="1" applyFont="1" applyFill="1" applyBorder="1" applyAlignment="1" applyProtection="1">
      <alignment horizontal="center" vertical="center" wrapText="1"/>
    </xf>
    <xf numFmtId="1" fontId="75" fillId="8" borderId="0" xfId="0" applyNumberFormat="1" applyFont="1" applyFill="1" applyAlignment="1">
      <alignment vertical="center"/>
    </xf>
    <xf numFmtId="49" fontId="75" fillId="8" borderId="0" xfId="0" applyNumberFormat="1" applyFont="1" applyFill="1" applyAlignment="1">
      <alignment vertical="center"/>
    </xf>
    <xf numFmtId="0" fontId="78" fillId="12" borderId="10" xfId="0" applyFont="1" applyFill="1" applyBorder="1" applyAlignment="1">
      <alignment horizontal="center" vertical="center" wrapText="1"/>
    </xf>
    <xf numFmtId="0" fontId="78" fillId="12" borderId="10" xfId="0" applyFont="1" applyFill="1" applyBorder="1" applyAlignment="1">
      <alignment horizontal="center" vertical="center"/>
    </xf>
    <xf numFmtId="165" fontId="78" fillId="12" borderId="10" xfId="3" applyFont="1" applyFill="1" applyBorder="1" applyAlignment="1" applyProtection="1">
      <alignment horizontal="center" vertical="center" wrapText="1"/>
    </xf>
    <xf numFmtId="165" fontId="78" fillId="12" borderId="58" xfId="3" applyFont="1" applyFill="1" applyBorder="1" applyAlignment="1" applyProtection="1">
      <alignment horizontal="center" vertical="center" wrapText="1"/>
    </xf>
    <xf numFmtId="165" fontId="78" fillId="12" borderId="0" xfId="3" applyFont="1" applyFill="1" applyBorder="1" applyAlignment="1" applyProtection="1">
      <alignment horizontal="center" vertical="center" wrapText="1"/>
    </xf>
    <xf numFmtId="165" fontId="78" fillId="12" borderId="104" xfId="3" applyFont="1" applyFill="1" applyBorder="1" applyAlignment="1" applyProtection="1">
      <alignment horizontal="center" vertical="center" wrapText="1"/>
    </xf>
    <xf numFmtId="170" fontId="78" fillId="12" borderId="10" xfId="3" applyNumberFormat="1" applyFont="1" applyFill="1" applyBorder="1" applyAlignment="1" applyProtection="1">
      <alignment horizontal="center" vertical="center" wrapText="1"/>
    </xf>
    <xf numFmtId="0" fontId="75" fillId="12" borderId="0" xfId="0" applyFont="1" applyFill="1" applyAlignment="1">
      <alignment vertical="center"/>
    </xf>
    <xf numFmtId="0" fontId="78" fillId="9" borderId="96" xfId="0" applyFont="1" applyFill="1" applyBorder="1" applyAlignment="1">
      <alignment horizontal="center" vertical="center" wrapText="1"/>
    </xf>
    <xf numFmtId="0" fontId="78" fillId="9" borderId="73" xfId="0" applyFont="1" applyFill="1" applyBorder="1" applyAlignment="1">
      <alignment horizontal="center" vertical="center"/>
    </xf>
    <xf numFmtId="165" fontId="78" fillId="9" borderId="73" xfId="3" applyFont="1" applyFill="1" applyBorder="1" applyAlignment="1" applyProtection="1">
      <alignment horizontal="center" vertical="center" wrapText="1"/>
    </xf>
    <xf numFmtId="165" fontId="78" fillId="9" borderId="83" xfId="3" applyFont="1" applyFill="1" applyBorder="1" applyAlignment="1" applyProtection="1">
      <alignment horizontal="center" vertical="center" wrapText="1"/>
    </xf>
    <xf numFmtId="165" fontId="78" fillId="9" borderId="1" xfId="3" applyFont="1" applyFill="1" applyBorder="1" applyAlignment="1" applyProtection="1">
      <alignment horizontal="center" vertical="center" wrapText="1"/>
    </xf>
    <xf numFmtId="165" fontId="78" fillId="9" borderId="105" xfId="3" applyFont="1" applyFill="1" applyBorder="1" applyAlignment="1" applyProtection="1">
      <alignment horizontal="center" vertical="center" wrapText="1"/>
    </xf>
    <xf numFmtId="170" fontId="78" fillId="9" borderId="97" xfId="3" applyNumberFormat="1" applyFont="1" applyFill="1" applyBorder="1" applyAlignment="1" applyProtection="1">
      <alignment horizontal="center" vertical="center" wrapText="1"/>
    </xf>
    <xf numFmtId="0" fontId="78" fillId="8" borderId="19" xfId="0" applyFont="1" applyFill="1" applyBorder="1" applyAlignment="1">
      <alignment horizontal="center" vertical="center" wrapText="1"/>
    </xf>
    <xf numFmtId="0" fontId="78" fillId="8" borderId="19" xfId="0" applyFont="1" applyFill="1" applyBorder="1" applyAlignment="1">
      <alignment horizontal="center" vertical="center"/>
    </xf>
    <xf numFmtId="165" fontId="78" fillId="8" borderId="19" xfId="3" applyFont="1" applyFill="1" applyBorder="1" applyAlignment="1" applyProtection="1">
      <alignment horizontal="center" vertical="center" wrapText="1"/>
    </xf>
    <xf numFmtId="165" fontId="78" fillId="8" borderId="106" xfId="3" applyFont="1" applyFill="1" applyBorder="1" applyAlignment="1" applyProtection="1">
      <alignment horizontal="center" vertical="center" wrapText="1"/>
    </xf>
    <xf numFmtId="165" fontId="78" fillId="8" borderId="95" xfId="3" applyFont="1" applyFill="1" applyBorder="1" applyAlignment="1" applyProtection="1">
      <alignment horizontal="center" vertical="center" wrapText="1"/>
    </xf>
    <xf numFmtId="165" fontId="78" fillId="8" borderId="107" xfId="3" applyFont="1" applyFill="1" applyBorder="1" applyAlignment="1" applyProtection="1">
      <alignment horizontal="center" vertical="center" wrapText="1"/>
    </xf>
    <xf numFmtId="170" fontId="78" fillId="8" borderId="19" xfId="3" applyNumberFormat="1" applyFont="1" applyFill="1" applyBorder="1" applyAlignment="1" applyProtection="1">
      <alignment horizontal="center" vertical="center" wrapText="1"/>
    </xf>
    <xf numFmtId="0" fontId="75" fillId="8" borderId="34" xfId="0" applyFont="1" applyFill="1" applyBorder="1" applyAlignment="1">
      <alignment horizontal="center" vertical="center" wrapText="1"/>
    </xf>
    <xf numFmtId="0" fontId="75" fillId="0" borderId="34" xfId="15" applyFont="1" applyBorder="1" applyAlignment="1">
      <alignment vertical="center" wrapText="1"/>
    </xf>
    <xf numFmtId="165" fontId="75" fillId="8" borderId="34" xfId="3" applyFont="1" applyFill="1" applyBorder="1" applyAlignment="1" applyProtection="1">
      <alignment horizontal="center" vertical="center"/>
    </xf>
    <xf numFmtId="165" fontId="75" fillId="8" borderId="36" xfId="3" applyFont="1" applyFill="1" applyBorder="1" applyAlignment="1" applyProtection="1">
      <alignment horizontal="center" vertical="center"/>
    </xf>
    <xf numFmtId="165" fontId="89" fillId="8" borderId="108" xfId="3" applyFont="1" applyFill="1" applyBorder="1" applyAlignment="1">
      <alignment vertical="center"/>
    </xf>
    <xf numFmtId="165" fontId="75" fillId="8" borderId="109" xfId="3" applyFont="1" applyFill="1" applyBorder="1" applyAlignment="1" applyProtection="1">
      <alignment horizontal="center" vertical="center"/>
    </xf>
    <xf numFmtId="165" fontId="75" fillId="8" borderId="108" xfId="3" applyFont="1" applyFill="1" applyBorder="1" applyAlignment="1" applyProtection="1">
      <alignment horizontal="center" vertical="center"/>
    </xf>
    <xf numFmtId="165" fontId="78" fillId="8" borderId="34" xfId="3" applyFont="1" applyFill="1" applyBorder="1" applyAlignment="1" applyProtection="1">
      <alignment horizontal="center" vertical="center"/>
    </xf>
    <xf numFmtId="0" fontId="75" fillId="8" borderId="16" xfId="0" applyFont="1" applyFill="1" applyBorder="1" applyAlignment="1">
      <alignment horizontal="center" vertical="center" wrapText="1"/>
    </xf>
    <xf numFmtId="0" fontId="75" fillId="0" borderId="16" xfId="15" applyFont="1" applyBorder="1" applyAlignment="1">
      <alignment vertical="center" wrapText="1"/>
    </xf>
    <xf numFmtId="165" fontId="75" fillId="8" borderId="16" xfId="3" applyFont="1" applyFill="1" applyBorder="1" applyAlignment="1" applyProtection="1">
      <alignment horizontal="center" vertical="center"/>
    </xf>
    <xf numFmtId="165" fontId="75" fillId="8" borderId="110" xfId="3" applyFont="1" applyFill="1" applyBorder="1" applyAlignment="1" applyProtection="1">
      <alignment horizontal="center" vertical="center"/>
    </xf>
    <xf numFmtId="165" fontId="89" fillId="8" borderId="88" xfId="3" applyFont="1" applyFill="1" applyBorder="1" applyAlignment="1">
      <alignment vertical="center"/>
    </xf>
    <xf numFmtId="165" fontId="75" fillId="8" borderId="111" xfId="3" applyFont="1" applyFill="1" applyBorder="1" applyAlignment="1" applyProtection="1">
      <alignment horizontal="center" vertical="center"/>
    </xf>
    <xf numFmtId="165" fontId="75" fillId="8" borderId="88" xfId="3" applyFont="1" applyFill="1" applyBorder="1" applyAlignment="1" applyProtection="1">
      <alignment horizontal="center" vertical="center"/>
    </xf>
    <xf numFmtId="0" fontId="75" fillId="0" borderId="12" xfId="15" applyFont="1" applyBorder="1" applyAlignment="1">
      <alignment vertical="center" wrapText="1"/>
    </xf>
    <xf numFmtId="0" fontId="75" fillId="0" borderId="16" xfId="15" applyFont="1" applyBorder="1" applyAlignment="1">
      <alignment horizontal="left" vertical="center" wrapText="1"/>
    </xf>
    <xf numFmtId="165" fontId="75" fillId="0" borderId="16" xfId="3" applyFont="1" applyBorder="1" applyAlignment="1">
      <alignment vertical="center"/>
    </xf>
    <xf numFmtId="165" fontId="75" fillId="8" borderId="16" xfId="3" applyFont="1" applyFill="1" applyBorder="1" applyAlignment="1" applyProtection="1">
      <alignment horizontal="center" vertical="center" wrapText="1"/>
    </xf>
    <xf numFmtId="165" fontId="78" fillId="8" borderId="88" xfId="3" applyFont="1" applyFill="1" applyBorder="1" applyAlignment="1" applyProtection="1">
      <alignment horizontal="center" vertical="center"/>
    </xf>
    <xf numFmtId="165" fontId="78" fillId="8" borderId="111" xfId="3" applyFont="1" applyFill="1" applyBorder="1" applyAlignment="1" applyProtection="1">
      <alignment horizontal="center" vertical="center" wrapText="1"/>
    </xf>
    <xf numFmtId="165" fontId="78" fillId="8" borderId="88" xfId="3" applyFont="1" applyFill="1" applyBorder="1" applyAlignment="1" applyProtection="1">
      <alignment horizontal="center" vertical="center" wrapText="1"/>
    </xf>
    <xf numFmtId="0" fontId="75" fillId="8" borderId="16" xfId="0" applyFont="1" applyFill="1" applyBorder="1" applyAlignment="1">
      <alignment horizontal="left" vertical="center"/>
    </xf>
    <xf numFmtId="0" fontId="75" fillId="8" borderId="16" xfId="0" applyFont="1" applyFill="1" applyBorder="1" applyAlignment="1">
      <alignment vertical="center"/>
    </xf>
    <xf numFmtId="0" fontId="75" fillId="8" borderId="16" xfId="18" applyFont="1" applyFill="1" applyBorder="1" applyAlignment="1" applyProtection="1">
      <alignment vertical="center"/>
    </xf>
    <xf numFmtId="165" fontId="75" fillId="8" borderId="16" xfId="3" applyFont="1" applyFill="1" applyBorder="1" applyAlignment="1">
      <alignment vertical="center"/>
    </xf>
    <xf numFmtId="165" fontId="75" fillId="8" borderId="88" xfId="3" applyFont="1" applyFill="1" applyBorder="1" applyAlignment="1">
      <alignment vertical="center"/>
    </xf>
    <xf numFmtId="165" fontId="75" fillId="8" borderId="111" xfId="3" applyFont="1" applyFill="1" applyBorder="1" applyAlignment="1">
      <alignment vertical="center"/>
    </xf>
    <xf numFmtId="171" fontId="75" fillId="8" borderId="0" xfId="0" applyNumberFormat="1" applyFont="1" applyFill="1"/>
    <xf numFmtId="0" fontId="75" fillId="0" borderId="110" xfId="15" applyFont="1" applyBorder="1" applyAlignment="1">
      <alignment horizontal="left" vertical="center" wrapText="1"/>
    </xf>
    <xf numFmtId="165" fontId="75" fillId="0" borderId="88" xfId="3" applyFont="1" applyBorder="1" applyAlignment="1">
      <alignment vertical="center"/>
    </xf>
    <xf numFmtId="165" fontId="75" fillId="8" borderId="88" xfId="3" applyFont="1" applyFill="1" applyBorder="1" applyAlignment="1" applyProtection="1">
      <alignment horizontal="center" vertical="center" wrapText="1"/>
    </xf>
    <xf numFmtId="165" fontId="75" fillId="0" borderId="110" xfId="3" applyFont="1" applyBorder="1" applyAlignment="1">
      <alignment vertical="center"/>
    </xf>
    <xf numFmtId="165" fontId="75" fillId="0" borderId="89" xfId="3" applyFont="1" applyBorder="1" applyAlignment="1">
      <alignment vertical="center"/>
    </xf>
    <xf numFmtId="0" fontId="75" fillId="0" borderId="110" xfId="15" applyFont="1" applyBorder="1" applyAlignment="1">
      <alignment vertical="center" wrapText="1"/>
    </xf>
    <xf numFmtId="49" fontId="75" fillId="0" borderId="110" xfId="0" applyNumberFormat="1" applyFont="1" applyBorder="1" applyAlignment="1">
      <alignment vertical="center" wrapText="1"/>
    </xf>
    <xf numFmtId="165" fontId="75" fillId="8" borderId="112" xfId="3" applyFont="1" applyFill="1" applyBorder="1" applyAlignment="1" applyProtection="1">
      <alignment horizontal="center" vertical="center"/>
    </xf>
    <xf numFmtId="0" fontId="75" fillId="8" borderId="39" xfId="0" applyFont="1" applyFill="1" applyBorder="1"/>
    <xf numFmtId="165" fontId="75" fillId="8" borderId="113" xfId="3" applyFont="1" applyFill="1" applyBorder="1" applyAlignment="1" applyProtection="1">
      <alignment horizontal="center" vertical="center"/>
    </xf>
    <xf numFmtId="0" fontId="75" fillId="8" borderId="39" xfId="0" applyFont="1" applyFill="1" applyBorder="1" applyAlignment="1">
      <alignment vertical="center"/>
    </xf>
    <xf numFmtId="1" fontId="75" fillId="8" borderId="39" xfId="0" applyNumberFormat="1" applyFont="1" applyFill="1" applyBorder="1" applyAlignment="1">
      <alignment vertical="center"/>
    </xf>
    <xf numFmtId="49" fontId="75" fillId="8" borderId="39" xfId="0" applyNumberFormat="1" applyFont="1" applyFill="1" applyBorder="1" applyAlignment="1">
      <alignment vertical="center"/>
    </xf>
    <xf numFmtId="0" fontId="75" fillId="8" borderId="16" xfId="0" applyFont="1" applyFill="1" applyBorder="1" applyAlignment="1">
      <alignment horizontal="center" vertical="center"/>
    </xf>
    <xf numFmtId="0" fontId="75" fillId="8" borderId="110" xfId="0" applyFont="1" applyFill="1" applyBorder="1" applyAlignment="1">
      <alignment horizontal="left" vertical="center" wrapText="1"/>
    </xf>
    <xf numFmtId="0" fontId="75" fillId="8" borderId="90" xfId="0" applyFont="1" applyFill="1" applyBorder="1" applyAlignment="1">
      <alignment vertical="center"/>
    </xf>
    <xf numFmtId="1" fontId="75" fillId="8" borderId="90" xfId="0" applyNumberFormat="1" applyFont="1" applyFill="1" applyBorder="1" applyAlignment="1">
      <alignment vertical="center"/>
    </xf>
    <xf numFmtId="49" fontId="75" fillId="8" borderId="90" xfId="0" applyNumberFormat="1" applyFont="1" applyFill="1" applyBorder="1" applyAlignment="1">
      <alignment vertical="center"/>
    </xf>
    <xf numFmtId="0" fontId="75" fillId="8" borderId="89" xfId="0" applyFont="1" applyFill="1" applyBorder="1" applyAlignment="1">
      <alignment vertical="center"/>
    </xf>
    <xf numFmtId="0" fontId="75" fillId="0" borderId="16" xfId="0" applyFont="1" applyBorder="1" applyAlignment="1">
      <alignment horizontal="left" vertical="center" wrapText="1"/>
    </xf>
    <xf numFmtId="171" fontId="75" fillId="8" borderId="89" xfId="0" applyNumberFormat="1" applyFont="1" applyFill="1" applyBorder="1" applyAlignment="1">
      <alignment vertical="center"/>
    </xf>
    <xf numFmtId="49" fontId="75" fillId="8" borderId="89" xfId="0" applyNumberFormat="1" applyFont="1" applyFill="1" applyBorder="1" applyAlignment="1">
      <alignment vertical="center"/>
    </xf>
    <xf numFmtId="171" fontId="75" fillId="8" borderId="90" xfId="0" applyNumberFormat="1" applyFont="1" applyFill="1" applyBorder="1" applyAlignment="1">
      <alignment vertical="center"/>
    </xf>
    <xf numFmtId="170" fontId="75" fillId="0" borderId="16" xfId="3" applyNumberFormat="1" applyFont="1" applyFill="1" applyBorder="1" applyAlignment="1">
      <alignment horizontal="left" vertical="center" wrapText="1"/>
    </xf>
    <xf numFmtId="171" fontId="75" fillId="8" borderId="0" xfId="0" applyNumberFormat="1" applyFont="1" applyFill="1" applyAlignment="1">
      <alignment vertical="center"/>
    </xf>
    <xf numFmtId="0" fontId="75" fillId="8" borderId="52" xfId="0" applyFont="1" applyFill="1" applyBorder="1" applyAlignment="1">
      <alignment horizontal="center" vertical="center" wrapText="1"/>
    </xf>
    <xf numFmtId="49" fontId="75" fillId="0" borderId="52" xfId="0" applyNumberFormat="1" applyFont="1" applyBorder="1" applyAlignment="1">
      <alignment vertical="center" wrapText="1"/>
    </xf>
    <xf numFmtId="165" fontId="75" fillId="8" borderId="52" xfId="3" applyFont="1" applyFill="1" applyBorder="1" applyAlignment="1" applyProtection="1">
      <alignment horizontal="center" vertical="center" wrapText="1"/>
    </xf>
    <xf numFmtId="165" fontId="75" fillId="8" borderId="52" xfId="3" applyFont="1" applyFill="1" applyBorder="1" applyAlignment="1" applyProtection="1">
      <alignment horizontal="center" vertical="center"/>
    </xf>
    <xf numFmtId="165" fontId="78" fillId="8" borderId="67" xfId="3" applyFont="1" applyFill="1" applyBorder="1" applyAlignment="1" applyProtection="1">
      <alignment horizontal="center" vertical="center"/>
    </xf>
    <xf numFmtId="165" fontId="75" fillId="8" borderId="114" xfId="3" applyFont="1" applyFill="1" applyBorder="1" applyAlignment="1" applyProtection="1">
      <alignment horizontal="center" vertical="center"/>
    </xf>
    <xf numFmtId="165" fontId="78" fillId="8" borderId="67" xfId="3" applyFont="1" applyFill="1" applyBorder="1" applyAlignment="1" applyProtection="1">
      <alignment horizontal="center" vertical="center" wrapText="1"/>
    </xf>
    <xf numFmtId="0" fontId="75" fillId="8" borderId="52" xfId="0" applyFont="1" applyFill="1" applyBorder="1" applyAlignment="1">
      <alignment horizontal="left" vertical="center"/>
    </xf>
    <xf numFmtId="1" fontId="89" fillId="0" borderId="0" xfId="18" applyNumberFormat="1" applyFont="1" applyBorder="1" applyAlignment="1">
      <alignment horizontal="center"/>
    </xf>
    <xf numFmtId="165" fontId="75" fillId="8" borderId="0" xfId="3" applyFont="1" applyFill="1" applyBorder="1" applyAlignment="1" applyProtection="1">
      <alignment horizontal="center"/>
    </xf>
    <xf numFmtId="165" fontId="75" fillId="0" borderId="0" xfId="3" applyFont="1" applyFill="1" applyBorder="1" applyAlignment="1">
      <alignment horizontal="left" vertical="center" wrapText="1"/>
    </xf>
    <xf numFmtId="0" fontId="114" fillId="6" borderId="0" xfId="0" applyFont="1" applyFill="1"/>
    <xf numFmtId="4" fontId="114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114" fillId="8" borderId="0" xfId="0" applyFont="1" applyFill="1"/>
    <xf numFmtId="4" fontId="114" fillId="8" borderId="0" xfId="0" applyNumberFormat="1" applyFont="1" applyFill="1"/>
    <xf numFmtId="0" fontId="0" fillId="8" borderId="0" xfId="0" applyFill="1"/>
    <xf numFmtId="4" fontId="0" fillId="8" borderId="0" xfId="0" applyNumberFormat="1" applyFill="1"/>
    <xf numFmtId="165" fontId="114" fillId="6" borderId="0" xfId="3" applyFont="1" applyFill="1"/>
    <xf numFmtId="165" fontId="0" fillId="6" borderId="0" xfId="3" applyFont="1" applyFill="1"/>
    <xf numFmtId="165" fontId="114" fillId="8" borderId="0" xfId="3" applyFont="1" applyFill="1"/>
    <xf numFmtId="165" fontId="0" fillId="8" borderId="0" xfId="3" applyFont="1" applyFill="1"/>
    <xf numFmtId="0" fontId="126" fillId="0" borderId="3" xfId="15" applyFont="1" applyBorder="1" applyAlignment="1">
      <alignment horizontal="center"/>
    </xf>
    <xf numFmtId="2" fontId="126" fillId="0" borderId="55" xfId="15" applyNumberFormat="1" applyFont="1" applyBorder="1" applyAlignment="1">
      <alignment horizontal="center"/>
    </xf>
    <xf numFmtId="0" fontId="126" fillId="0" borderId="55" xfId="15" applyFont="1" applyBorder="1" applyAlignment="1">
      <alignment horizontal="center"/>
    </xf>
    <xf numFmtId="0" fontId="59" fillId="0" borderId="0" xfId="15"/>
    <xf numFmtId="0" fontId="126" fillId="0" borderId="0" xfId="15" applyFont="1"/>
    <xf numFmtId="49" fontId="126" fillId="13" borderId="87" xfId="15" applyNumberFormat="1" applyFont="1" applyFill="1" applyBorder="1" applyAlignment="1">
      <alignment horizontal="center"/>
    </xf>
    <xf numFmtId="0" fontId="126" fillId="0" borderId="87" xfId="15" applyFont="1" applyBorder="1" applyAlignment="1">
      <alignment shrinkToFit="1"/>
    </xf>
    <xf numFmtId="2" fontId="126" fillId="13" borderId="87" xfId="22" applyNumberFormat="1" applyFont="1" applyFill="1" applyBorder="1" applyAlignment="1" applyProtection="1">
      <alignment horizontal="right" shrinkToFit="1"/>
    </xf>
    <xf numFmtId="2" fontId="59" fillId="0" borderId="0" xfId="22" applyNumberFormat="1" applyFont="1"/>
    <xf numFmtId="2" fontId="59" fillId="0" borderId="0" xfId="15" applyNumberFormat="1"/>
    <xf numFmtId="0" fontId="127" fillId="0" borderId="0" xfId="15" applyFont="1"/>
    <xf numFmtId="49" fontId="126" fillId="13" borderId="0" xfId="15" applyNumberFormat="1" applyFont="1" applyFill="1" applyAlignment="1">
      <alignment horizontal="center"/>
    </xf>
    <xf numFmtId="0" fontId="126" fillId="13" borderId="0" xfId="15" applyFont="1" applyFill="1" applyAlignment="1">
      <alignment shrinkToFit="1"/>
    </xf>
    <xf numFmtId="2" fontId="126" fillId="13" borderId="0" xfId="22" applyNumberFormat="1" applyFont="1" applyFill="1" applyBorder="1" applyAlignment="1" applyProtection="1">
      <alignment horizontal="right" shrinkToFit="1"/>
    </xf>
    <xf numFmtId="2" fontId="0" fillId="0" borderId="0" xfId="22" applyNumberFormat="1" applyFont="1"/>
    <xf numFmtId="0" fontId="126" fillId="0" borderId="0" xfId="15" applyFont="1" applyAlignment="1">
      <alignment shrinkToFit="1"/>
    </xf>
    <xf numFmtId="0" fontId="127" fillId="0" borderId="3" xfId="15" applyFont="1" applyBorder="1" applyAlignment="1">
      <alignment horizontal="center"/>
    </xf>
    <xf numFmtId="0" fontId="59" fillId="0" borderId="87" xfId="15" applyBorder="1" applyAlignment="1">
      <alignment horizontal="left"/>
    </xf>
    <xf numFmtId="0" fontId="127" fillId="0" borderId="87" xfId="15" applyFont="1" applyBorder="1"/>
    <xf numFmtId="2" fontId="128" fillId="0" borderId="0" xfId="22" applyNumberFormat="1" applyFont="1" applyAlignment="1">
      <alignment horizontal="right"/>
    </xf>
    <xf numFmtId="2" fontId="128" fillId="0" borderId="0" xfId="22" applyNumberFormat="1" applyFont="1"/>
    <xf numFmtId="2" fontId="128" fillId="0" borderId="0" xfId="15" applyNumberFormat="1" applyFont="1"/>
    <xf numFmtId="0" fontId="59" fillId="0" borderId="0" xfId="15" applyAlignment="1">
      <alignment horizontal="left"/>
    </xf>
    <xf numFmtId="2" fontId="59" fillId="0" borderId="0" xfId="22" applyNumberFormat="1" applyFont="1" applyAlignment="1">
      <alignment horizontal="right"/>
    </xf>
    <xf numFmtId="0" fontId="127" fillId="0" borderId="55" xfId="15" applyFont="1" applyBorder="1" applyAlignment="1">
      <alignment horizontal="center"/>
    </xf>
    <xf numFmtId="0" fontId="127" fillId="0" borderId="55" xfId="15" applyFont="1" applyBorder="1" applyAlignment="1">
      <alignment horizontal="left"/>
    </xf>
    <xf numFmtId="0" fontId="128" fillId="0" borderId="87" xfId="15" applyFont="1" applyBorder="1" applyAlignment="1">
      <alignment horizontal="left"/>
    </xf>
    <xf numFmtId="0" fontId="59" fillId="0" borderId="87" xfId="15" applyBorder="1"/>
    <xf numFmtId="2" fontId="128" fillId="0" borderId="87" xfId="15" applyNumberFormat="1" applyFont="1" applyBorder="1"/>
    <xf numFmtId="2" fontId="59" fillId="0" borderId="87" xfId="15" applyNumberFormat="1" applyBorder="1"/>
    <xf numFmtId="0" fontId="128" fillId="0" borderId="0" xfId="15" applyFont="1"/>
    <xf numFmtId="0" fontId="129" fillId="0" borderId="0" xfId="33"/>
    <xf numFmtId="43" fontId="73" fillId="8" borderId="10" xfId="55" applyFont="1" applyFill="1" applyBorder="1" applyAlignment="1" applyProtection="1">
      <alignment horizontal="center" vertical="center" wrapText="1"/>
    </xf>
    <xf numFmtId="43" fontId="73" fillId="8" borderId="9" xfId="55" applyFont="1" applyFill="1" applyBorder="1" applyAlignment="1" applyProtection="1">
      <alignment horizontal="center" vertical="center" wrapText="1"/>
    </xf>
    <xf numFmtId="43" fontId="71" fillId="8" borderId="0" xfId="55" applyFont="1" applyFill="1" applyBorder="1" applyAlignment="1">
      <alignment vertical="top"/>
    </xf>
    <xf numFmtId="43" fontId="73" fillId="15" borderId="7" xfId="55" applyFont="1" applyFill="1" applyBorder="1" applyAlignment="1" applyProtection="1">
      <alignment horizontal="center" vertical="center" wrapText="1"/>
    </xf>
    <xf numFmtId="43" fontId="73" fillId="11" borderId="7" xfId="55" applyFont="1" applyFill="1" applyBorder="1" applyAlignment="1" applyProtection="1">
      <alignment horizontal="center" vertical="center" wrapText="1"/>
    </xf>
    <xf numFmtId="43" fontId="97" fillId="11" borderId="7" xfId="55" applyFont="1" applyFill="1" applyBorder="1" applyAlignment="1" applyProtection="1">
      <alignment horizontal="center" vertical="center" wrapText="1"/>
    </xf>
    <xf numFmtId="43" fontId="73" fillId="7" borderId="7" xfId="55" applyFont="1" applyFill="1" applyBorder="1" applyAlignment="1" applyProtection="1">
      <alignment horizontal="center" vertical="center" wrapText="1"/>
    </xf>
    <xf numFmtId="43" fontId="88" fillId="8" borderId="9" xfId="55" applyFont="1" applyFill="1" applyBorder="1" applyAlignment="1" applyProtection="1">
      <alignment horizontal="center" vertical="center" wrapText="1"/>
    </xf>
    <xf numFmtId="43" fontId="97" fillId="8" borderId="9" xfId="55" applyFont="1" applyFill="1" applyBorder="1" applyAlignment="1" applyProtection="1">
      <alignment horizontal="center" vertical="center" wrapText="1"/>
    </xf>
    <xf numFmtId="43" fontId="78" fillId="15" borderId="34" xfId="55" applyFont="1" applyFill="1" applyBorder="1" applyAlignment="1" applyProtection="1">
      <alignment horizontal="center" vertical="center" wrapText="1"/>
    </xf>
    <xf numFmtId="43" fontId="78" fillId="11" borderId="108" xfId="55" applyFont="1" applyFill="1" applyBorder="1" applyAlignment="1" applyProtection="1">
      <alignment horizontal="center" vertical="center" wrapText="1"/>
    </xf>
    <xf numFmtId="43" fontId="85" fillId="8" borderId="0" xfId="55" applyFont="1" applyFill="1" applyBorder="1" applyAlignment="1">
      <alignment vertical="top"/>
    </xf>
    <xf numFmtId="43" fontId="71" fillId="11" borderId="0" xfId="55" applyFont="1" applyFill="1" applyBorder="1" applyAlignment="1">
      <alignment vertical="top"/>
    </xf>
    <xf numFmtId="43" fontId="71" fillId="15" borderId="0" xfId="55" applyFont="1" applyFill="1" applyBorder="1" applyAlignment="1">
      <alignment vertical="top"/>
    </xf>
    <xf numFmtId="0" fontId="137" fillId="0" borderId="0" xfId="15" applyFont="1"/>
    <xf numFmtId="0" fontId="136" fillId="0" borderId="0" xfId="15" applyFont="1"/>
    <xf numFmtId="43" fontId="78" fillId="8" borderId="10" xfId="55" applyFont="1" applyFill="1" applyBorder="1" applyAlignment="1" applyProtection="1">
      <alignment horizontal="center" vertical="center" wrapText="1"/>
    </xf>
    <xf numFmtId="0" fontId="71" fillId="8" borderId="0" xfId="87" applyFont="1" applyFill="1"/>
    <xf numFmtId="0" fontId="122" fillId="8" borderId="0" xfId="87" applyFont="1" applyFill="1"/>
    <xf numFmtId="0" fontId="75" fillId="8" borderId="0" xfId="87" applyFont="1" applyFill="1"/>
    <xf numFmtId="0" fontId="75" fillId="6" borderId="55" xfId="87" applyFont="1" applyFill="1" applyBorder="1"/>
    <xf numFmtId="0" fontId="75" fillId="6" borderId="4" xfId="87" applyFont="1" applyFill="1" applyBorder="1"/>
    <xf numFmtId="0" fontId="76" fillId="8" borderId="0" xfId="87" applyFont="1" applyFill="1"/>
    <xf numFmtId="43" fontId="76" fillId="7" borderId="7" xfId="87" applyNumberFormat="1" applyFont="1" applyFill="1" applyBorder="1"/>
    <xf numFmtId="43" fontId="75" fillId="8" borderId="9" xfId="87" applyNumberFormat="1" applyFont="1" applyFill="1" applyBorder="1"/>
    <xf numFmtId="0" fontId="73" fillId="8" borderId="0" xfId="87" applyFont="1" applyFill="1"/>
    <xf numFmtId="43" fontId="73" fillId="8" borderId="9" xfId="87" applyNumberFormat="1" applyFont="1" applyFill="1" applyBorder="1"/>
    <xf numFmtId="0" fontId="75" fillId="8" borderId="0" xfId="87" applyFont="1" applyFill="1" applyAlignment="1">
      <alignment vertical="center"/>
    </xf>
    <xf numFmtId="43" fontId="75" fillId="6" borderId="108" xfId="87" applyNumberFormat="1" applyFont="1" applyFill="1" applyBorder="1"/>
    <xf numFmtId="43" fontId="75" fillId="8" borderId="4" xfId="87" applyNumberFormat="1" applyFont="1" applyFill="1" applyBorder="1" applyAlignment="1">
      <alignment vertical="center"/>
    </xf>
    <xf numFmtId="43" fontId="75" fillId="6" borderId="4" xfId="87" applyNumberFormat="1" applyFont="1" applyFill="1" applyBorder="1" applyAlignment="1">
      <alignment vertical="center"/>
    </xf>
    <xf numFmtId="0" fontId="71" fillId="8" borderId="0" xfId="87" applyFont="1" applyFill="1" applyAlignment="1">
      <alignment vertical="top"/>
    </xf>
    <xf numFmtId="0" fontId="85" fillId="8" borderId="0" xfId="87" applyFont="1" applyFill="1" applyAlignment="1">
      <alignment vertical="top"/>
    </xf>
    <xf numFmtId="0" fontId="85" fillId="8" borderId="0" xfId="87" applyFont="1" applyFill="1"/>
    <xf numFmtId="0" fontId="71" fillId="8" borderId="0" xfId="87" applyFont="1" applyFill="1" applyAlignment="1">
      <alignment vertical="center"/>
    </xf>
    <xf numFmtId="43" fontId="75" fillId="0" borderId="0" xfId="55" applyFont="1" applyFill="1" applyProtection="1"/>
    <xf numFmtId="43" fontId="75" fillId="0" borderId="0" xfId="55" applyFont="1" applyFill="1" applyBorder="1"/>
    <xf numFmtId="43" fontId="75" fillId="8" borderId="0" xfId="55" applyFont="1" applyFill="1" applyBorder="1"/>
    <xf numFmtId="43" fontId="140" fillId="8" borderId="0" xfId="55" applyFont="1" applyFill="1" applyBorder="1" applyAlignment="1"/>
    <xf numFmtId="43" fontId="140" fillId="8" borderId="0" xfId="55" applyFont="1" applyFill="1" applyBorder="1"/>
    <xf numFmtId="43" fontId="131" fillId="8" borderId="0" xfId="55" applyFont="1" applyFill="1" applyBorder="1"/>
    <xf numFmtId="0" fontId="76" fillId="0" borderId="0" xfId="15" applyFont="1"/>
    <xf numFmtId="0" fontId="93" fillId="0" borderId="0" xfId="15" applyFont="1"/>
    <xf numFmtId="0" fontId="75" fillId="0" borderId="0" xfId="15" applyFont="1"/>
    <xf numFmtId="43" fontId="75" fillId="6" borderId="0" xfId="87" applyNumberFormat="1" applyFont="1" applyFill="1"/>
    <xf numFmtId="43" fontId="78" fillId="15" borderId="0" xfId="55" applyFont="1" applyFill="1" applyBorder="1" applyAlignment="1" applyProtection="1">
      <alignment horizontal="center" vertical="center" wrapText="1"/>
    </xf>
    <xf numFmtId="43" fontId="78" fillId="11" borderId="0" xfId="55" applyFont="1" applyFill="1" applyBorder="1" applyAlignment="1" applyProtection="1">
      <alignment horizontal="center" vertical="center" wrapText="1"/>
    </xf>
    <xf numFmtId="43" fontId="75" fillId="8" borderId="0" xfId="87" applyNumberFormat="1" applyFont="1" applyFill="1" applyAlignment="1">
      <alignment vertical="center"/>
    </xf>
    <xf numFmtId="43" fontId="75" fillId="6" borderId="0" xfId="87" applyNumberFormat="1" applyFont="1" applyFill="1" applyAlignment="1">
      <alignment vertical="center"/>
    </xf>
    <xf numFmtId="0" fontId="75" fillId="6" borderId="0" xfId="87" applyFont="1" applyFill="1"/>
    <xf numFmtId="0" fontId="73" fillId="8" borderId="0" xfId="87" applyFont="1" applyFill="1" applyAlignment="1">
      <alignment vertical="center"/>
    </xf>
    <xf numFmtId="43" fontId="89" fillId="0" borderId="0" xfId="37" applyFont="1"/>
    <xf numFmtId="0" fontId="75" fillId="0" borderId="0" xfId="15" applyFont="1" applyAlignment="1">
      <alignment vertical="center"/>
    </xf>
    <xf numFmtId="43" fontId="78" fillId="8" borderId="9" xfId="55" applyFont="1" applyFill="1" applyBorder="1" applyAlignment="1" applyProtection="1">
      <alignment horizontal="center" vertical="center" wrapText="1"/>
    </xf>
    <xf numFmtId="0" fontId="150" fillId="0" borderId="0" xfId="15" applyFont="1"/>
    <xf numFmtId="0" fontId="150" fillId="0" borderId="0" xfId="15" applyFont="1" applyAlignment="1">
      <alignment horizontal="left"/>
    </xf>
    <xf numFmtId="0" fontId="148" fillId="0" borderId="0" xfId="15" applyFont="1"/>
    <xf numFmtId="43" fontId="148" fillId="0" borderId="0" xfId="55" applyFont="1" applyFill="1" applyBorder="1"/>
    <xf numFmtId="2" fontId="148" fillId="0" borderId="0" xfId="55" applyNumberFormat="1" applyFont="1" applyFill="1" applyBorder="1" applyAlignment="1">
      <alignment horizontal="center"/>
    </xf>
    <xf numFmtId="0" fontId="148" fillId="0" borderId="0" xfId="15" applyFont="1" applyAlignment="1">
      <alignment horizontal="center"/>
    </xf>
    <xf numFmtId="43" fontId="148" fillId="0" borderId="0" xfId="55" applyFont="1" applyFill="1" applyBorder="1" applyProtection="1"/>
    <xf numFmtId="43" fontId="148" fillId="0" borderId="0" xfId="55" applyFont="1" applyFill="1" applyProtection="1"/>
    <xf numFmtId="43" fontId="149" fillId="7" borderId="3" xfId="55" applyFont="1" applyFill="1" applyBorder="1" applyProtection="1"/>
    <xf numFmtId="0" fontId="149" fillId="7" borderId="80" xfId="15" applyFont="1" applyFill="1" applyBorder="1" applyAlignment="1">
      <alignment horizontal="center"/>
    </xf>
    <xf numFmtId="43" fontId="149" fillId="0" borderId="4" xfId="55" applyFont="1" applyFill="1" applyBorder="1" applyAlignment="1" applyProtection="1">
      <alignment vertical="center"/>
    </xf>
    <xf numFmtId="43" fontId="149" fillId="8" borderId="3" xfId="55" applyFont="1" applyFill="1" applyBorder="1" applyAlignment="1" applyProtection="1">
      <alignment horizontal="center" vertical="center" wrapText="1"/>
    </xf>
    <xf numFmtId="2" fontId="149" fillId="8" borderId="3" xfId="55" applyNumberFormat="1" applyFont="1" applyFill="1" applyBorder="1" applyAlignment="1" applyProtection="1">
      <alignment horizontal="center" vertical="center" wrapText="1"/>
    </xf>
    <xf numFmtId="0" fontId="152" fillId="7" borderId="7" xfId="15" applyFont="1" applyFill="1" applyBorder="1" applyAlignment="1">
      <alignment horizontal="center" vertical="center"/>
    </xf>
    <xf numFmtId="0" fontId="152" fillId="7" borderId="7" xfId="15" applyFont="1" applyFill="1" applyBorder="1" applyAlignment="1">
      <alignment vertical="center"/>
    </xf>
    <xf numFmtId="43" fontId="149" fillId="7" borderId="7" xfId="55" applyFont="1" applyFill="1" applyBorder="1" applyAlignment="1" applyProtection="1">
      <alignment horizontal="center"/>
    </xf>
    <xf numFmtId="43" fontId="148" fillId="7" borderId="0" xfId="55" applyFont="1" applyFill="1" applyProtection="1"/>
    <xf numFmtId="49" fontId="148" fillId="0" borderId="34" xfId="55" applyNumberFormat="1" applyFont="1" applyFill="1" applyBorder="1" applyAlignment="1">
      <alignment horizontal="center"/>
    </xf>
    <xf numFmtId="49" fontId="148" fillId="0" borderId="16" xfId="55" applyNumberFormat="1" applyFont="1" applyFill="1" applyBorder="1" applyAlignment="1">
      <alignment horizontal="center"/>
    </xf>
    <xf numFmtId="49" fontId="148" fillId="0" borderId="55" xfId="55" applyNumberFormat="1" applyFont="1" applyFill="1" applyBorder="1" applyAlignment="1">
      <alignment horizontal="center"/>
    </xf>
    <xf numFmtId="49" fontId="148" fillId="0" borderId="12" xfId="55" applyNumberFormat="1" applyFont="1" applyFill="1" applyBorder="1" applyAlignment="1">
      <alignment horizontal="center"/>
    </xf>
    <xf numFmtId="49" fontId="148" fillId="0" borderId="52" xfId="55" applyNumberFormat="1" applyFont="1" applyFill="1" applyBorder="1" applyAlignment="1">
      <alignment horizontal="center"/>
    </xf>
    <xf numFmtId="0" fontId="150" fillId="0" borderId="0" xfId="15" applyFont="1" applyAlignment="1">
      <alignment horizontal="center"/>
    </xf>
    <xf numFmtId="49" fontId="148" fillId="0" borderId="69" xfId="55" applyNumberFormat="1" applyFont="1" applyFill="1" applyBorder="1" applyAlignment="1">
      <alignment horizontal="center"/>
    </xf>
    <xf numFmtId="43" fontId="148" fillId="0" borderId="16" xfId="55" applyFont="1" applyFill="1" applyBorder="1" applyAlignment="1" applyProtection="1">
      <alignment horizontal="center"/>
    </xf>
    <xf numFmtId="43" fontId="148" fillId="0" borderId="52" xfId="55" applyFont="1" applyFill="1" applyBorder="1" applyAlignment="1" applyProtection="1">
      <alignment horizontal="center"/>
    </xf>
    <xf numFmtId="2" fontId="148" fillId="0" borderId="0" xfId="15" applyNumberFormat="1" applyFont="1" applyAlignment="1">
      <alignment horizontal="center"/>
    </xf>
    <xf numFmtId="43" fontId="148" fillId="0" borderId="0" xfId="55" applyFont="1" applyFill="1" applyBorder="1" applyAlignment="1" applyProtection="1">
      <alignment horizontal="center"/>
    </xf>
    <xf numFmtId="2" fontId="148" fillId="0" borderId="0" xfId="55" applyNumberFormat="1" applyFont="1" applyFill="1" applyBorder="1" applyAlignment="1" applyProtection="1">
      <alignment horizontal="center"/>
    </xf>
    <xf numFmtId="21" fontId="148" fillId="0" borderId="0" xfId="15" applyNumberFormat="1" applyFont="1"/>
    <xf numFmtId="43" fontId="148" fillId="0" borderId="0" xfId="15" applyNumberFormat="1" applyFont="1" applyAlignment="1">
      <alignment shrinkToFit="1"/>
    </xf>
    <xf numFmtId="0" fontId="157" fillId="0" borderId="0" xfId="15" applyFont="1" applyAlignment="1">
      <alignment horizontal="left"/>
    </xf>
    <xf numFmtId="0" fontId="148" fillId="0" borderId="0" xfId="15" applyFont="1" applyAlignment="1">
      <alignment horizontal="left"/>
    </xf>
    <xf numFmtId="43" fontId="148" fillId="0" borderId="0" xfId="55" applyFont="1" applyFill="1" applyBorder="1" applyAlignment="1">
      <alignment horizontal="left"/>
    </xf>
    <xf numFmtId="0" fontId="158" fillId="0" borderId="0" xfId="15" applyFont="1" applyAlignment="1">
      <alignment horizontal="left"/>
    </xf>
    <xf numFmtId="43" fontId="148" fillId="8" borderId="0" xfId="55" applyFont="1" applyFill="1" applyBorder="1" applyAlignment="1"/>
    <xf numFmtId="43" fontId="148" fillId="8" borderId="0" xfId="55" applyFont="1" applyFill="1" applyBorder="1"/>
    <xf numFmtId="2" fontId="148" fillId="8" borderId="0" xfId="55" applyNumberFormat="1" applyFont="1" applyFill="1" applyBorder="1" applyAlignment="1">
      <alignment horizontal="center"/>
    </xf>
    <xf numFmtId="43" fontId="154" fillId="8" borderId="0" xfId="55" applyFont="1" applyFill="1" applyBorder="1"/>
    <xf numFmtId="43" fontId="154" fillId="0" borderId="0" xfId="15" applyNumberFormat="1" applyFont="1" applyAlignment="1">
      <alignment horizontal="left"/>
    </xf>
    <xf numFmtId="0" fontId="154" fillId="0" borderId="0" xfId="15" applyFont="1" applyAlignment="1">
      <alignment horizontal="left" indent="2"/>
    </xf>
    <xf numFmtId="43" fontId="154" fillId="0" borderId="0" xfId="55" applyFont="1" applyFill="1" applyBorder="1" applyAlignment="1">
      <alignment horizontal="left"/>
    </xf>
    <xf numFmtId="0" fontId="154" fillId="0" borderId="0" xfId="15" applyFont="1" applyAlignment="1">
      <alignment horizontal="left"/>
    </xf>
    <xf numFmtId="43" fontId="159" fillId="8" borderId="0" xfId="55" applyFont="1" applyFill="1" applyBorder="1" applyAlignment="1"/>
    <xf numFmtId="43" fontId="159" fillId="8" borderId="0" xfId="55" applyFont="1" applyFill="1" applyBorder="1"/>
    <xf numFmtId="0" fontId="154" fillId="0" borderId="0" xfId="15" applyFont="1"/>
    <xf numFmtId="43" fontId="154" fillId="0" borderId="0" xfId="55" applyFont="1" applyFill="1" applyBorder="1"/>
    <xf numFmtId="43" fontId="154" fillId="18" borderId="0" xfId="15" applyNumberFormat="1" applyFont="1" applyFill="1" applyAlignment="1">
      <alignment horizontal="left"/>
    </xf>
    <xf numFmtId="0" fontId="154" fillId="0" borderId="0" xfId="15" applyFont="1" applyAlignment="1">
      <alignment horizontal="center"/>
    </xf>
    <xf numFmtId="43" fontId="159" fillId="0" borderId="0" xfId="55" applyFont="1" applyFill="1" applyBorder="1" applyAlignment="1"/>
    <xf numFmtId="43" fontId="160" fillId="8" borderId="0" xfId="55" applyFont="1" applyFill="1" applyBorder="1"/>
    <xf numFmtId="43" fontId="161" fillId="8" borderId="0" xfId="55" applyFont="1" applyFill="1" applyBorder="1" applyAlignment="1"/>
    <xf numFmtId="43" fontId="149" fillId="0" borderId="0" xfId="55" applyFont="1" applyFill="1" applyBorder="1"/>
    <xf numFmtId="43" fontId="162" fillId="0" borderId="0" xfId="55" applyFont="1" applyFill="1" applyBorder="1" applyAlignment="1"/>
    <xf numFmtId="43" fontId="154" fillId="7" borderId="0" xfId="15" applyNumberFormat="1" applyFont="1" applyFill="1" applyAlignment="1">
      <alignment horizontal="left"/>
    </xf>
    <xf numFmtId="43" fontId="153" fillId="0" borderId="0" xfId="55" applyFont="1" applyFill="1" applyBorder="1"/>
    <xf numFmtId="2" fontId="154" fillId="0" borderId="0" xfId="55" applyNumberFormat="1" applyFont="1" applyFill="1" applyBorder="1" applyAlignment="1">
      <alignment horizontal="center"/>
    </xf>
    <xf numFmtId="43" fontId="155" fillId="6" borderId="0" xfId="15" applyNumberFormat="1" applyFont="1" applyFill="1" applyAlignment="1">
      <alignment horizontal="left"/>
    </xf>
    <xf numFmtId="43" fontId="156" fillId="0" borderId="0" xfId="55" applyFont="1" applyFill="1" applyBorder="1"/>
    <xf numFmtId="0" fontId="109" fillId="0" borderId="0" xfId="10" applyFont="1"/>
    <xf numFmtId="43" fontId="109" fillId="0" borderId="0" xfId="37" applyFont="1" applyAlignment="1"/>
    <xf numFmtId="0" fontId="89" fillId="0" borderId="0" xfId="10" applyFont="1"/>
    <xf numFmtId="43" fontId="109" fillId="0" borderId="0" xfId="37" applyFont="1" applyBorder="1" applyAlignment="1"/>
    <xf numFmtId="0" fontId="109" fillId="0" borderId="0" xfId="10" applyFont="1" applyAlignment="1">
      <alignment horizontal="center"/>
    </xf>
    <xf numFmtId="0" fontId="166" fillId="0" borderId="0" xfId="10" applyFont="1" applyAlignment="1">
      <alignment horizontal="center"/>
    </xf>
    <xf numFmtId="43" fontId="78" fillId="0" borderId="0" xfId="37" applyFont="1" applyAlignment="1">
      <alignment vertical="center"/>
    </xf>
    <xf numFmtId="0" fontId="78" fillId="0" borderId="0" xfId="10" applyFont="1" applyAlignment="1">
      <alignment vertical="center"/>
    </xf>
    <xf numFmtId="0" fontId="88" fillId="0" borderId="10" xfId="10" applyFont="1" applyBorder="1" applyAlignment="1">
      <alignment horizontal="center" vertical="center" wrapText="1"/>
    </xf>
    <xf numFmtId="43" fontId="78" fillId="0" borderId="10" xfId="37" applyFont="1" applyBorder="1" applyAlignment="1">
      <alignment horizontal="center" vertical="center"/>
    </xf>
    <xf numFmtId="43" fontId="78" fillId="0" borderId="3" xfId="37" applyFont="1" applyBorder="1" applyAlignment="1">
      <alignment horizontal="center" vertical="center" wrapText="1"/>
    </xf>
    <xf numFmtId="43" fontId="78" fillId="0" borderId="10" xfId="37" applyFont="1" applyBorder="1" applyAlignment="1">
      <alignment horizontal="center" vertical="center" wrapText="1"/>
    </xf>
    <xf numFmtId="0" fontId="78" fillId="0" borderId="10" xfId="10" applyFont="1" applyBorder="1" applyAlignment="1">
      <alignment horizontal="center" vertical="center"/>
    </xf>
    <xf numFmtId="0" fontId="88" fillId="16" borderId="7" xfId="10" applyFont="1" applyFill="1" applyBorder="1" applyAlignment="1">
      <alignment horizontal="center" vertical="center"/>
    </xf>
    <xf numFmtId="0" fontId="88" fillId="16" borderId="7" xfId="10" applyFont="1" applyFill="1" applyBorder="1" applyAlignment="1">
      <alignment horizontal="left" vertical="center"/>
    </xf>
    <xf numFmtId="170" fontId="78" fillId="16" borderId="7" xfId="37" applyNumberFormat="1" applyFont="1" applyFill="1" applyBorder="1"/>
    <xf numFmtId="43" fontId="78" fillId="16" borderId="7" xfId="37" applyFont="1" applyFill="1" applyBorder="1"/>
    <xf numFmtId="43" fontId="115" fillId="16" borderId="7" xfId="37" applyFont="1" applyFill="1" applyBorder="1"/>
    <xf numFmtId="165" fontId="78" fillId="16" borderId="7" xfId="10" applyNumberFormat="1" applyFont="1" applyFill="1" applyBorder="1"/>
    <xf numFmtId="43" fontId="78" fillId="0" borderId="0" xfId="37" applyFont="1"/>
    <xf numFmtId="0" fontId="78" fillId="0" borderId="0" xfId="10" applyFont="1"/>
    <xf numFmtId="165" fontId="78" fillId="0" borderId="0" xfId="10" applyNumberFormat="1" applyFont="1"/>
    <xf numFmtId="43" fontId="110" fillId="0" borderId="0" xfId="37" applyFont="1"/>
    <xf numFmtId="0" fontId="110" fillId="0" borderId="0" xfId="10" applyFont="1"/>
    <xf numFmtId="0" fontId="110" fillId="0" borderId="0" xfId="10" applyFont="1" applyAlignment="1">
      <alignment horizontal="center"/>
    </xf>
    <xf numFmtId="0" fontId="89" fillId="0" borderId="0" xfId="10" applyFont="1" applyAlignment="1">
      <alignment horizontal="center"/>
    </xf>
    <xf numFmtId="0" fontId="89" fillId="0" borderId="0" xfId="10" applyFont="1" applyAlignment="1">
      <alignment horizontal="left"/>
    </xf>
    <xf numFmtId="43" fontId="167" fillId="0" borderId="0" xfId="37" applyFont="1"/>
    <xf numFmtId="0" fontId="75" fillId="0" borderId="34" xfId="10" applyFont="1" applyBorder="1" applyAlignment="1">
      <alignment horizontal="center"/>
    </xf>
    <xf numFmtId="0" fontId="75" fillId="0" borderId="34" xfId="10" applyFont="1" applyBorder="1"/>
    <xf numFmtId="43" fontId="75" fillId="0" borderId="34" xfId="37" applyFont="1" applyFill="1" applyBorder="1"/>
    <xf numFmtId="43" fontId="75" fillId="0" borderId="34" xfId="10" applyNumberFormat="1" applyFont="1" applyBorder="1"/>
    <xf numFmtId="165" fontId="75" fillId="0" borderId="16" xfId="10" applyNumberFormat="1" applyFont="1" applyBorder="1"/>
    <xf numFmtId="43" fontId="75" fillId="0" borderId="0" xfId="37" applyFont="1" applyFill="1"/>
    <xf numFmtId="0" fontId="75" fillId="0" borderId="0" xfId="10" applyFont="1"/>
    <xf numFmtId="165" fontId="75" fillId="0" borderId="0" xfId="10" applyNumberFormat="1" applyFont="1"/>
    <xf numFmtId="0" fontId="75" fillId="0" borderId="16" xfId="10" applyFont="1" applyBorder="1" applyAlignment="1">
      <alignment horizontal="center"/>
    </xf>
    <xf numFmtId="0" fontId="75" fillId="0" borderId="16" xfId="10" applyFont="1" applyBorder="1"/>
    <xf numFmtId="43" fontId="75" fillId="0" borderId="16" xfId="37" applyFont="1" applyFill="1" applyBorder="1"/>
    <xf numFmtId="0" fontId="75" fillId="0" borderId="12" xfId="10" applyFont="1" applyBorder="1" applyAlignment="1">
      <alignment horizontal="center"/>
    </xf>
    <xf numFmtId="0" fontId="75" fillId="0" borderId="12" xfId="10" applyFont="1" applyBorder="1"/>
    <xf numFmtId="43" fontId="75" fillId="0" borderId="12" xfId="37" applyFont="1" applyFill="1" applyBorder="1"/>
    <xf numFmtId="43" fontId="75" fillId="0" borderId="10" xfId="37" applyFont="1" applyFill="1" applyBorder="1"/>
    <xf numFmtId="0" fontId="75" fillId="0" borderId="52" xfId="10" applyFont="1" applyBorder="1" applyAlignment="1">
      <alignment horizontal="center"/>
    </xf>
    <xf numFmtId="0" fontId="75" fillId="0" borderId="52" xfId="10" applyFont="1" applyBorder="1"/>
    <xf numFmtId="43" fontId="75" fillId="0" borderId="52" xfId="37" applyFont="1" applyFill="1" applyBorder="1"/>
    <xf numFmtId="0" fontId="75" fillId="0" borderId="69" xfId="10" applyFont="1" applyBorder="1" applyAlignment="1">
      <alignment horizontal="center"/>
    </xf>
    <xf numFmtId="0" fontId="75" fillId="0" borderId="69" xfId="10" applyFont="1" applyBorder="1"/>
    <xf numFmtId="43" fontId="75" fillId="0" borderId="69" xfId="37" applyFont="1" applyFill="1" applyBorder="1"/>
    <xf numFmtId="0" fontId="110" fillId="0" borderId="52" xfId="10" applyFont="1" applyBorder="1" applyAlignment="1">
      <alignment horizontal="center"/>
    </xf>
    <xf numFmtId="0" fontId="110" fillId="0" borderId="52" xfId="10" applyFont="1" applyBorder="1"/>
    <xf numFmtId="43" fontId="110" fillId="0" borderId="52" xfId="37" applyFont="1" applyFill="1" applyBorder="1"/>
    <xf numFmtId="43" fontId="110" fillId="0" borderId="0" xfId="37" applyFont="1" applyFill="1"/>
    <xf numFmtId="0" fontId="110" fillId="0" borderId="87" xfId="10" applyFont="1" applyBorder="1" applyAlignment="1">
      <alignment horizontal="center"/>
    </xf>
    <xf numFmtId="0" fontId="110" fillId="0" borderId="87" xfId="10" applyFont="1" applyBorder="1"/>
    <xf numFmtId="43" fontId="110" fillId="0" borderId="87" xfId="37" applyFont="1" applyFill="1" applyBorder="1"/>
    <xf numFmtId="0" fontId="75" fillId="0" borderId="34" xfId="10" applyFont="1" applyBorder="1" applyAlignment="1">
      <alignment horizontal="center" vertical="top"/>
    </xf>
    <xf numFmtId="0" fontId="75" fillId="0" borderId="34" xfId="10" applyFont="1" applyBorder="1" applyAlignment="1">
      <alignment horizontal="left" vertical="top"/>
    </xf>
    <xf numFmtId="0" fontId="75" fillId="0" borderId="16" xfId="10" applyFont="1" applyBorder="1" applyAlignment="1">
      <alignment horizontal="center" vertical="top"/>
    </xf>
    <xf numFmtId="0" fontId="75" fillId="0" borderId="16" xfId="10" applyFont="1" applyBorder="1" applyAlignment="1">
      <alignment horizontal="left" vertical="top"/>
    </xf>
    <xf numFmtId="43" fontId="75" fillId="0" borderId="16" xfId="37" applyFont="1" applyFill="1" applyBorder="1" applyAlignment="1">
      <alignment vertical="top"/>
    </xf>
    <xf numFmtId="0" fontId="75" fillId="0" borderId="12" xfId="10" applyFont="1" applyBorder="1" applyAlignment="1">
      <alignment horizontal="center" vertical="top"/>
    </xf>
    <xf numFmtId="0" fontId="75" fillId="0" borderId="12" xfId="10" applyFont="1" applyBorder="1" applyAlignment="1">
      <alignment horizontal="left" vertical="top"/>
    </xf>
    <xf numFmtId="0" fontId="75" fillId="0" borderId="52" xfId="10" applyFont="1" applyBorder="1" applyAlignment="1">
      <alignment horizontal="center" vertical="top"/>
    </xf>
    <xf numFmtId="0" fontId="75" fillId="0" borderId="52" xfId="10" applyFont="1" applyBorder="1" applyAlignment="1">
      <alignment horizontal="left" vertical="top"/>
    </xf>
    <xf numFmtId="0" fontId="75" fillId="0" borderId="69" xfId="10" applyFont="1" applyBorder="1" applyAlignment="1">
      <alignment horizontal="center" vertical="top"/>
    </xf>
    <xf numFmtId="0" fontId="75" fillId="0" borderId="69" xfId="10" applyFont="1" applyBorder="1" applyAlignment="1">
      <alignment horizontal="left" vertical="top"/>
    </xf>
    <xf numFmtId="0" fontId="75" fillId="0" borderId="52" xfId="10" applyFont="1" applyBorder="1" applyAlignment="1">
      <alignment horizontal="left"/>
    </xf>
    <xf numFmtId="0" fontId="75" fillId="0" borderId="87" xfId="10" applyFont="1" applyBorder="1" applyAlignment="1">
      <alignment horizontal="center"/>
    </xf>
    <xf numFmtId="0" fontId="75" fillId="0" borderId="87" xfId="10" applyFont="1" applyBorder="1" applyAlignment="1">
      <alignment horizontal="left"/>
    </xf>
    <xf numFmtId="43" fontId="154" fillId="8" borderId="16" xfId="37" applyFont="1" applyFill="1" applyBorder="1" applyAlignment="1">
      <alignment vertical="center"/>
    </xf>
    <xf numFmtId="43" fontId="149" fillId="8" borderId="3" xfId="55" applyFont="1" applyFill="1" applyBorder="1" applyAlignment="1" applyProtection="1">
      <alignment horizontal="center" vertical="center"/>
    </xf>
    <xf numFmtId="43" fontId="149" fillId="0" borderId="3" xfId="55" applyFont="1" applyFill="1" applyBorder="1" applyAlignment="1" applyProtection="1">
      <alignment vertical="center"/>
    </xf>
    <xf numFmtId="0" fontId="129" fillId="0" borderId="0" xfId="33" applyAlignment="1">
      <alignment vertical="center"/>
    </xf>
    <xf numFmtId="0" fontId="136" fillId="0" borderId="0" xfId="15" applyFont="1" applyAlignment="1">
      <alignment vertical="top"/>
    </xf>
    <xf numFmtId="0" fontId="59" fillId="0" borderId="0" xfId="15" applyAlignment="1">
      <alignment vertical="top"/>
    </xf>
    <xf numFmtId="0" fontId="181" fillId="0" borderId="0" xfId="15" applyFont="1" applyAlignment="1">
      <alignment vertical="center"/>
    </xf>
    <xf numFmtId="0" fontId="147" fillId="0" borderId="0" xfId="15" applyFont="1" applyAlignment="1">
      <alignment horizontal="center"/>
    </xf>
    <xf numFmtId="0" fontId="147" fillId="0" borderId="0" xfId="15" applyFont="1" applyAlignment="1">
      <alignment horizontal="center" vertical="center"/>
    </xf>
    <xf numFmtId="0" fontId="147" fillId="0" borderId="0" xfId="15" applyFont="1" applyAlignment="1">
      <alignment horizontal="left"/>
    </xf>
    <xf numFmtId="0" fontId="147" fillId="0" borderId="0" xfId="15" applyFont="1"/>
    <xf numFmtId="165" fontId="147" fillId="0" borderId="0" xfId="3" applyFont="1"/>
    <xf numFmtId="2" fontId="147" fillId="0" borderId="0" xfId="15" applyNumberFormat="1" applyFont="1"/>
    <xf numFmtId="0" fontId="147" fillId="0" borderId="55" xfId="15" applyFont="1" applyBorder="1" applyAlignment="1">
      <alignment horizontal="center"/>
    </xf>
    <xf numFmtId="165" fontId="147" fillId="0" borderId="55" xfId="3" applyFont="1" applyBorder="1" applyAlignment="1">
      <alignment horizontal="center"/>
    </xf>
    <xf numFmtId="0" fontId="147" fillId="0" borderId="3" xfId="15" applyFont="1" applyBorder="1"/>
    <xf numFmtId="0" fontId="147" fillId="0" borderId="3" xfId="15" applyFont="1" applyBorder="1" applyAlignment="1">
      <alignment horizontal="center"/>
    </xf>
    <xf numFmtId="165" fontId="175" fillId="0" borderId="0" xfId="3" applyFont="1"/>
    <xf numFmtId="0" fontId="183" fillId="0" borderId="0" xfId="15" applyFont="1"/>
    <xf numFmtId="165" fontId="183" fillId="0" borderId="0" xfId="3" applyFont="1"/>
    <xf numFmtId="0" fontId="183" fillId="0" borderId="0" xfId="15" applyFont="1" applyAlignment="1">
      <alignment horizontal="center"/>
    </xf>
    <xf numFmtId="0" fontId="175" fillId="0" borderId="3" xfId="33" applyFont="1" applyBorder="1" applyAlignment="1">
      <alignment horizontal="center"/>
    </xf>
    <xf numFmtId="165" fontId="175" fillId="0" borderId="3" xfId="3" applyFont="1" applyBorder="1" applyAlignment="1">
      <alignment horizontal="center"/>
    </xf>
    <xf numFmtId="0" fontId="147" fillId="0" borderId="0" xfId="33" applyFont="1"/>
    <xf numFmtId="0" fontId="182" fillId="0" borderId="0" xfId="33" applyFont="1"/>
    <xf numFmtId="2" fontId="147" fillId="0" borderId="0" xfId="33" applyNumberFormat="1" applyFont="1"/>
    <xf numFmtId="0" fontId="175" fillId="0" borderId="0" xfId="33" applyFont="1" applyAlignment="1">
      <alignment horizontal="center"/>
    </xf>
    <xf numFmtId="0" fontId="175" fillId="0" borderId="0" xfId="33" applyFont="1"/>
    <xf numFmtId="0" fontId="147" fillId="0" borderId="55" xfId="15" applyFont="1" applyBorder="1" applyAlignment="1">
      <alignment horizontal="left"/>
    </xf>
    <xf numFmtId="0" fontId="147" fillId="0" borderId="3" xfId="33" applyFont="1" applyBorder="1"/>
    <xf numFmtId="165" fontId="147" fillId="0" borderId="3" xfId="3" applyFont="1" applyBorder="1"/>
    <xf numFmtId="2" fontId="147" fillId="0" borderId="3" xfId="33" applyNumberFormat="1" applyFont="1" applyBorder="1"/>
    <xf numFmtId="0" fontId="147" fillId="0" borderId="7" xfId="15" applyFont="1" applyBorder="1" applyAlignment="1">
      <alignment horizontal="center"/>
    </xf>
    <xf numFmtId="0" fontId="147" fillId="0" borderId="7" xfId="15" applyFont="1" applyBorder="1" applyAlignment="1">
      <alignment horizontal="center" vertical="center"/>
    </xf>
    <xf numFmtId="165" fontId="147" fillId="0" borderId="7" xfId="3" applyFont="1" applyBorder="1" applyAlignment="1">
      <alignment horizontal="center"/>
    </xf>
    <xf numFmtId="0" fontId="146" fillId="0" borderId="7" xfId="15" applyFont="1" applyBorder="1" applyAlignment="1">
      <alignment horizontal="center" vertical="center"/>
    </xf>
    <xf numFmtId="2" fontId="146" fillId="0" borderId="7" xfId="15" applyNumberFormat="1" applyFont="1" applyBorder="1" applyAlignment="1">
      <alignment horizontal="center" vertical="center"/>
    </xf>
    <xf numFmtId="165" fontId="146" fillId="0" borderId="7" xfId="3" applyFont="1" applyBorder="1" applyAlignment="1">
      <alignment horizontal="center" vertical="center"/>
    </xf>
    <xf numFmtId="165" fontId="148" fillId="0" borderId="129" xfId="185" applyFont="1" applyFill="1" applyBorder="1" applyAlignment="1">
      <alignment vertical="center"/>
    </xf>
    <xf numFmtId="165" fontId="148" fillId="0" borderId="16" xfId="185" applyFont="1" applyFill="1" applyBorder="1" applyAlignment="1">
      <alignment vertical="center"/>
    </xf>
    <xf numFmtId="0" fontId="148" fillId="8" borderId="0" xfId="87" applyFont="1" applyFill="1" applyAlignment="1">
      <alignment horizontal="center" vertical="top"/>
    </xf>
    <xf numFmtId="0" fontId="148" fillId="8" borderId="0" xfId="87" applyFont="1" applyFill="1" applyAlignment="1">
      <alignment horizontal="left" vertical="top"/>
    </xf>
    <xf numFmtId="43" fontId="148" fillId="8" borderId="0" xfId="55" applyFont="1" applyFill="1" applyBorder="1" applyAlignment="1">
      <alignment vertical="top"/>
    </xf>
    <xf numFmtId="2" fontId="148" fillId="8" borderId="0" xfId="55" applyNumberFormat="1" applyFont="1" applyFill="1" applyBorder="1" applyAlignment="1">
      <alignment horizontal="center" vertical="top"/>
    </xf>
    <xf numFmtId="0" fontId="156" fillId="8" borderId="87" xfId="87" applyFont="1" applyFill="1" applyBorder="1" applyAlignment="1">
      <alignment horizontal="center" vertical="top"/>
    </xf>
    <xf numFmtId="0" fontId="156" fillId="8" borderId="87" xfId="87" applyFont="1" applyFill="1" applyBorder="1" applyAlignment="1">
      <alignment horizontal="left" vertical="top"/>
    </xf>
    <xf numFmtId="43" fontId="156" fillId="8" borderId="87" xfId="55" applyFont="1" applyFill="1" applyBorder="1" applyAlignment="1">
      <alignment vertical="top"/>
    </xf>
    <xf numFmtId="2" fontId="156" fillId="8" borderId="87" xfId="55" applyNumberFormat="1" applyFont="1" applyFill="1" applyBorder="1" applyAlignment="1">
      <alignment horizontal="center" vertical="top"/>
    </xf>
    <xf numFmtId="43" fontId="156" fillId="8" borderId="87" xfId="55" applyFont="1" applyFill="1" applyBorder="1" applyAlignment="1" applyProtection="1">
      <alignment horizontal="center" vertical="center" wrapText="1"/>
    </xf>
    <xf numFmtId="165" fontId="156" fillId="0" borderId="87" xfId="87" applyNumberFormat="1" applyFont="1" applyBorder="1"/>
    <xf numFmtId="0" fontId="151" fillId="8" borderId="0" xfId="87" applyFont="1" applyFill="1" applyAlignment="1">
      <alignment horizontal="center" vertical="center"/>
    </xf>
    <xf numFmtId="0" fontId="151" fillId="8" borderId="0" xfId="183" applyFont="1" applyFill="1" applyAlignment="1">
      <alignment horizontal="center" vertical="center" wrapText="1"/>
    </xf>
    <xf numFmtId="0" fontId="190" fillId="8" borderId="0" xfId="87" applyFont="1" applyFill="1" applyAlignment="1">
      <alignment horizontal="center" vertical="center"/>
    </xf>
    <xf numFmtId="0" fontId="156" fillId="8" borderId="0" xfId="87" applyFont="1" applyFill="1" applyAlignment="1">
      <alignment horizontal="center" vertical="top"/>
    </xf>
    <xf numFmtId="0" fontId="156" fillId="8" borderId="0" xfId="87" applyFont="1" applyFill="1" applyAlignment="1">
      <alignment horizontal="left" vertical="top"/>
    </xf>
    <xf numFmtId="43" fontId="156" fillId="8" borderId="0" xfId="55" applyFont="1" applyFill="1" applyBorder="1" applyAlignment="1">
      <alignment vertical="top"/>
    </xf>
    <xf numFmtId="2" fontId="156" fillId="8" borderId="0" xfId="55" applyNumberFormat="1" applyFont="1" applyFill="1" applyBorder="1" applyAlignment="1">
      <alignment horizontal="center" vertical="top"/>
    </xf>
    <xf numFmtId="0" fontId="156" fillId="8" borderId="0" xfId="87" applyFont="1" applyFill="1" applyAlignment="1">
      <alignment horizontal="center" vertical="center"/>
    </xf>
    <xf numFmtId="0" fontId="156" fillId="8" borderId="0" xfId="87" applyFont="1" applyFill="1" applyAlignment="1">
      <alignment horizontal="left" vertical="center"/>
    </xf>
    <xf numFmtId="43" fontId="154" fillId="8" borderId="0" xfId="55" applyFont="1" applyFill="1" applyBorder="1" applyAlignment="1">
      <alignment vertical="top"/>
    </xf>
    <xf numFmtId="2" fontId="154" fillId="8" borderId="0" xfId="55" applyNumberFormat="1" applyFont="1" applyFill="1" applyBorder="1" applyAlignment="1">
      <alignment horizontal="center" vertical="top"/>
    </xf>
    <xf numFmtId="0" fontId="148" fillId="8" borderId="0" xfId="87" applyFont="1" applyFill="1"/>
    <xf numFmtId="43" fontId="154" fillId="8" borderId="0" xfId="55" applyFont="1" applyFill="1" applyBorder="1" applyAlignment="1">
      <alignment horizontal="center" vertical="top"/>
    </xf>
    <xf numFmtId="0" fontId="147" fillId="0" borderId="32" xfId="15" applyFont="1" applyBorder="1"/>
    <xf numFmtId="0" fontId="147" fillId="0" borderId="32" xfId="15" applyFont="1" applyBorder="1" applyAlignment="1">
      <alignment horizontal="center"/>
    </xf>
    <xf numFmtId="165" fontId="154" fillId="0" borderId="32" xfId="185" applyFont="1" applyBorder="1" applyAlignment="1">
      <alignment wrapText="1"/>
    </xf>
    <xf numFmtId="165" fontId="154" fillId="0" borderId="3" xfId="185" applyFont="1" applyBorder="1" applyAlignment="1">
      <alignment wrapText="1"/>
    </xf>
    <xf numFmtId="0" fontId="148" fillId="0" borderId="3" xfId="183" applyFont="1" applyBorder="1" applyAlignment="1">
      <alignment vertical="center"/>
    </xf>
    <xf numFmtId="165" fontId="148" fillId="0" borderId="3" xfId="185" applyFont="1" applyFill="1" applyBorder="1" applyAlignment="1">
      <alignment vertical="center"/>
    </xf>
    <xf numFmtId="0" fontId="148" fillId="0" borderId="3" xfId="183" applyFont="1" applyBorder="1" applyAlignment="1">
      <alignment horizontal="left" vertical="center"/>
    </xf>
    <xf numFmtId="43" fontId="154" fillId="8" borderId="52" xfId="37" applyFont="1" applyFill="1" applyBorder="1" applyAlignment="1">
      <alignment vertical="center"/>
    </xf>
    <xf numFmtId="0" fontId="148" fillId="0" borderId="3" xfId="183" applyFont="1" applyBorder="1" applyAlignment="1">
      <alignment horizontal="center" vertical="center"/>
    </xf>
    <xf numFmtId="0" fontId="148" fillId="0" borderId="32" xfId="183" applyFont="1" applyBorder="1" applyAlignment="1">
      <alignment vertical="center"/>
    </xf>
    <xf numFmtId="165" fontId="148" fillId="0" borderId="32" xfId="185" applyFont="1" applyFill="1" applyBorder="1" applyAlignment="1">
      <alignment vertical="center"/>
    </xf>
    <xf numFmtId="0" fontId="109" fillId="0" borderId="0" xfId="125" applyFont="1"/>
    <xf numFmtId="0" fontId="89" fillId="0" borderId="0" xfId="125" applyFont="1"/>
    <xf numFmtId="43" fontId="89" fillId="0" borderId="0" xfId="37" applyFont="1" applyBorder="1"/>
    <xf numFmtId="0" fontId="88" fillId="0" borderId="0" xfId="125" applyFont="1" applyAlignment="1">
      <alignment horizontal="center" vertical="center"/>
    </xf>
    <xf numFmtId="43" fontId="89" fillId="0" borderId="0" xfId="37" applyFont="1" applyAlignment="1">
      <alignment horizontal="center" vertical="center"/>
    </xf>
    <xf numFmtId="0" fontId="89" fillId="0" borderId="0" xfId="125" applyFont="1" applyAlignment="1">
      <alignment horizontal="center" vertical="center"/>
    </xf>
    <xf numFmtId="0" fontId="153" fillId="17" borderId="7" xfId="125" applyFont="1" applyFill="1" applyBorder="1" applyAlignment="1">
      <alignment horizontal="center" vertical="center"/>
    </xf>
    <xf numFmtId="43" fontId="153" fillId="17" borderId="7" xfId="37" applyFont="1" applyFill="1" applyBorder="1" applyAlignment="1">
      <alignment horizontal="center" vertical="center"/>
    </xf>
    <xf numFmtId="43" fontId="172" fillId="17" borderId="7" xfId="37" applyFont="1" applyFill="1" applyBorder="1" applyAlignment="1">
      <alignment horizontal="center" vertical="center"/>
    </xf>
    <xf numFmtId="0" fontId="88" fillId="17" borderId="7" xfId="125" applyFont="1" applyFill="1" applyBorder="1" applyAlignment="1">
      <alignment horizontal="center" vertical="center"/>
    </xf>
    <xf numFmtId="0" fontId="153" fillId="17" borderId="3" xfId="125" applyFont="1" applyFill="1" applyBorder="1" applyAlignment="1">
      <alignment horizontal="center" vertical="center"/>
    </xf>
    <xf numFmtId="43" fontId="153" fillId="17" borderId="3" xfId="37" applyFont="1" applyFill="1" applyBorder="1" applyAlignment="1">
      <alignment vertical="center"/>
    </xf>
    <xf numFmtId="43" fontId="172" fillId="17" borderId="3" xfId="37" applyFont="1" applyFill="1" applyBorder="1" applyAlignment="1">
      <alignment vertical="center"/>
    </xf>
    <xf numFmtId="0" fontId="193" fillId="17" borderId="3" xfId="125" applyFont="1" applyFill="1" applyBorder="1" applyAlignment="1">
      <alignment horizontal="center" vertical="center"/>
    </xf>
    <xf numFmtId="0" fontId="88" fillId="0" borderId="0" xfId="125" applyFont="1" applyAlignment="1">
      <alignment vertical="center"/>
    </xf>
    <xf numFmtId="43" fontId="89" fillId="0" borderId="0" xfId="37" applyFont="1" applyAlignment="1">
      <alignment vertical="center"/>
    </xf>
    <xf numFmtId="0" fontId="89" fillId="0" borderId="0" xfId="125" applyFont="1" applyAlignment="1">
      <alignment vertical="center"/>
    </xf>
    <xf numFmtId="0" fontId="89" fillId="8" borderId="0" xfId="125" applyFont="1" applyFill="1" applyAlignment="1">
      <alignment vertical="center"/>
    </xf>
    <xf numFmtId="43" fontId="89" fillId="8" borderId="0" xfId="37" applyFont="1" applyFill="1" applyAlignment="1">
      <alignment vertical="center"/>
    </xf>
    <xf numFmtId="0" fontId="154" fillId="8" borderId="16" xfId="125" applyFont="1" applyFill="1" applyBorder="1" applyAlignment="1">
      <alignment horizontal="center" vertical="center"/>
    </xf>
    <xf numFmtId="0" fontId="154" fillId="8" borderId="16" xfId="125" applyFont="1" applyFill="1" applyBorder="1" applyAlignment="1">
      <alignment horizontal="left" vertical="center"/>
    </xf>
    <xf numFmtId="43" fontId="154" fillId="0" borderId="16" xfId="37" applyFont="1" applyFill="1" applyBorder="1" applyAlignment="1">
      <alignment vertical="center"/>
    </xf>
    <xf numFmtId="43" fontId="155" fillId="0" borderId="16" xfId="37" applyFont="1" applyFill="1" applyBorder="1" applyAlignment="1">
      <alignment vertical="center"/>
    </xf>
    <xf numFmtId="0" fontId="154" fillId="0" borderId="0" xfId="125" applyFont="1" applyAlignment="1">
      <alignment horizontal="center"/>
    </xf>
    <xf numFmtId="0" fontId="154" fillId="0" borderId="0" xfId="125" applyFont="1"/>
    <xf numFmtId="43" fontId="154" fillId="0" borderId="0" xfId="37" applyFont="1"/>
    <xf numFmtId="43" fontId="155" fillId="0" borderId="0" xfId="37" applyFont="1"/>
    <xf numFmtId="0" fontId="89" fillId="0" borderId="0" xfId="125" applyFont="1" applyAlignment="1">
      <alignment horizontal="center"/>
    </xf>
    <xf numFmtId="0" fontId="163" fillId="0" borderId="0" xfId="316" applyFont="1" applyAlignment="1">
      <alignment horizontal="center" vertical="center"/>
    </xf>
    <xf numFmtId="0" fontId="163" fillId="0" borderId="0" xfId="316" applyFont="1" applyAlignment="1">
      <alignment vertical="top"/>
    </xf>
    <xf numFmtId="0" fontId="163" fillId="20" borderId="80" xfId="316" applyFont="1" applyFill="1" applyBorder="1" applyAlignment="1">
      <alignment horizontal="center" vertical="top"/>
    </xf>
    <xf numFmtId="0" fontId="163" fillId="20" borderId="80" xfId="316" applyFont="1" applyFill="1" applyBorder="1" applyAlignment="1">
      <alignment horizontal="center" vertical="center"/>
    </xf>
    <xf numFmtId="0" fontId="163" fillId="0" borderId="0" xfId="316" applyFont="1" applyAlignment="1">
      <alignment horizontal="center" vertical="top"/>
    </xf>
    <xf numFmtId="0" fontId="163" fillId="20" borderId="3" xfId="316" applyFont="1" applyFill="1" applyBorder="1" applyAlignment="1">
      <alignment horizontal="center" vertical="top"/>
    </xf>
    <xf numFmtId="0" fontId="163" fillId="20" borderId="7" xfId="316" applyFont="1" applyFill="1" applyBorder="1" applyAlignment="1">
      <alignment horizontal="center" vertical="center"/>
    </xf>
    <xf numFmtId="43" fontId="163" fillId="20" borderId="7" xfId="55" applyFont="1" applyFill="1" applyBorder="1" applyAlignment="1">
      <alignment horizontal="center" vertical="center"/>
    </xf>
    <xf numFmtId="43" fontId="163" fillId="20" borderId="7" xfId="55" applyFont="1" applyFill="1" applyBorder="1" applyAlignment="1">
      <alignment vertical="center"/>
    </xf>
    <xf numFmtId="43" fontId="163" fillId="0" borderId="3" xfId="55" applyFont="1" applyFill="1" applyBorder="1" applyAlignment="1">
      <alignment horizontal="center" vertical="center"/>
    </xf>
    <xf numFmtId="0" fontId="163" fillId="21" borderId="3" xfId="316" applyFont="1" applyFill="1" applyBorder="1" applyAlignment="1">
      <alignment horizontal="center" vertical="top"/>
    </xf>
    <xf numFmtId="0" fontId="163" fillId="21" borderId="3" xfId="316" applyFont="1" applyFill="1" applyBorder="1" applyAlignment="1">
      <alignment horizontal="left" vertical="center" wrapText="1"/>
    </xf>
    <xf numFmtId="0" fontId="171" fillId="21" borderId="3" xfId="316" applyFont="1" applyFill="1" applyBorder="1" applyAlignment="1">
      <alignment horizontal="center" vertical="center" wrapText="1"/>
    </xf>
    <xf numFmtId="0" fontId="163" fillId="21" borderId="3" xfId="316" applyFont="1" applyFill="1" applyBorder="1" applyAlignment="1">
      <alignment horizontal="center" vertical="center" wrapText="1"/>
    </xf>
    <xf numFmtId="43" fontId="163" fillId="21" borderId="3" xfId="55" applyFont="1" applyFill="1" applyBorder="1" applyAlignment="1">
      <alignment vertical="center"/>
    </xf>
    <xf numFmtId="43" fontId="163" fillId="21" borderId="4" xfId="55" applyFont="1" applyFill="1" applyBorder="1" applyAlignment="1">
      <alignment horizontal="center" vertical="center"/>
    </xf>
    <xf numFmtId="43" fontId="163" fillId="21" borderId="4" xfId="55" applyFont="1" applyFill="1" applyBorder="1" applyAlignment="1">
      <alignment vertical="center"/>
    </xf>
    <xf numFmtId="0" fontId="163" fillId="21" borderId="10" xfId="316" applyFont="1" applyFill="1" applyBorder="1" applyAlignment="1">
      <alignment horizontal="center" vertical="center"/>
    </xf>
    <xf numFmtId="0" fontId="171" fillId="0" borderId="69" xfId="316" applyFont="1" applyBorder="1" applyAlignment="1">
      <alignment horizontal="center" vertical="top"/>
    </xf>
    <xf numFmtId="0" fontId="171" fillId="0" borderId="69" xfId="316" applyFont="1" applyBorder="1" applyAlignment="1">
      <alignment vertical="center" wrapText="1"/>
    </xf>
    <xf numFmtId="0" fontId="171" fillId="0" borderId="0" xfId="316" applyFont="1" applyAlignment="1">
      <alignment vertical="top" wrapText="1"/>
    </xf>
    <xf numFmtId="49" fontId="171" fillId="0" borderId="128" xfId="316" applyNumberFormat="1" applyFont="1" applyBorder="1" applyAlignment="1">
      <alignment vertical="center"/>
    </xf>
    <xf numFmtId="0" fontId="171" fillId="0" borderId="69" xfId="316" applyFont="1" applyBorder="1" applyAlignment="1">
      <alignment horizontal="center" vertical="center" wrapText="1"/>
    </xf>
    <xf numFmtId="43" fontId="171" fillId="0" borderId="69" xfId="55" applyFont="1" applyFill="1" applyBorder="1" applyAlignment="1">
      <alignment vertical="center"/>
    </xf>
    <xf numFmtId="43" fontId="171" fillId="0" borderId="69" xfId="55" applyFont="1" applyFill="1" applyBorder="1" applyAlignment="1">
      <alignment vertical="top"/>
    </xf>
    <xf numFmtId="43" fontId="171" fillId="0" borderId="69" xfId="55" applyFont="1" applyFill="1" applyBorder="1" applyAlignment="1">
      <alignment horizontal="center" vertical="center"/>
    </xf>
    <xf numFmtId="0" fontId="171" fillId="0" borderId="16" xfId="316" applyFont="1" applyBorder="1" applyAlignment="1">
      <alignment horizontal="center" vertical="center"/>
    </xf>
    <xf numFmtId="43" fontId="171" fillId="0" borderId="3" xfId="55" applyFont="1" applyFill="1" applyBorder="1" applyAlignment="1">
      <alignment vertical="top"/>
    </xf>
    <xf numFmtId="0" fontId="171" fillId="8" borderId="0" xfId="316" applyFont="1" applyFill="1" applyAlignment="1">
      <alignment vertical="top"/>
    </xf>
    <xf numFmtId="0" fontId="171" fillId="0" borderId="16" xfId="316" applyFont="1" applyBorder="1" applyAlignment="1">
      <alignment horizontal="center" vertical="top"/>
    </xf>
    <xf numFmtId="0" fontId="171" fillId="0" borderId="16" xfId="316" applyFont="1" applyBorder="1" applyAlignment="1">
      <alignment vertical="center"/>
    </xf>
    <xf numFmtId="0" fontId="171" fillId="0" borderId="0" xfId="316" applyFont="1" applyAlignment="1">
      <alignment vertical="top"/>
    </xf>
    <xf numFmtId="0" fontId="171" fillId="0" borderId="89" xfId="316" applyFont="1" applyBorder="1" applyAlignment="1">
      <alignment vertical="top"/>
    </xf>
    <xf numFmtId="49" fontId="171" fillId="0" borderId="88" xfId="316" applyNumberFormat="1" applyFont="1" applyBorder="1" applyAlignment="1">
      <alignment vertical="center"/>
    </xf>
    <xf numFmtId="43" fontId="171" fillId="0" borderId="16" xfId="55" applyFont="1" applyFill="1" applyBorder="1" applyAlignment="1">
      <alignment vertical="center"/>
    </xf>
    <xf numFmtId="43" fontId="171" fillId="0" borderId="16" xfId="55" applyFont="1" applyFill="1" applyBorder="1" applyAlignment="1">
      <alignment vertical="top"/>
    </xf>
    <xf numFmtId="43" fontId="171" fillId="0" borderId="16" xfId="55" applyFont="1" applyFill="1" applyBorder="1" applyAlignment="1">
      <alignment horizontal="center" vertical="center"/>
    </xf>
    <xf numFmtId="0" fontId="171" fillId="0" borderId="16" xfId="316" applyFont="1" applyBorder="1" applyAlignment="1">
      <alignment vertical="center" wrapText="1"/>
    </xf>
    <xf numFmtId="0" fontId="171" fillId="0" borderId="89" xfId="316" applyFont="1" applyBorder="1" applyAlignment="1">
      <alignment vertical="top" wrapText="1"/>
    </xf>
    <xf numFmtId="0" fontId="171" fillId="0" borderId="16" xfId="316" applyFont="1" applyBorder="1" applyAlignment="1">
      <alignment horizontal="center" vertical="center" wrapText="1"/>
    </xf>
    <xf numFmtId="0" fontId="184" fillId="0" borderId="0" xfId="316" applyFont="1" applyAlignment="1">
      <alignment vertical="top"/>
    </xf>
    <xf numFmtId="49" fontId="171" fillId="0" borderId="89" xfId="316" applyNumberFormat="1" applyFont="1" applyBorder="1" applyAlignment="1">
      <alignment vertical="top" wrapText="1"/>
    </xf>
    <xf numFmtId="43" fontId="171" fillId="0" borderId="16" xfId="55" applyFont="1" applyFill="1" applyBorder="1" applyAlignment="1" applyProtection="1">
      <alignment horizontal="right" vertical="center"/>
    </xf>
    <xf numFmtId="43" fontId="171" fillId="0" borderId="16" xfId="55" applyFont="1" applyFill="1" applyBorder="1" applyAlignment="1" applyProtection="1">
      <alignment horizontal="center" vertical="top"/>
    </xf>
    <xf numFmtId="0" fontId="164" fillId="34" borderId="152" xfId="316" applyFont="1" applyFill="1" applyBorder="1" applyAlignment="1">
      <alignment horizontal="center" vertical="center" wrapText="1"/>
    </xf>
    <xf numFmtId="0" fontId="171" fillId="0" borderId="90" xfId="316" applyFont="1" applyBorder="1" applyAlignment="1">
      <alignment vertical="top" wrapText="1"/>
    </xf>
    <xf numFmtId="0" fontId="164" fillId="0" borderId="151" xfId="316" applyFont="1" applyBorder="1" applyAlignment="1">
      <alignment horizontal="center" vertical="center" wrapText="1"/>
    </xf>
    <xf numFmtId="0" fontId="171" fillId="0" borderId="39" xfId="316" applyFont="1" applyBorder="1" applyAlignment="1">
      <alignment vertical="top" wrapText="1"/>
    </xf>
    <xf numFmtId="0" fontId="171" fillId="0" borderId="16" xfId="183" applyFont="1" applyBorder="1" applyAlignment="1">
      <alignment vertical="center" wrapText="1"/>
    </xf>
    <xf numFmtId="0" fontId="171" fillId="0" borderId="0" xfId="183" applyFont="1" applyAlignment="1">
      <alignment vertical="top" wrapText="1"/>
    </xf>
    <xf numFmtId="0" fontId="171" fillId="0" borderId="89" xfId="183" applyFont="1" applyBorder="1" applyAlignment="1">
      <alignment vertical="top" wrapText="1"/>
    </xf>
    <xf numFmtId="0" fontId="171" fillId="0" borderId="16" xfId="183" applyFont="1" applyBorder="1" applyAlignment="1">
      <alignment horizontal="center" vertical="center" wrapText="1"/>
    </xf>
    <xf numFmtId="43" fontId="171" fillId="16" borderId="3" xfId="55" applyFont="1" applyFill="1" applyBorder="1" applyAlignment="1">
      <alignment vertical="top"/>
    </xf>
    <xf numFmtId="0" fontId="171" fillId="16" borderId="0" xfId="316" applyFont="1" applyFill="1" applyAlignment="1">
      <alignment vertical="top"/>
    </xf>
    <xf numFmtId="0" fontId="171" fillId="0" borderId="16" xfId="183" applyFont="1" applyBorder="1" applyAlignment="1">
      <alignment horizontal="left" vertical="center" wrapText="1"/>
    </xf>
    <xf numFmtId="0" fontId="171" fillId="0" borderId="0" xfId="183" applyFont="1" applyAlignment="1">
      <alignment horizontal="left" vertical="top" wrapText="1"/>
    </xf>
    <xf numFmtId="0" fontId="171" fillId="0" borderId="89" xfId="183" applyFont="1" applyBorder="1" applyAlignment="1">
      <alignment horizontal="left" vertical="top" wrapText="1"/>
    </xf>
    <xf numFmtId="43" fontId="171" fillId="0" borderId="16" xfId="55" applyFont="1" applyFill="1" applyBorder="1" applyAlignment="1">
      <alignment horizontal="right" vertical="center"/>
    </xf>
    <xf numFmtId="43" fontId="171" fillId="0" borderId="0" xfId="316" applyNumberFormat="1" applyFont="1" applyAlignment="1">
      <alignment horizontal="center" vertical="center"/>
    </xf>
    <xf numFmtId="43" fontId="199" fillId="0" borderId="0" xfId="55" applyFont="1" applyFill="1" applyAlignment="1">
      <alignment vertical="top"/>
    </xf>
    <xf numFmtId="0" fontId="171" fillId="0" borderId="12" xfId="316" applyFont="1" applyBorder="1" applyAlignment="1">
      <alignment vertical="center" wrapText="1"/>
    </xf>
    <xf numFmtId="0" fontId="171" fillId="0" borderId="12" xfId="316" applyFont="1" applyBorder="1" applyAlignment="1">
      <alignment horizontal="center" vertical="center" wrapText="1"/>
    </xf>
    <xf numFmtId="43" fontId="171" fillId="0" borderId="12" xfId="55" applyFont="1" applyFill="1" applyBorder="1" applyAlignment="1">
      <alignment vertical="center"/>
    </xf>
    <xf numFmtId="43" fontId="171" fillId="0" borderId="12" xfId="55" applyFont="1" applyFill="1" applyBorder="1" applyAlignment="1">
      <alignment vertical="top"/>
    </xf>
    <xf numFmtId="43" fontId="171" fillId="0" borderId="12" xfId="55" applyFont="1" applyFill="1" applyBorder="1" applyAlignment="1">
      <alignment horizontal="center" vertical="center"/>
    </xf>
    <xf numFmtId="49" fontId="171" fillId="0" borderId="16" xfId="316" applyNumberFormat="1" applyFont="1" applyBorder="1" applyAlignment="1">
      <alignment horizontal="center" vertical="top"/>
    </xf>
    <xf numFmtId="49" fontId="171" fillId="0" borderId="12" xfId="316" applyNumberFormat="1" applyFont="1" applyBorder="1" applyAlignment="1">
      <alignment horizontal="center" vertical="top"/>
    </xf>
    <xf numFmtId="49" fontId="171" fillId="0" borderId="90" xfId="316" applyNumberFormat="1" applyFont="1" applyBorder="1" applyAlignment="1">
      <alignment vertical="center"/>
    </xf>
    <xf numFmtId="0" fontId="171" fillId="0" borderId="12" xfId="316" applyFont="1" applyBorder="1" applyAlignment="1">
      <alignment horizontal="center" vertical="center"/>
    </xf>
    <xf numFmtId="0" fontId="171" fillId="0" borderId="12" xfId="316" applyFont="1" applyBorder="1" applyAlignment="1">
      <alignment horizontal="center" vertical="top" wrapText="1"/>
    </xf>
    <xf numFmtId="0" fontId="184" fillId="8" borderId="0" xfId="316" applyFont="1" applyFill="1" applyAlignment="1">
      <alignment vertical="top"/>
    </xf>
    <xf numFmtId="0" fontId="171" fillId="0" borderId="12" xfId="316" applyFont="1" applyBorder="1" applyAlignment="1">
      <alignment horizontal="center" vertical="top"/>
    </xf>
    <xf numFmtId="0" fontId="171" fillId="0" borderId="52" xfId="316" applyFont="1" applyBorder="1" applyAlignment="1">
      <alignment horizontal="center" vertical="center"/>
    </xf>
    <xf numFmtId="0" fontId="171" fillId="0" borderId="52" xfId="316" applyFont="1" applyBorder="1" applyAlignment="1">
      <alignment vertical="center" wrapText="1"/>
    </xf>
    <xf numFmtId="0" fontId="171" fillId="0" borderId="149" xfId="316" applyFont="1" applyBorder="1" applyAlignment="1">
      <alignment vertical="center" wrapText="1"/>
    </xf>
    <xf numFmtId="49" fontId="171" fillId="0" borderId="149" xfId="316" applyNumberFormat="1" applyFont="1" applyBorder="1" applyAlignment="1">
      <alignment vertical="center"/>
    </xf>
    <xf numFmtId="0" fontId="171" fillId="0" borderId="52" xfId="316" applyFont="1" applyBorder="1" applyAlignment="1">
      <alignment horizontal="center" vertical="center" wrapText="1"/>
    </xf>
    <xf numFmtId="43" fontId="171" fillId="0" borderId="52" xfId="55" applyFont="1" applyFill="1" applyBorder="1" applyAlignment="1">
      <alignment vertical="center"/>
    </xf>
    <xf numFmtId="43" fontId="171" fillId="0" borderId="52" xfId="55" applyFont="1" applyFill="1" applyBorder="1" applyAlignment="1">
      <alignment horizontal="center" vertical="center"/>
    </xf>
    <xf numFmtId="43" fontId="171" fillId="0" borderId="3" xfId="55" applyFont="1" applyFill="1" applyBorder="1" applyAlignment="1">
      <alignment vertical="center"/>
    </xf>
    <xf numFmtId="0" fontId="186" fillId="8" borderId="0" xfId="316" applyFont="1" applyFill="1" applyAlignment="1">
      <alignment vertical="center"/>
    </xf>
    <xf numFmtId="0" fontId="163" fillId="17" borderId="3" xfId="316" applyFont="1" applyFill="1" applyBorder="1" applyAlignment="1">
      <alignment horizontal="center" vertical="top"/>
    </xf>
    <xf numFmtId="0" fontId="163" fillId="17" borderId="3" xfId="316" applyFont="1" applyFill="1" applyBorder="1" applyAlignment="1">
      <alignment horizontal="left" vertical="center"/>
    </xf>
    <xf numFmtId="0" fontId="163" fillId="17" borderId="3" xfId="316" applyFont="1" applyFill="1" applyBorder="1" applyAlignment="1">
      <alignment horizontal="left" vertical="top"/>
    </xf>
    <xf numFmtId="0" fontId="163" fillId="17" borderId="3" xfId="316" applyFont="1" applyFill="1" applyBorder="1" applyAlignment="1">
      <alignment horizontal="center" vertical="center"/>
    </xf>
    <xf numFmtId="43" fontId="163" fillId="17" borderId="3" xfId="55" applyFont="1" applyFill="1" applyBorder="1" applyAlignment="1">
      <alignment vertical="center"/>
    </xf>
    <xf numFmtId="43" fontId="163" fillId="17" borderId="3" xfId="55" applyFont="1" applyFill="1" applyBorder="1" applyAlignment="1">
      <alignment vertical="top"/>
    </xf>
    <xf numFmtId="43" fontId="163" fillId="0" borderId="3" xfId="55" applyFont="1" applyFill="1" applyBorder="1" applyAlignment="1">
      <alignment vertical="center"/>
    </xf>
    <xf numFmtId="43" fontId="163" fillId="17" borderId="3" xfId="55" applyFont="1" applyFill="1" applyBorder="1" applyAlignment="1">
      <alignment horizontal="center" vertical="center"/>
    </xf>
    <xf numFmtId="0" fontId="163" fillId="0" borderId="3" xfId="316" applyFont="1" applyBorder="1" applyAlignment="1">
      <alignment horizontal="center" vertical="center"/>
    </xf>
    <xf numFmtId="0" fontId="171" fillId="0" borderId="10" xfId="316" applyFont="1" applyBorder="1" applyAlignment="1">
      <alignment vertical="center" wrapText="1"/>
    </xf>
    <xf numFmtId="0" fontId="163" fillId="0" borderId="3" xfId="316" applyFont="1" applyBorder="1" applyAlignment="1">
      <alignment horizontal="left" vertical="center"/>
    </xf>
    <xf numFmtId="0" fontId="163" fillId="0" borderId="0" xfId="316" applyFont="1" applyAlignment="1">
      <alignment vertical="center"/>
    </xf>
    <xf numFmtId="0" fontId="201" fillId="0" borderId="3" xfId="316" applyFont="1" applyBorder="1" applyAlignment="1">
      <alignment horizontal="left" vertical="center"/>
    </xf>
    <xf numFmtId="43" fontId="201" fillId="0" borderId="3" xfId="55" applyFont="1" applyFill="1" applyBorder="1" applyAlignment="1">
      <alignment vertical="center"/>
    </xf>
    <xf numFmtId="4" fontId="171" fillId="0" borderId="3" xfId="55" applyNumberFormat="1" applyFont="1" applyFill="1" applyBorder="1" applyAlignment="1">
      <alignment horizontal="center" vertical="center"/>
    </xf>
    <xf numFmtId="1" fontId="171" fillId="0" borderId="3" xfId="316" applyNumberFormat="1" applyFont="1" applyBorder="1" applyAlignment="1">
      <alignment horizontal="center" vertical="top"/>
    </xf>
    <xf numFmtId="0" fontId="171" fillId="0" borderId="3" xfId="316" applyFont="1" applyBorder="1" applyAlignment="1">
      <alignment vertical="center" wrapText="1"/>
    </xf>
    <xf numFmtId="0" fontId="171" fillId="0" borderId="3" xfId="316" applyFont="1" applyBorder="1" applyAlignment="1">
      <alignment vertical="top" wrapText="1"/>
    </xf>
    <xf numFmtId="49" fontId="171" fillId="0" borderId="3" xfId="316" applyNumberFormat="1" applyFont="1" applyBorder="1" applyAlignment="1">
      <alignment vertical="center" wrapText="1"/>
    </xf>
    <xf numFmtId="0" fontId="171" fillId="0" borderId="3" xfId="316" applyFont="1" applyBorder="1" applyAlignment="1">
      <alignment horizontal="center" vertical="center" wrapText="1"/>
    </xf>
    <xf numFmtId="43" fontId="171" fillId="0" borderId="3" xfId="55" applyFont="1" applyFill="1" applyBorder="1" applyAlignment="1">
      <alignment horizontal="center" vertical="center"/>
    </xf>
    <xf numFmtId="0" fontId="171" fillId="0" borderId="3" xfId="316" applyFont="1" applyBorder="1" applyAlignment="1">
      <alignment horizontal="center" vertical="center"/>
    </xf>
    <xf numFmtId="0" fontId="174" fillId="0" borderId="0" xfId="316" applyFont="1" applyAlignment="1">
      <alignment vertical="top"/>
    </xf>
    <xf numFmtId="0" fontId="201" fillId="0" borderId="3" xfId="316" applyFont="1" applyBorder="1" applyAlignment="1">
      <alignment vertical="center" wrapText="1"/>
    </xf>
    <xf numFmtId="1" fontId="171" fillId="16" borderId="3" xfId="316" applyNumberFormat="1" applyFont="1" applyFill="1" applyBorder="1" applyAlignment="1">
      <alignment horizontal="center" vertical="top"/>
    </xf>
    <xf numFmtId="0" fontId="171" fillId="16" borderId="3" xfId="316" applyFont="1" applyFill="1" applyBorder="1" applyAlignment="1">
      <alignment vertical="center" wrapText="1"/>
    </xf>
    <xf numFmtId="0" fontId="171" fillId="16" borderId="3" xfId="316" applyFont="1" applyFill="1" applyBorder="1" applyAlignment="1">
      <alignment vertical="top" wrapText="1"/>
    </xf>
    <xf numFmtId="0" fontId="171" fillId="16" borderId="3" xfId="316" applyFont="1" applyFill="1" applyBorder="1" applyAlignment="1">
      <alignment horizontal="center" vertical="center" wrapText="1"/>
    </xf>
    <xf numFmtId="43" fontId="171" fillId="16" borderId="3" xfId="55" applyFont="1" applyFill="1" applyBorder="1" applyAlignment="1">
      <alignment vertical="center"/>
    </xf>
    <xf numFmtId="43" fontId="171" fillId="16" borderId="3" xfId="55" applyFont="1" applyFill="1" applyBorder="1" applyAlignment="1">
      <alignment horizontal="center" vertical="center"/>
    </xf>
    <xf numFmtId="0" fontId="171" fillId="16" borderId="3" xfId="316" applyFont="1" applyFill="1" applyBorder="1" applyAlignment="1">
      <alignment horizontal="center" vertical="center"/>
    </xf>
    <xf numFmtId="1" fontId="171" fillId="0" borderId="3" xfId="316" applyNumberFormat="1" applyFont="1" applyBorder="1" applyAlignment="1">
      <alignment vertical="top"/>
    </xf>
    <xf numFmtId="0" fontId="171" fillId="0" borderId="3" xfId="316" applyFont="1" applyBorder="1" applyAlignment="1">
      <alignment vertical="center"/>
    </xf>
    <xf numFmtId="0" fontId="173" fillId="0" borderId="0" xfId="316" applyFont="1" applyAlignment="1">
      <alignment vertical="top"/>
    </xf>
    <xf numFmtId="43" fontId="171" fillId="0" borderId="3" xfId="316" applyNumberFormat="1" applyFont="1" applyBorder="1" applyAlignment="1">
      <alignment horizontal="center" vertical="center"/>
    </xf>
    <xf numFmtId="43" fontId="171" fillId="0" borderId="0" xfId="55" applyFont="1" applyFill="1" applyBorder="1" applyAlignment="1">
      <alignment horizontal="center" vertical="center"/>
    </xf>
    <xf numFmtId="49" fontId="171" fillId="0" borderId="3" xfId="316" applyNumberFormat="1" applyFont="1" applyBorder="1" applyAlignment="1">
      <alignment vertical="center"/>
    </xf>
    <xf numFmtId="49" fontId="171" fillId="0" borderId="3" xfId="316" applyNumberFormat="1" applyFont="1" applyBorder="1" applyAlignment="1">
      <alignment horizontal="left" vertical="center"/>
    </xf>
    <xf numFmtId="0" fontId="171" fillId="0" borderId="55" xfId="316" applyFont="1" applyBorder="1" applyAlignment="1">
      <alignment horizontal="center" vertical="top"/>
    </xf>
    <xf numFmtId="0" fontId="171" fillId="0" borderId="55" xfId="316" applyFont="1" applyBorder="1" applyAlignment="1">
      <alignment vertical="center" wrapText="1"/>
    </xf>
    <xf numFmtId="0" fontId="171" fillId="0" borderId="55" xfId="316" applyFont="1" applyBorder="1" applyAlignment="1">
      <alignment vertical="top" wrapText="1"/>
    </xf>
    <xf numFmtId="49" fontId="171" fillId="0" borderId="55" xfId="316" applyNumberFormat="1" applyFont="1" applyBorder="1" applyAlignment="1">
      <alignment vertical="center"/>
    </xf>
    <xf numFmtId="43" fontId="171" fillId="0" borderId="55" xfId="55" applyFont="1" applyFill="1" applyBorder="1" applyAlignment="1">
      <alignment vertical="center"/>
    </xf>
    <xf numFmtId="0" fontId="171" fillId="0" borderId="3" xfId="316" applyFont="1" applyBorder="1" applyAlignment="1">
      <alignment horizontal="center" vertical="top"/>
    </xf>
    <xf numFmtId="49" fontId="171" fillId="0" borderId="3" xfId="316" applyNumberFormat="1" applyFont="1" applyBorder="1" applyAlignment="1">
      <alignment vertical="top" wrapText="1"/>
    </xf>
    <xf numFmtId="0" fontId="171" fillId="0" borderId="80" xfId="316" applyFont="1" applyBorder="1" applyAlignment="1">
      <alignment horizontal="center" vertical="top"/>
    </xf>
    <xf numFmtId="0" fontId="171" fillId="0" borderId="3" xfId="316" applyFont="1" applyBorder="1" applyAlignment="1">
      <alignment vertical="top"/>
    </xf>
    <xf numFmtId="0" fontId="171" fillId="0" borderId="2" xfId="316" applyFont="1" applyBorder="1" applyAlignment="1">
      <alignment vertical="top"/>
    </xf>
    <xf numFmtId="43" fontId="171" fillId="0" borderId="2" xfId="55" applyFont="1" applyFill="1" applyBorder="1" applyAlignment="1">
      <alignment horizontal="center" vertical="center"/>
    </xf>
    <xf numFmtId="0" fontId="171" fillId="0" borderId="0" xfId="316" applyFont="1" applyAlignment="1">
      <alignment horizontal="center" vertical="top"/>
    </xf>
    <xf numFmtId="0" fontId="171" fillId="0" borderId="0" xfId="316" applyFont="1" applyAlignment="1">
      <alignment vertical="center"/>
    </xf>
    <xf numFmtId="0" fontId="171" fillId="0" borderId="0" xfId="316" applyFont="1" applyAlignment="1">
      <alignment horizontal="center" vertical="center"/>
    </xf>
    <xf numFmtId="43" fontId="171" fillId="0" borderId="0" xfId="55" applyFont="1" applyFill="1" applyAlignment="1">
      <alignment vertical="center"/>
    </xf>
    <xf numFmtId="43" fontId="171" fillId="0" borderId="0" xfId="55" applyFont="1" applyFill="1" applyAlignment="1">
      <alignment vertical="top"/>
    </xf>
    <xf numFmtId="43" fontId="171" fillId="0" borderId="0" xfId="55" applyFont="1" applyFill="1" applyAlignment="1">
      <alignment horizontal="center" vertical="center"/>
    </xf>
    <xf numFmtId="43" fontId="174" fillId="0" borderId="3" xfId="55" applyFont="1" applyFill="1" applyBorder="1" applyAlignment="1">
      <alignment vertical="top"/>
    </xf>
    <xf numFmtId="43" fontId="174" fillId="0" borderId="3" xfId="55" applyFont="1" applyFill="1" applyBorder="1" applyAlignment="1">
      <alignment vertical="center"/>
    </xf>
    <xf numFmtId="43" fontId="174" fillId="0" borderId="0" xfId="55" applyFont="1" applyFill="1" applyBorder="1" applyAlignment="1">
      <alignment vertical="center"/>
    </xf>
    <xf numFmtId="43" fontId="202" fillId="8" borderId="7" xfId="55" applyFont="1" applyFill="1" applyBorder="1" applyAlignment="1">
      <alignment horizontal="center" vertical="center"/>
    </xf>
    <xf numFmtId="43" fontId="202" fillId="8" borderId="7" xfId="55" applyFont="1" applyFill="1" applyBorder="1" applyAlignment="1">
      <alignment horizontal="right" vertical="center"/>
    </xf>
    <xf numFmtId="43" fontId="202" fillId="8" borderId="3" xfId="55" applyFont="1" applyFill="1" applyBorder="1" applyAlignment="1">
      <alignment vertical="center"/>
    </xf>
    <xf numFmtId="43" fontId="202" fillId="8" borderId="3" xfId="55" applyFont="1" applyFill="1" applyBorder="1" applyAlignment="1">
      <alignment horizontal="right" vertical="center"/>
    </xf>
    <xf numFmtId="43" fontId="174" fillId="8" borderId="69" xfId="55" applyFont="1" applyFill="1" applyBorder="1" applyAlignment="1">
      <alignment vertical="top"/>
    </xf>
    <xf numFmtId="43" fontId="174" fillId="8" borderId="69" xfId="55" applyFont="1" applyFill="1" applyBorder="1" applyAlignment="1">
      <alignment vertical="center"/>
    </xf>
    <xf numFmtId="43" fontId="174" fillId="8" borderId="69" xfId="55" applyFont="1" applyFill="1" applyBorder="1" applyAlignment="1">
      <alignment horizontal="right" vertical="center"/>
    </xf>
    <xf numFmtId="43" fontId="174" fillId="8" borderId="16" xfId="55" applyFont="1" applyFill="1" applyBorder="1" applyAlignment="1">
      <alignment vertical="top"/>
    </xf>
    <xf numFmtId="43" fontId="174" fillId="8" borderId="16" xfId="55" applyFont="1" applyFill="1" applyBorder="1" applyAlignment="1">
      <alignment vertical="center"/>
    </xf>
    <xf numFmtId="43" fontId="174" fillId="8" borderId="16" xfId="55" applyFont="1" applyFill="1" applyBorder="1" applyAlignment="1">
      <alignment horizontal="right" vertical="center"/>
    </xf>
    <xf numFmtId="43" fontId="174" fillId="8" borderId="12" xfId="55" applyFont="1" applyFill="1" applyBorder="1" applyAlignment="1">
      <alignment vertical="top"/>
    </xf>
    <xf numFmtId="43" fontId="174" fillId="8" borderId="12" xfId="55" applyFont="1" applyFill="1" applyBorder="1" applyAlignment="1">
      <alignment vertical="center"/>
    </xf>
    <xf numFmtId="43" fontId="174" fillId="8" borderId="12" xfId="55" applyFont="1" applyFill="1" applyBorder="1" applyAlignment="1">
      <alignment horizontal="right" vertical="center"/>
    </xf>
    <xf numFmtId="43" fontId="174" fillId="8" borderId="52" xfId="55" applyFont="1" applyFill="1" applyBorder="1" applyAlignment="1">
      <alignment vertical="center"/>
    </xf>
    <xf numFmtId="43" fontId="174" fillId="8" borderId="52" xfId="55" applyFont="1" applyFill="1" applyBorder="1" applyAlignment="1">
      <alignment horizontal="right" vertical="center"/>
    </xf>
    <xf numFmtId="43" fontId="202" fillId="8" borderId="3" xfId="55" applyFont="1" applyFill="1" applyBorder="1" applyAlignment="1">
      <alignment vertical="top"/>
    </xf>
    <xf numFmtId="43" fontId="174" fillId="8" borderId="3" xfId="55" applyFont="1" applyFill="1" applyBorder="1" applyAlignment="1">
      <alignment vertical="top"/>
    </xf>
    <xf numFmtId="43" fontId="174" fillId="8" borderId="3" xfId="55" applyFont="1" applyFill="1" applyBorder="1" applyAlignment="1">
      <alignment vertical="center"/>
    </xf>
    <xf numFmtId="43" fontId="174" fillId="8" borderId="3" xfId="55" applyFont="1" applyFill="1" applyBorder="1" applyAlignment="1">
      <alignment horizontal="right" vertical="center"/>
    </xf>
    <xf numFmtId="43" fontId="174" fillId="8" borderId="0" xfId="55" applyFont="1" applyFill="1" applyAlignment="1">
      <alignment vertical="top"/>
    </xf>
    <xf numFmtId="43" fontId="174" fillId="8" borderId="0" xfId="55" applyFont="1" applyFill="1" applyAlignment="1">
      <alignment vertical="center"/>
    </xf>
    <xf numFmtId="43" fontId="174" fillId="8" borderId="0" xfId="55" applyFont="1" applyFill="1" applyAlignment="1">
      <alignment horizontal="right" vertical="center"/>
    </xf>
    <xf numFmtId="43" fontId="171" fillId="8" borderId="16" xfId="55" applyFont="1" applyFill="1" applyBorder="1" applyAlignment="1">
      <alignment vertical="top"/>
    </xf>
    <xf numFmtId="43" fontId="171" fillId="8" borderId="3" xfId="55" applyFont="1" applyFill="1" applyBorder="1" applyAlignment="1">
      <alignment vertical="top"/>
    </xf>
    <xf numFmtId="43" fontId="202" fillId="8" borderId="71" xfId="55" applyFont="1" applyFill="1" applyBorder="1" applyAlignment="1">
      <alignment vertical="top"/>
    </xf>
    <xf numFmtId="1" fontId="171" fillId="8" borderId="3" xfId="316" applyNumberFormat="1" applyFont="1" applyFill="1" applyBorder="1" applyAlignment="1">
      <alignment horizontal="center" vertical="top"/>
    </xf>
    <xf numFmtId="0" fontId="171" fillId="8" borderId="3" xfId="316" applyFont="1" applyFill="1" applyBorder="1" applyAlignment="1">
      <alignment vertical="center" wrapText="1"/>
    </xf>
    <xf numFmtId="0" fontId="171" fillId="8" borderId="3" xfId="316" applyFont="1" applyFill="1" applyBorder="1" applyAlignment="1">
      <alignment vertical="top" wrapText="1"/>
    </xf>
    <xf numFmtId="0" fontId="171" fillId="8" borderId="3" xfId="316" applyFont="1" applyFill="1" applyBorder="1" applyAlignment="1">
      <alignment horizontal="center" vertical="center" wrapText="1"/>
    </xf>
    <xf numFmtId="43" fontId="171" fillId="8" borderId="3" xfId="55" applyFont="1" applyFill="1" applyBorder="1" applyAlignment="1">
      <alignment vertical="center"/>
    </xf>
    <xf numFmtId="43" fontId="171" fillId="8" borderId="3" xfId="55" applyFont="1" applyFill="1" applyBorder="1" applyAlignment="1">
      <alignment horizontal="center" vertical="center"/>
    </xf>
    <xf numFmtId="0" fontId="171" fillId="8" borderId="3" xfId="316" applyFont="1" applyFill="1" applyBorder="1" applyAlignment="1">
      <alignment horizontal="center" vertical="center"/>
    </xf>
    <xf numFmtId="0" fontId="171" fillId="8" borderId="16" xfId="316" applyFont="1" applyFill="1" applyBorder="1" applyAlignment="1">
      <alignment horizontal="center" vertical="top"/>
    </xf>
    <xf numFmtId="0" fontId="171" fillId="8" borderId="16" xfId="316" applyFont="1" applyFill="1" applyBorder="1" applyAlignment="1">
      <alignment vertical="center" wrapText="1"/>
    </xf>
    <xf numFmtId="0" fontId="171" fillId="8" borderId="89" xfId="316" applyFont="1" applyFill="1" applyBorder="1" applyAlignment="1">
      <alignment vertical="top" wrapText="1"/>
    </xf>
    <xf numFmtId="49" fontId="171" fillId="8" borderId="16" xfId="316" applyNumberFormat="1" applyFont="1" applyFill="1" applyBorder="1" applyAlignment="1">
      <alignment horizontal="center" vertical="top"/>
    </xf>
    <xf numFmtId="49" fontId="171" fillId="8" borderId="88" xfId="316" applyNumberFormat="1" applyFont="1" applyFill="1" applyBorder="1" applyAlignment="1">
      <alignment vertical="center"/>
    </xf>
    <xf numFmtId="0" fontId="171" fillId="8" borderId="16" xfId="316" applyFont="1" applyFill="1" applyBorder="1" applyAlignment="1">
      <alignment horizontal="center" vertical="center" wrapText="1"/>
    </xf>
    <xf numFmtId="43" fontId="171" fillId="8" borderId="16" xfId="55" applyFont="1" applyFill="1" applyBorder="1" applyAlignment="1">
      <alignment vertical="center"/>
    </xf>
    <xf numFmtId="43" fontId="171" fillId="8" borderId="16" xfId="55" applyFont="1" applyFill="1" applyBorder="1" applyAlignment="1">
      <alignment horizontal="center" vertical="center"/>
    </xf>
    <xf numFmtId="43" fontId="171" fillId="8" borderId="12" xfId="55" applyFont="1" applyFill="1" applyBorder="1" applyAlignment="1">
      <alignment vertical="center"/>
    </xf>
    <xf numFmtId="0" fontId="171" fillId="8" borderId="16" xfId="316" applyFont="1" applyFill="1" applyBorder="1" applyAlignment="1">
      <alignment horizontal="center" vertical="center"/>
    </xf>
    <xf numFmtId="0" fontId="171" fillId="8" borderId="0" xfId="316" applyFont="1" applyFill="1" applyAlignment="1">
      <alignment vertical="top" wrapText="1"/>
    </xf>
    <xf numFmtId="43" fontId="171" fillId="8" borderId="16" xfId="55" applyFont="1" applyFill="1" applyBorder="1" applyAlignment="1" applyProtection="1">
      <alignment horizontal="right" vertical="center"/>
    </xf>
    <xf numFmtId="43" fontId="171" fillId="8" borderId="16" xfId="55" applyFont="1" applyFill="1" applyBorder="1" applyAlignment="1" applyProtection="1">
      <alignment horizontal="center" vertical="top"/>
    </xf>
    <xf numFmtId="43" fontId="174" fillId="0" borderId="3" xfId="55" applyFont="1" applyFill="1" applyBorder="1" applyAlignment="1">
      <alignment horizontal="right" vertical="center"/>
    </xf>
    <xf numFmtId="4" fontId="171" fillId="0" borderId="3" xfId="316" applyNumberFormat="1" applyFont="1" applyBorder="1" applyAlignment="1">
      <alignment horizontal="center" vertical="center" wrapText="1"/>
    </xf>
    <xf numFmtId="43" fontId="174" fillId="0" borderId="0" xfId="55" applyFont="1" applyFill="1" applyBorder="1" applyAlignment="1">
      <alignment vertical="top"/>
    </xf>
    <xf numFmtId="43" fontId="174" fillId="0" borderId="55" xfId="55" applyFont="1" applyFill="1" applyBorder="1" applyAlignment="1">
      <alignment horizontal="right" vertical="center"/>
    </xf>
    <xf numFmtId="43" fontId="174" fillId="0" borderId="2" xfId="55" applyFont="1" applyFill="1" applyBorder="1" applyAlignment="1">
      <alignment horizontal="right" vertical="center"/>
    </xf>
    <xf numFmtId="0" fontId="154" fillId="8" borderId="52" xfId="125" applyFont="1" applyFill="1" applyBorder="1" applyAlignment="1">
      <alignment horizontal="left" vertical="center"/>
    </xf>
    <xf numFmtId="0" fontId="204" fillId="0" borderId="0" xfId="33" applyFont="1" applyAlignment="1">
      <alignment vertical="center"/>
    </xf>
    <xf numFmtId="0" fontId="204" fillId="0" borderId="0" xfId="33" applyFont="1"/>
    <xf numFmtId="165" fontId="148" fillId="0" borderId="3" xfId="3" applyFont="1" applyBorder="1" applyAlignment="1">
      <alignment horizontal="center" vertical="center"/>
    </xf>
    <xf numFmtId="165" fontId="148" fillId="0" borderId="3" xfId="3" applyFont="1" applyFill="1" applyBorder="1" applyAlignment="1">
      <alignment horizontal="center" vertical="center"/>
    </xf>
    <xf numFmtId="165" fontId="180" fillId="7" borderId="3" xfId="3" applyFont="1" applyFill="1" applyBorder="1" applyAlignment="1">
      <alignment horizontal="center" vertical="center"/>
    </xf>
    <xf numFmtId="165" fontId="180" fillId="0" borderId="52" xfId="3" applyFont="1" applyFill="1" applyBorder="1" applyAlignment="1">
      <alignment horizontal="center" vertical="center"/>
    </xf>
    <xf numFmtId="165" fontId="180" fillId="0" borderId="3" xfId="3" applyFont="1" applyFill="1" applyBorder="1" applyAlignment="1">
      <alignment horizontal="center" vertical="center"/>
    </xf>
    <xf numFmtId="165" fontId="180" fillId="6" borderId="3" xfId="3" applyFont="1" applyFill="1" applyBorder="1" applyAlignment="1">
      <alignment horizontal="center" vertical="center"/>
    </xf>
    <xf numFmtId="165" fontId="180" fillId="6" borderId="3" xfId="3" applyFont="1" applyFill="1" applyBorder="1" applyAlignment="1">
      <alignment vertical="center"/>
    </xf>
    <xf numFmtId="165" fontId="180" fillId="14" borderId="3" xfId="3" applyFont="1" applyFill="1" applyBorder="1" applyAlignment="1">
      <alignment horizontal="center" vertical="center"/>
    </xf>
    <xf numFmtId="165" fontId="180" fillId="14" borderId="3" xfId="3" applyFont="1" applyFill="1" applyBorder="1" applyAlignment="1">
      <alignment vertical="center"/>
    </xf>
    <xf numFmtId="165" fontId="180" fillId="0" borderId="34" xfId="3" applyFont="1" applyFill="1" applyBorder="1" applyAlignment="1">
      <alignment horizontal="center" vertical="center"/>
    </xf>
    <xf numFmtId="165" fontId="180" fillId="0" borderId="34" xfId="3" applyFont="1" applyFill="1" applyBorder="1" applyAlignment="1">
      <alignment vertical="center"/>
    </xf>
    <xf numFmtId="165" fontId="180" fillId="0" borderId="16" xfId="3" applyFont="1" applyFill="1" applyBorder="1" applyAlignment="1">
      <alignment horizontal="center" vertical="center"/>
    </xf>
    <xf numFmtId="165" fontId="180" fillId="0" borderId="16" xfId="3" applyFont="1" applyFill="1" applyBorder="1" applyAlignment="1">
      <alignment vertical="center"/>
    </xf>
    <xf numFmtId="165" fontId="180" fillId="0" borderId="0" xfId="3" applyFont="1" applyFill="1" applyAlignment="1">
      <alignment vertical="center"/>
    </xf>
    <xf numFmtId="165" fontId="180" fillId="0" borderId="52" xfId="3" applyFont="1" applyFill="1" applyBorder="1" applyAlignment="1">
      <alignment vertical="center"/>
    </xf>
    <xf numFmtId="165" fontId="180" fillId="0" borderId="12" xfId="3" applyFont="1" applyFill="1" applyBorder="1" applyAlignment="1">
      <alignment horizontal="center" vertical="center"/>
    </xf>
    <xf numFmtId="165" fontId="180" fillId="0" borderId="12" xfId="3" applyFont="1" applyFill="1" applyBorder="1" applyAlignment="1">
      <alignment vertical="center"/>
    </xf>
    <xf numFmtId="165" fontId="148" fillId="0" borderId="0" xfId="3" applyFont="1"/>
    <xf numFmtId="0" fontId="149" fillId="8" borderId="94" xfId="87" applyFont="1" applyFill="1" applyBorder="1" applyAlignment="1">
      <alignment horizontal="center" vertical="center"/>
    </xf>
    <xf numFmtId="0" fontId="149" fillId="8" borderId="25" xfId="87" applyFont="1" applyFill="1" applyBorder="1" applyAlignment="1">
      <alignment horizontal="center" vertical="center"/>
    </xf>
    <xf numFmtId="2" fontId="149" fillId="8" borderId="4" xfId="55" applyNumberFormat="1" applyFont="1" applyFill="1" applyBorder="1" applyAlignment="1" applyProtection="1">
      <alignment horizontal="center" vertical="center" wrapText="1"/>
    </xf>
    <xf numFmtId="43" fontId="149" fillId="8" borderId="7" xfId="55" applyFont="1" applyFill="1" applyBorder="1" applyAlignment="1" applyProtection="1">
      <alignment horizontal="center" vertical="center" wrapText="1"/>
    </xf>
    <xf numFmtId="2" fontId="149" fillId="8" borderId="7" xfId="55" applyNumberFormat="1" applyFont="1" applyFill="1" applyBorder="1" applyAlignment="1" applyProtection="1">
      <alignment horizontal="center" vertical="center" wrapText="1"/>
    </xf>
    <xf numFmtId="0" fontId="149" fillId="11" borderId="32" xfId="87" applyFont="1" applyFill="1" applyBorder="1" applyAlignment="1">
      <alignment horizontal="center" vertical="center" wrapText="1"/>
    </xf>
    <xf numFmtId="0" fontId="149" fillId="11" borderId="32" xfId="87" applyFont="1" applyFill="1" applyBorder="1" applyAlignment="1">
      <alignment horizontal="center" vertical="center"/>
    </xf>
    <xf numFmtId="1" fontId="149" fillId="11" borderId="43" xfId="55" applyNumberFormat="1" applyFont="1" applyFill="1" applyBorder="1" applyAlignment="1" applyProtection="1">
      <alignment horizontal="center" vertical="center" wrapText="1"/>
    </xf>
    <xf numFmtId="43" fontId="149" fillId="11" borderId="43" xfId="55" applyFont="1" applyFill="1" applyBorder="1" applyAlignment="1" applyProtection="1">
      <alignment horizontal="center" vertical="center" wrapText="1"/>
    </xf>
    <xf numFmtId="2" fontId="149" fillId="11" borderId="32" xfId="55" applyNumberFormat="1" applyFont="1" applyFill="1" applyBorder="1" applyAlignment="1" applyProtection="1">
      <alignment horizontal="center" vertical="center" wrapText="1"/>
    </xf>
    <xf numFmtId="43" fontId="149" fillId="11" borderId="32" xfId="55" applyFont="1" applyFill="1" applyBorder="1" applyAlignment="1" applyProtection="1">
      <alignment horizontal="center" vertical="center" wrapText="1"/>
    </xf>
    <xf numFmtId="43" fontId="149" fillId="11" borderId="42" xfId="55" applyFont="1" applyFill="1" applyBorder="1" applyAlignment="1" applyProtection="1">
      <alignment horizontal="center" vertical="center" wrapText="1"/>
    </xf>
    <xf numFmtId="2" fontId="149" fillId="11" borderId="42" xfId="55" applyNumberFormat="1" applyFont="1" applyFill="1" applyBorder="1" applyAlignment="1" applyProtection="1">
      <alignment horizontal="center" vertical="center" wrapText="1"/>
    </xf>
    <xf numFmtId="170" fontId="207" fillId="7" borderId="42" xfId="55" applyNumberFormat="1" applyFont="1" applyFill="1" applyBorder="1" applyAlignment="1" applyProtection="1">
      <alignment horizontal="center" vertical="center" wrapText="1"/>
    </xf>
    <xf numFmtId="0" fontId="149" fillId="8" borderId="69" xfId="87" applyFont="1" applyFill="1" applyBorder="1" applyAlignment="1">
      <alignment horizontal="center" vertical="center" wrapText="1"/>
    </xf>
    <xf numFmtId="49" fontId="148" fillId="8" borderId="69" xfId="87" applyNumberFormat="1" applyFont="1" applyFill="1" applyBorder="1" applyAlignment="1">
      <alignment horizontal="center" vertical="center"/>
    </xf>
    <xf numFmtId="1" fontId="149" fillId="8" borderId="127" xfId="55" applyNumberFormat="1" applyFont="1" applyFill="1" applyBorder="1" applyAlignment="1" applyProtection="1">
      <alignment horizontal="center" vertical="center" wrapText="1"/>
    </xf>
    <xf numFmtId="43" fontId="149" fillId="8" borderId="127" xfId="55" applyFont="1" applyFill="1" applyBorder="1" applyAlignment="1" applyProtection="1">
      <alignment horizontal="center" vertical="center" wrapText="1"/>
    </xf>
    <xf numFmtId="2" fontId="149" fillId="8" borderId="69" xfId="55" applyNumberFormat="1" applyFont="1" applyFill="1" applyBorder="1" applyAlignment="1" applyProtection="1">
      <alignment horizontal="center" vertical="center" wrapText="1"/>
    </xf>
    <xf numFmtId="43" fontId="149" fillId="8" borderId="128" xfId="55" applyFont="1" applyFill="1" applyBorder="1" applyAlignment="1" applyProtection="1">
      <alignment horizontal="center" vertical="center" wrapText="1"/>
    </xf>
    <xf numFmtId="2" fontId="149" fillId="8" borderId="9" xfId="55" applyNumberFormat="1" applyFont="1" applyFill="1" applyBorder="1" applyAlignment="1" applyProtection="1">
      <alignment horizontal="center" vertical="center" wrapText="1"/>
    </xf>
    <xf numFmtId="0" fontId="148" fillId="0" borderId="10" xfId="87" applyFont="1" applyBorder="1"/>
    <xf numFmtId="170" fontId="177" fillId="8" borderId="9" xfId="55" applyNumberFormat="1" applyFont="1" applyFill="1" applyBorder="1" applyAlignment="1" applyProtection="1">
      <alignment horizontal="center" vertical="center" wrapText="1"/>
    </xf>
    <xf numFmtId="0" fontId="149" fillId="8" borderId="34" xfId="87" applyFont="1" applyFill="1" applyBorder="1" applyAlignment="1">
      <alignment horizontal="center" vertical="center" wrapText="1"/>
    </xf>
    <xf numFmtId="49" fontId="149" fillId="8" borderId="34" xfId="87" applyNumberFormat="1" applyFont="1" applyFill="1" applyBorder="1" applyAlignment="1">
      <alignment horizontal="center" vertical="center"/>
    </xf>
    <xf numFmtId="1" fontId="158" fillId="8" borderId="36" xfId="55" applyNumberFormat="1" applyFont="1" applyFill="1" applyBorder="1" applyAlignment="1" applyProtection="1">
      <alignment horizontal="center" vertical="center" wrapText="1"/>
    </xf>
    <xf numFmtId="43" fontId="149" fillId="8" borderId="36" xfId="55" applyFont="1" applyFill="1" applyBorder="1" applyAlignment="1" applyProtection="1">
      <alignment horizontal="center" vertical="center" wrapText="1"/>
    </xf>
    <xf numFmtId="43" fontId="208" fillId="8" borderId="36" xfId="55" applyFont="1" applyFill="1" applyBorder="1" applyAlignment="1" applyProtection="1">
      <alignment horizontal="center" vertical="center" wrapText="1"/>
    </xf>
    <xf numFmtId="43" fontId="149" fillId="8" borderId="108" xfId="55" applyFont="1" applyFill="1" applyBorder="1" applyAlignment="1" applyProtection="1">
      <alignment horizontal="center" vertical="center" wrapText="1"/>
    </xf>
    <xf numFmtId="2" fontId="149" fillId="8" borderId="108" xfId="55" applyNumberFormat="1" applyFont="1" applyFill="1" applyBorder="1" applyAlignment="1" applyProtection="1">
      <alignment horizontal="center" vertical="center" wrapText="1"/>
    </xf>
    <xf numFmtId="2" fontId="208" fillId="8" borderId="108" xfId="55" applyNumberFormat="1" applyFont="1" applyFill="1" applyBorder="1" applyAlignment="1" applyProtection="1">
      <alignment horizontal="center" vertical="center" wrapText="1"/>
    </xf>
    <xf numFmtId="165" fontId="149" fillId="0" borderId="34" xfId="87" applyNumberFormat="1" applyFont="1" applyBorder="1"/>
    <xf numFmtId="170" fontId="207" fillId="8" borderId="9" xfId="55" applyNumberFormat="1" applyFont="1" applyFill="1" applyBorder="1" applyAlignment="1" applyProtection="1">
      <alignment horizontal="center" vertical="center" wrapText="1"/>
    </xf>
    <xf numFmtId="0" fontId="148" fillId="8" borderId="16" xfId="87" applyFont="1" applyFill="1" applyBorder="1" applyAlignment="1">
      <alignment horizontal="center" vertical="center" wrapText="1"/>
    </xf>
    <xf numFmtId="49" fontId="148" fillId="0" borderId="16" xfId="87" applyNumberFormat="1" applyFont="1" applyBorder="1" applyAlignment="1">
      <alignment vertical="center"/>
    </xf>
    <xf numFmtId="0" fontId="148" fillId="8" borderId="110" xfId="87" applyFont="1" applyFill="1" applyBorder="1" applyAlignment="1">
      <alignment horizontal="center" vertical="center"/>
    </xf>
    <xf numFmtId="43" fontId="148" fillId="8" borderId="16" xfId="55" applyFont="1" applyFill="1" applyBorder="1" applyAlignment="1" applyProtection="1">
      <alignment horizontal="center" vertical="center" wrapText="1"/>
    </xf>
    <xf numFmtId="43" fontId="148" fillId="8" borderId="110" xfId="55" applyFont="1" applyFill="1" applyBorder="1" applyAlignment="1" applyProtection="1">
      <alignment horizontal="center" vertical="center" wrapText="1"/>
    </xf>
    <xf numFmtId="43" fontId="148" fillId="8" borderId="110" xfId="55" applyFont="1" applyFill="1" applyBorder="1" applyAlignment="1" applyProtection="1">
      <alignment horizontal="center" vertical="center"/>
    </xf>
    <xf numFmtId="2" fontId="148" fillId="8" borderId="16" xfId="55" applyNumberFormat="1" applyFont="1" applyFill="1" applyBorder="1" applyAlignment="1" applyProtection="1">
      <alignment horizontal="center" vertical="center"/>
    </xf>
    <xf numFmtId="43" fontId="148" fillId="8" borderId="88" xfId="55" applyFont="1" applyFill="1" applyBorder="1" applyAlignment="1" applyProtection="1">
      <alignment horizontal="center" vertical="center" wrapText="1"/>
    </xf>
    <xf numFmtId="43" fontId="148" fillId="8" borderId="108" xfId="55" applyFont="1" applyFill="1" applyBorder="1" applyAlignment="1" applyProtection="1">
      <alignment horizontal="center" vertical="center" wrapText="1"/>
    </xf>
    <xf numFmtId="2" fontId="148" fillId="8" borderId="88" xfId="55" applyNumberFormat="1" applyFont="1" applyFill="1" applyBorder="1" applyAlignment="1" applyProtection="1">
      <alignment horizontal="center" vertical="center" wrapText="1"/>
    </xf>
    <xf numFmtId="165" fontId="148" fillId="0" borderId="16" xfId="87" applyNumberFormat="1" applyFont="1" applyBorder="1"/>
    <xf numFmtId="0" fontId="182" fillId="8" borderId="128" xfId="87" applyFont="1" applyFill="1" applyBorder="1" applyAlignment="1">
      <alignment horizontal="left" vertical="center"/>
    </xf>
    <xf numFmtId="0" fontId="156" fillId="8" borderId="12" xfId="87" applyFont="1" applyFill="1" applyBorder="1" applyAlignment="1">
      <alignment horizontal="center" vertical="center" wrapText="1"/>
    </xf>
    <xf numFmtId="49" fontId="156" fillId="0" borderId="12" xfId="87" applyNumberFormat="1" applyFont="1" applyBorder="1" applyAlignment="1">
      <alignment vertical="center"/>
    </xf>
    <xf numFmtId="0" fontId="156" fillId="8" borderId="115" xfId="87" applyFont="1" applyFill="1" applyBorder="1" applyAlignment="1">
      <alignment horizontal="center" vertical="center"/>
    </xf>
    <xf numFmtId="43" fontId="156" fillId="8" borderId="12" xfId="55" applyFont="1" applyFill="1" applyBorder="1" applyAlignment="1" applyProtection="1">
      <alignment horizontal="center" vertical="center" wrapText="1"/>
    </xf>
    <xf numFmtId="43" fontId="156" fillId="8" borderId="115" xfId="55" applyFont="1" applyFill="1" applyBorder="1" applyAlignment="1" applyProtection="1">
      <alignment horizontal="center" vertical="center" wrapText="1"/>
    </xf>
    <xf numFmtId="43" fontId="156" fillId="8" borderId="115" xfId="55" applyFont="1" applyFill="1" applyBorder="1" applyAlignment="1" applyProtection="1">
      <alignment horizontal="center" vertical="center"/>
    </xf>
    <xf numFmtId="2" fontId="156" fillId="8" borderId="12" xfId="55" applyNumberFormat="1" applyFont="1" applyFill="1" applyBorder="1" applyAlignment="1" applyProtection="1">
      <alignment horizontal="center" vertical="center"/>
    </xf>
    <xf numFmtId="43" fontId="156" fillId="8" borderId="16" xfId="55" applyFont="1" applyFill="1" applyBorder="1" applyAlignment="1" applyProtection="1">
      <alignment horizontal="center" vertical="center" wrapText="1"/>
    </xf>
    <xf numFmtId="43" fontId="156" fillId="8" borderId="88" xfId="55" applyFont="1" applyFill="1" applyBorder="1" applyAlignment="1" applyProtection="1">
      <alignment horizontal="center" vertical="center" wrapText="1"/>
    </xf>
    <xf numFmtId="2" fontId="156" fillId="8" borderId="11" xfId="55" applyNumberFormat="1" applyFont="1" applyFill="1" applyBorder="1" applyAlignment="1" applyProtection="1">
      <alignment horizontal="center" vertical="center" wrapText="1"/>
    </xf>
    <xf numFmtId="2" fontId="156" fillId="8" borderId="9" xfId="55" applyNumberFormat="1" applyFont="1" applyFill="1" applyBorder="1" applyAlignment="1" applyProtection="1">
      <alignment horizontal="center" vertical="center" wrapText="1"/>
    </xf>
    <xf numFmtId="165" fontId="156" fillId="0" borderId="16" xfId="87" applyNumberFormat="1" applyFont="1" applyBorder="1"/>
    <xf numFmtId="0" fontId="182" fillId="8" borderId="0" xfId="87" applyFont="1" applyFill="1" applyAlignment="1">
      <alignment horizontal="left" vertical="center"/>
    </xf>
    <xf numFmtId="1" fontId="156" fillId="0" borderId="115" xfId="87" applyNumberFormat="1" applyFont="1" applyBorder="1" applyAlignment="1">
      <alignment horizontal="center" vertical="center"/>
    </xf>
    <xf numFmtId="43" fontId="156" fillId="8" borderId="12" xfId="55" applyFont="1" applyFill="1" applyBorder="1" applyAlignment="1" applyProtection="1">
      <alignment horizontal="right" vertical="center" wrapText="1"/>
    </xf>
    <xf numFmtId="43" fontId="156" fillId="8" borderId="11" xfId="55" applyFont="1" applyFill="1" applyBorder="1" applyAlignment="1" applyProtection="1">
      <alignment horizontal="right" vertical="center" wrapText="1"/>
    </xf>
    <xf numFmtId="43" fontId="156" fillId="8" borderId="11" xfId="55" applyFont="1" applyFill="1" applyBorder="1" applyAlignment="1" applyProtection="1">
      <alignment horizontal="center" vertical="center" wrapText="1"/>
    </xf>
    <xf numFmtId="165" fontId="156" fillId="0" borderId="12" xfId="87" applyNumberFormat="1" applyFont="1" applyBorder="1"/>
    <xf numFmtId="0" fontId="177" fillId="8" borderId="0" xfId="87" applyFont="1" applyFill="1" applyAlignment="1">
      <alignment horizontal="center" vertical="center"/>
    </xf>
    <xf numFmtId="0" fontId="154" fillId="8" borderId="69" xfId="125" applyFont="1" applyFill="1" applyBorder="1" applyAlignment="1">
      <alignment horizontal="center" vertical="center"/>
    </xf>
    <xf numFmtId="0" fontId="154" fillId="8" borderId="69" xfId="125" applyFont="1" applyFill="1" applyBorder="1" applyAlignment="1">
      <alignment horizontal="left" vertical="center"/>
    </xf>
    <xf numFmtId="43" fontId="154" fillId="0" borderId="69" xfId="37" applyFont="1" applyFill="1" applyBorder="1" applyAlignment="1">
      <alignment vertical="center"/>
    </xf>
    <xf numFmtId="43" fontId="155" fillId="0" borderId="69" xfId="37" applyFont="1" applyFill="1" applyBorder="1" applyAlignment="1">
      <alignment vertical="center"/>
    </xf>
    <xf numFmtId="43" fontId="154" fillId="8" borderId="69" xfId="37" applyFont="1" applyFill="1" applyBorder="1" applyAlignment="1">
      <alignment vertical="center"/>
    </xf>
    <xf numFmtId="0" fontId="194" fillId="8" borderId="9" xfId="125" applyFont="1" applyFill="1" applyBorder="1" applyAlignment="1">
      <alignment horizontal="center" vertical="center"/>
    </xf>
    <xf numFmtId="0" fontId="194" fillId="8" borderId="88" xfId="125" applyFont="1" applyFill="1" applyBorder="1" applyAlignment="1">
      <alignment horizontal="center" vertical="center"/>
    </xf>
    <xf numFmtId="43" fontId="148" fillId="0" borderId="34" xfId="55" applyFont="1" applyFill="1" applyBorder="1" applyAlignment="1">
      <alignment horizontal="center"/>
    </xf>
    <xf numFmtId="43" fontId="148" fillId="0" borderId="0" xfId="55" applyFont="1" applyFill="1" applyBorder="1" applyAlignment="1">
      <alignment horizontal="center"/>
    </xf>
    <xf numFmtId="43" fontId="148" fillId="8" borderId="34" xfId="38" applyFont="1" applyFill="1" applyBorder="1" applyAlignment="1">
      <alignment horizontal="center"/>
    </xf>
    <xf numFmtId="43" fontId="148" fillId="0" borderId="34" xfId="15" applyNumberFormat="1" applyFont="1" applyBorder="1" applyAlignment="1">
      <alignment horizontal="center"/>
    </xf>
    <xf numFmtId="43" fontId="148" fillId="0" borderId="36" xfId="55" applyFont="1" applyFill="1" applyBorder="1" applyAlignment="1" applyProtection="1">
      <alignment horizontal="center"/>
    </xf>
    <xf numFmtId="41" fontId="148" fillId="0" borderId="0" xfId="55" applyNumberFormat="1" applyFont="1" applyFill="1" applyBorder="1" applyAlignment="1">
      <alignment horizontal="center"/>
    </xf>
    <xf numFmtId="43" fontId="148" fillId="0" borderId="16" xfId="15" applyNumberFormat="1" applyFont="1" applyBorder="1" applyAlignment="1">
      <alignment horizontal="center"/>
    </xf>
    <xf numFmtId="43" fontId="148" fillId="0" borderId="110" xfId="55" applyFont="1" applyFill="1" applyBorder="1" applyAlignment="1" applyProtection="1">
      <alignment horizontal="center"/>
    </xf>
    <xf numFmtId="41" fontId="148" fillId="0" borderId="0" xfId="55" applyNumberFormat="1" applyFont="1" applyFill="1" applyAlignment="1" applyProtection="1">
      <alignment horizontal="center"/>
    </xf>
    <xf numFmtId="43" fontId="148" fillId="0" borderId="10" xfId="55" applyFont="1" applyFill="1" applyBorder="1" applyAlignment="1">
      <alignment horizontal="center"/>
    </xf>
    <xf numFmtId="43" fontId="148" fillId="8" borderId="10" xfId="38" applyFont="1" applyFill="1" applyBorder="1" applyAlignment="1">
      <alignment horizontal="center"/>
    </xf>
    <xf numFmtId="43" fontId="148" fillId="0" borderId="55" xfId="15" applyNumberFormat="1" applyFont="1" applyBorder="1" applyAlignment="1">
      <alignment horizontal="center"/>
    </xf>
    <xf numFmtId="43" fontId="148" fillId="0" borderId="115" xfId="55" applyFont="1" applyFill="1" applyBorder="1" applyAlignment="1" applyProtection="1">
      <alignment horizontal="center"/>
    </xf>
    <xf numFmtId="41" fontId="148" fillId="0" borderId="0" xfId="55" applyNumberFormat="1" applyFont="1" applyFill="1" applyBorder="1" applyAlignment="1" applyProtection="1">
      <alignment horizontal="center"/>
    </xf>
    <xf numFmtId="43" fontId="148" fillId="0" borderId="12" xfId="15" applyNumberFormat="1" applyFont="1" applyBorder="1" applyAlignment="1">
      <alignment horizontal="center"/>
    </xf>
    <xf numFmtId="43" fontId="148" fillId="0" borderId="4" xfId="55" applyFont="1" applyFill="1" applyBorder="1" applyAlignment="1">
      <alignment horizontal="center"/>
    </xf>
    <xf numFmtId="41" fontId="148" fillId="0" borderId="79" xfId="55" applyNumberFormat="1" applyFont="1" applyFill="1" applyBorder="1" applyAlignment="1">
      <alignment horizontal="center"/>
    </xf>
    <xf numFmtId="43" fontId="148" fillId="8" borderId="4" xfId="38" applyFont="1" applyFill="1" applyBorder="1" applyAlignment="1">
      <alignment horizontal="center"/>
    </xf>
    <xf numFmtId="43" fontId="148" fillId="0" borderId="52" xfId="15" applyNumberFormat="1" applyFont="1" applyBorder="1" applyAlignment="1">
      <alignment horizontal="center"/>
    </xf>
    <xf numFmtId="43" fontId="148" fillId="0" borderId="126" xfId="55" applyFont="1" applyFill="1" applyBorder="1" applyAlignment="1" applyProtection="1">
      <alignment horizontal="center"/>
    </xf>
    <xf numFmtId="43" fontId="148" fillId="0" borderId="52" xfId="55" applyFont="1" applyFill="1" applyBorder="1" applyAlignment="1">
      <alignment horizontal="center"/>
    </xf>
    <xf numFmtId="43" fontId="148" fillId="8" borderId="52" xfId="38" applyFont="1" applyFill="1" applyBorder="1" applyAlignment="1">
      <alignment horizontal="center"/>
    </xf>
    <xf numFmtId="43" fontId="148" fillId="0" borderId="12" xfId="55" applyFont="1" applyFill="1" applyBorder="1" applyAlignment="1">
      <alignment horizontal="center"/>
    </xf>
    <xf numFmtId="43" fontId="148" fillId="8" borderId="69" xfId="38" applyFont="1" applyFill="1" applyBorder="1" applyAlignment="1">
      <alignment horizontal="center"/>
    </xf>
    <xf numFmtId="43" fontId="148" fillId="0" borderId="69" xfId="15" applyNumberFormat="1" applyFont="1" applyBorder="1" applyAlignment="1">
      <alignment horizontal="center"/>
    </xf>
    <xf numFmtId="43" fontId="148" fillId="0" borderId="69" xfId="55" applyFont="1" applyFill="1" applyBorder="1" applyAlignment="1" applyProtection="1">
      <alignment horizontal="center"/>
    </xf>
    <xf numFmtId="43" fontId="148" fillId="0" borderId="16" xfId="55" applyFont="1" applyFill="1" applyBorder="1" applyAlignment="1">
      <alignment horizontal="center"/>
    </xf>
    <xf numFmtId="43" fontId="148" fillId="8" borderId="16" xfId="38" applyFont="1" applyFill="1" applyBorder="1" applyAlignment="1">
      <alignment horizontal="center"/>
    </xf>
    <xf numFmtId="165" fontId="154" fillId="0" borderId="3" xfId="206" applyFont="1" applyFill="1" applyBorder="1" applyAlignment="1">
      <alignment vertical="center"/>
    </xf>
    <xf numFmtId="43" fontId="78" fillId="0" borderId="0" xfId="10" applyNumberFormat="1" applyFont="1" applyAlignment="1">
      <alignment vertical="center"/>
    </xf>
    <xf numFmtId="43" fontId="78" fillId="0" borderId="0" xfId="10" applyNumberFormat="1" applyFont="1"/>
    <xf numFmtId="43" fontId="89" fillId="0" borderId="0" xfId="10" applyNumberFormat="1" applyFont="1"/>
    <xf numFmtId="165" fontId="89" fillId="0" borderId="0" xfId="10" applyNumberFormat="1" applyFont="1"/>
    <xf numFmtId="0" fontId="167" fillId="0" borderId="0" xfId="10" applyFont="1"/>
    <xf numFmtId="165" fontId="71" fillId="8" borderId="0" xfId="185" applyFont="1" applyFill="1" applyBorder="1"/>
    <xf numFmtId="165" fontId="122" fillId="8" borderId="0" xfId="185" applyFont="1" applyFill="1" applyBorder="1" applyProtection="1"/>
    <xf numFmtId="0" fontId="203" fillId="7" borderId="7" xfId="15" applyFont="1" applyFill="1" applyBorder="1" applyAlignment="1">
      <alignment horizontal="center"/>
    </xf>
    <xf numFmtId="0" fontId="149" fillId="7" borderId="7" xfId="15" applyFont="1" applyFill="1" applyBorder="1" applyAlignment="1">
      <alignment horizontal="center" vertical="center"/>
    </xf>
    <xf numFmtId="43" fontId="148" fillId="11" borderId="3" xfId="55" applyFont="1" applyFill="1" applyBorder="1" applyAlignment="1">
      <alignment horizontal="center" vertical="center"/>
    </xf>
    <xf numFmtId="43" fontId="148" fillId="11" borderId="3" xfId="38" applyFont="1" applyFill="1" applyBorder="1" applyAlignment="1">
      <alignment horizontal="center" vertical="center"/>
    </xf>
    <xf numFmtId="43" fontId="148" fillId="11" borderId="3" xfId="15" applyNumberFormat="1" applyFont="1" applyFill="1" applyBorder="1" applyAlignment="1">
      <alignment horizontal="center" vertical="center"/>
    </xf>
    <xf numFmtId="49" fontId="148" fillId="11" borderId="3" xfId="55" applyNumberFormat="1" applyFont="1" applyFill="1" applyBorder="1" applyAlignment="1">
      <alignment horizontal="center" vertical="center"/>
    </xf>
    <xf numFmtId="43" fontId="148" fillId="11" borderId="4" xfId="55" applyFont="1" applyFill="1" applyBorder="1" applyAlignment="1">
      <alignment horizontal="center" vertical="center"/>
    </xf>
    <xf numFmtId="41" fontId="148" fillId="11" borderId="79" xfId="55" applyNumberFormat="1" applyFont="1" applyFill="1" applyBorder="1" applyAlignment="1">
      <alignment horizontal="center" vertical="center"/>
    </xf>
    <xf numFmtId="43" fontId="148" fillId="11" borderId="4" xfId="38" applyFont="1" applyFill="1" applyBorder="1" applyAlignment="1">
      <alignment horizontal="center" vertical="center"/>
    </xf>
    <xf numFmtId="43" fontId="148" fillId="11" borderId="4" xfId="15" applyNumberFormat="1" applyFont="1" applyFill="1" applyBorder="1" applyAlignment="1">
      <alignment horizontal="center" vertical="center"/>
    </xf>
    <xf numFmtId="49" fontId="148" fillId="11" borderId="4" xfId="55" applyNumberFormat="1" applyFont="1" applyFill="1" applyBorder="1" applyAlignment="1">
      <alignment horizontal="center" vertical="center"/>
    </xf>
    <xf numFmtId="43" fontId="148" fillId="11" borderId="25" xfId="55" applyFont="1" applyFill="1" applyBorder="1" applyAlignment="1" applyProtection="1">
      <alignment horizontal="center" vertical="center"/>
    </xf>
    <xf numFmtId="0" fontId="148" fillId="0" borderId="0" xfId="15" applyFont="1" applyAlignment="1">
      <alignment horizontal="left" vertical="center"/>
    </xf>
    <xf numFmtId="43" fontId="148" fillId="11" borderId="0" xfId="55" applyFont="1" applyFill="1" applyBorder="1" applyAlignment="1">
      <alignment horizontal="center" vertical="center"/>
    </xf>
    <xf numFmtId="43" fontId="148" fillId="11" borderId="34" xfId="38" applyFont="1" applyFill="1" applyBorder="1" applyAlignment="1">
      <alignment horizontal="center" vertical="center"/>
    </xf>
    <xf numFmtId="43" fontId="148" fillId="11" borderId="34" xfId="15" applyNumberFormat="1" applyFont="1" applyFill="1" applyBorder="1" applyAlignment="1">
      <alignment horizontal="center" vertical="center"/>
    </xf>
    <xf numFmtId="49" fontId="148" fillId="11" borderId="34" xfId="55" applyNumberFormat="1" applyFont="1" applyFill="1" applyBorder="1" applyAlignment="1">
      <alignment horizontal="center" vertical="center"/>
    </xf>
    <xf numFmtId="43" fontId="148" fillId="11" borderId="36" xfId="55" applyFont="1" applyFill="1" applyBorder="1" applyAlignment="1" applyProtection="1">
      <alignment horizontal="center" vertical="center"/>
    </xf>
    <xf numFmtId="41" fontId="148" fillId="11" borderId="0" xfId="55" applyNumberFormat="1" applyFont="1" applyFill="1" applyBorder="1" applyAlignment="1">
      <alignment horizontal="center" vertical="center"/>
    </xf>
    <xf numFmtId="43" fontId="148" fillId="11" borderId="16" xfId="15" applyNumberFormat="1" applyFont="1" applyFill="1" applyBorder="1" applyAlignment="1">
      <alignment horizontal="center" vertical="center"/>
    </xf>
    <xf numFmtId="49" fontId="148" fillId="11" borderId="16" xfId="55" applyNumberFormat="1" applyFont="1" applyFill="1" applyBorder="1" applyAlignment="1">
      <alignment horizontal="center" vertical="center"/>
    </xf>
    <xf numFmtId="43" fontId="148" fillId="11" borderId="110" xfId="55" applyFont="1" applyFill="1" applyBorder="1" applyAlignment="1" applyProtection="1">
      <alignment horizontal="center" vertical="center"/>
    </xf>
    <xf numFmtId="41" fontId="148" fillId="11" borderId="0" xfId="55" applyNumberFormat="1" applyFont="1" applyFill="1" applyAlignment="1" applyProtection="1">
      <alignment horizontal="center" vertical="center"/>
    </xf>
    <xf numFmtId="43" fontId="148" fillId="11" borderId="3" xfId="55" applyFont="1" applyFill="1" applyBorder="1" applyAlignment="1" applyProtection="1">
      <alignment horizontal="center" vertical="center"/>
    </xf>
    <xf numFmtId="0" fontId="187" fillId="0" borderId="0" xfId="15" applyFont="1"/>
    <xf numFmtId="0" fontId="148" fillId="0" borderId="0" xfId="15" applyFont="1" applyAlignment="1">
      <alignment vertical="center"/>
    </xf>
    <xf numFmtId="0" fontId="153" fillId="16" borderId="7" xfId="10" applyFont="1" applyFill="1" applyBorder="1" applyAlignment="1">
      <alignment horizontal="center" vertical="center"/>
    </xf>
    <xf numFmtId="0" fontId="153" fillId="16" borderId="7" xfId="10" applyFont="1" applyFill="1" applyBorder="1" applyAlignment="1">
      <alignment horizontal="left" vertical="center"/>
    </xf>
    <xf numFmtId="170" fontId="149" fillId="16" borderId="7" xfId="37" applyNumberFormat="1" applyFont="1" applyFill="1" applyBorder="1" applyAlignment="1">
      <alignment horizontal="center"/>
    </xf>
    <xf numFmtId="0" fontId="154" fillId="0" borderId="34" xfId="10" applyFont="1" applyBorder="1" applyAlignment="1">
      <alignment horizontal="center"/>
    </xf>
    <xf numFmtId="0" fontId="154" fillId="0" borderId="34" xfId="10" applyFont="1" applyBorder="1" applyAlignment="1">
      <alignment horizontal="center" vertical="top"/>
    </xf>
    <xf numFmtId="0" fontId="154" fillId="0" borderId="34" xfId="10" applyFont="1" applyBorder="1" applyAlignment="1">
      <alignment horizontal="left" vertical="top"/>
    </xf>
    <xf numFmtId="43" fontId="154" fillId="0" borderId="34" xfId="10" applyNumberFormat="1" applyFont="1" applyBorder="1"/>
    <xf numFmtId="0" fontId="154" fillId="0" borderId="16" xfId="10" applyFont="1" applyBorder="1" applyAlignment="1">
      <alignment horizontal="center"/>
    </xf>
    <xf numFmtId="0" fontId="155" fillId="0" borderId="52" xfId="10" applyFont="1" applyBorder="1" applyAlignment="1">
      <alignment horizontal="center"/>
    </xf>
    <xf numFmtId="0" fontId="155" fillId="0" borderId="52" xfId="10" applyFont="1" applyBorder="1" applyAlignment="1">
      <alignment horizontal="left"/>
    </xf>
    <xf numFmtId="0" fontId="148" fillId="0" borderId="87" xfId="10" applyFont="1" applyBorder="1" applyAlignment="1">
      <alignment horizontal="center"/>
    </xf>
    <xf numFmtId="0" fontId="148" fillId="0" borderId="87" xfId="10" applyFont="1" applyBorder="1" applyAlignment="1">
      <alignment horizontal="left"/>
    </xf>
    <xf numFmtId="0" fontId="148" fillId="0" borderId="0" xfId="10" applyFont="1" applyAlignment="1">
      <alignment horizontal="center"/>
    </xf>
    <xf numFmtId="0" fontId="154" fillId="0" borderId="0" xfId="10" applyFont="1" applyAlignment="1">
      <alignment horizontal="center"/>
    </xf>
    <xf numFmtId="0" fontId="154" fillId="0" borderId="0" xfId="10" applyFont="1" applyAlignment="1">
      <alignment horizontal="left"/>
    </xf>
    <xf numFmtId="0" fontId="211" fillId="8" borderId="0" xfId="27" applyFont="1" applyFill="1"/>
    <xf numFmtId="0" fontId="76" fillId="8" borderId="0" xfId="27" applyFont="1" applyFill="1"/>
    <xf numFmtId="165" fontId="76" fillId="8" borderId="0" xfId="185" applyFont="1" applyFill="1" applyBorder="1" applyAlignment="1" applyProtection="1"/>
    <xf numFmtId="1" fontId="76" fillId="8" borderId="0" xfId="27" applyNumberFormat="1" applyFont="1" applyFill="1"/>
    <xf numFmtId="0" fontId="149" fillId="8" borderId="0" xfId="27" applyFont="1" applyFill="1" applyAlignment="1">
      <alignment horizontal="center" vertical="center"/>
    </xf>
    <xf numFmtId="0" fontId="173" fillId="8" borderId="0" xfId="27" applyFont="1" applyFill="1" applyAlignment="1">
      <alignment horizontal="center"/>
    </xf>
    <xf numFmtId="0" fontId="149" fillId="8" borderId="0" xfId="27" applyFont="1" applyFill="1" applyAlignment="1">
      <alignment horizontal="center"/>
    </xf>
    <xf numFmtId="2" fontId="149" fillId="8" borderId="0" xfId="27" applyNumberFormat="1" applyFont="1" applyFill="1" applyAlignment="1">
      <alignment horizontal="center"/>
    </xf>
    <xf numFmtId="165" fontId="76" fillId="8" borderId="0" xfId="185" applyFont="1" applyFill="1" applyBorder="1" applyProtection="1"/>
    <xf numFmtId="0" fontId="122" fillId="8" borderId="0" xfId="27" applyFont="1" applyFill="1"/>
    <xf numFmtId="1" fontId="122" fillId="8" borderId="0" xfId="27" applyNumberFormat="1" applyFont="1" applyFill="1"/>
    <xf numFmtId="0" fontId="224" fillId="8" borderId="0" xfId="27" applyFont="1" applyFill="1"/>
    <xf numFmtId="0" fontId="78" fillId="8" borderId="0" xfId="27" applyFont="1" applyFill="1"/>
    <xf numFmtId="165" fontId="78" fillId="8" borderId="0" xfId="185" applyFont="1" applyFill="1" applyBorder="1" applyProtection="1"/>
    <xf numFmtId="1" fontId="78" fillId="8" borderId="0" xfId="27" applyNumberFormat="1" applyFont="1" applyFill="1"/>
    <xf numFmtId="43" fontId="145" fillId="8" borderId="3" xfId="37" applyFont="1" applyFill="1" applyBorder="1" applyAlignment="1" applyProtection="1">
      <alignment horizontal="center" vertical="center"/>
    </xf>
    <xf numFmtId="43" fontId="145" fillId="8" borderId="3" xfId="37" applyFont="1" applyFill="1" applyBorder="1" applyAlignment="1" applyProtection="1">
      <alignment horizontal="center" vertical="center" wrapText="1"/>
    </xf>
    <xf numFmtId="0" fontId="77" fillId="8" borderId="0" xfId="27" applyFont="1" applyFill="1"/>
    <xf numFmtId="165" fontId="77" fillId="8" borderId="0" xfId="185" applyFont="1" applyFill="1" applyBorder="1" applyAlignment="1"/>
    <xf numFmtId="49" fontId="77" fillId="8" borderId="0" xfId="27" applyNumberFormat="1" applyFont="1" applyFill="1"/>
    <xf numFmtId="0" fontId="77" fillId="8" borderId="0" xfId="27" applyFont="1" applyFill="1" applyAlignment="1">
      <alignment vertical="top"/>
    </xf>
    <xf numFmtId="165" fontId="77" fillId="8" borderId="0" xfId="185" applyFont="1" applyFill="1" applyBorder="1" applyAlignment="1">
      <alignment vertical="top"/>
    </xf>
    <xf numFmtId="49" fontId="77" fillId="8" borderId="0" xfId="27" applyNumberFormat="1" applyFont="1" applyFill="1" applyAlignment="1">
      <alignment vertical="top"/>
    </xf>
    <xf numFmtId="0" fontId="225" fillId="8" borderId="0" xfId="27" applyFont="1" applyFill="1" applyAlignment="1">
      <alignment vertical="top"/>
    </xf>
    <xf numFmtId="165" fontId="225" fillId="8" borderId="0" xfId="185" applyFont="1" applyFill="1" applyBorder="1" applyAlignment="1">
      <alignment vertical="top"/>
    </xf>
    <xf numFmtId="49" fontId="225" fillId="8" borderId="0" xfId="27" applyNumberFormat="1" applyFont="1" applyFill="1" applyAlignment="1">
      <alignment vertical="top"/>
    </xf>
    <xf numFmtId="0" fontId="225" fillId="8" borderId="0" xfId="27" applyFont="1" applyFill="1"/>
    <xf numFmtId="165" fontId="225" fillId="8" borderId="0" xfId="185" applyFont="1" applyFill="1" applyBorder="1" applyAlignment="1"/>
    <xf numFmtId="49" fontId="225" fillId="8" borderId="0" xfId="27" applyNumberFormat="1" applyFont="1" applyFill="1"/>
    <xf numFmtId="0" fontId="148" fillId="8" borderId="0" xfId="27" applyFont="1" applyFill="1" applyAlignment="1">
      <alignment horizontal="center" vertical="center"/>
    </xf>
    <xf numFmtId="0" fontId="173" fillId="8" borderId="0" xfId="27" applyFont="1" applyFill="1"/>
    <xf numFmtId="43" fontId="148" fillId="8" borderId="0" xfId="47" applyFont="1" applyFill="1" applyBorder="1" applyAlignment="1">
      <alignment horizontal="center"/>
    </xf>
    <xf numFmtId="43" fontId="148" fillId="8" borderId="0" xfId="37" applyFont="1" applyFill="1" applyBorder="1"/>
    <xf numFmtId="43" fontId="148" fillId="8" borderId="0" xfId="192" applyFont="1" applyFill="1" applyBorder="1" applyAlignment="1">
      <alignment horizontal="center" wrapText="1"/>
    </xf>
    <xf numFmtId="43" fontId="148" fillId="8" borderId="0" xfId="37" applyFont="1" applyFill="1" applyBorder="1" applyAlignment="1">
      <alignment horizontal="center"/>
    </xf>
    <xf numFmtId="2" fontId="148" fillId="8" borderId="0" xfId="37" applyNumberFormat="1" applyFont="1" applyFill="1" applyBorder="1" applyAlignment="1">
      <alignment horizontal="center"/>
    </xf>
    <xf numFmtId="0" fontId="148" fillId="8" borderId="0" xfId="27" applyFont="1" applyFill="1" applyAlignment="1">
      <alignment horizontal="center"/>
    </xf>
    <xf numFmtId="0" fontId="71" fillId="8" borderId="0" xfId="27" applyFont="1" applyFill="1"/>
    <xf numFmtId="1" fontId="71" fillId="8" borderId="0" xfId="27" applyNumberFormat="1" applyFont="1" applyFill="1"/>
    <xf numFmtId="0" fontId="149" fillId="8" borderId="0" xfId="193" applyFont="1" applyFill="1" applyAlignment="1">
      <alignment horizontal="right"/>
    </xf>
    <xf numFmtId="0" fontId="148" fillId="8" borderId="0" xfId="27" applyFont="1" applyFill="1"/>
    <xf numFmtId="0" fontId="214" fillId="8" borderId="0" xfId="27" applyFont="1" applyFill="1"/>
    <xf numFmtId="165" fontId="214" fillId="8" borderId="0" xfId="185" applyFont="1" applyFill="1" applyBorder="1" applyProtection="1"/>
    <xf numFmtId="1" fontId="214" fillId="8" borderId="0" xfId="27" applyNumberFormat="1" applyFont="1" applyFill="1"/>
    <xf numFmtId="165" fontId="77" fillId="8" borderId="0" xfId="185" applyFont="1" applyFill="1" applyBorder="1" applyProtection="1"/>
    <xf numFmtId="1" fontId="77" fillId="8" borderId="0" xfId="27" applyNumberFormat="1" applyFont="1" applyFill="1"/>
    <xf numFmtId="43" fontId="149" fillId="8" borderId="3" xfId="37" applyFont="1" applyFill="1" applyBorder="1" applyAlignment="1" applyProtection="1">
      <alignment horizontal="center" vertical="center"/>
    </xf>
    <xf numFmtId="43" fontId="149" fillId="8" borderId="3" xfId="192" applyFont="1" applyFill="1" applyBorder="1" applyAlignment="1" applyProtection="1">
      <alignment horizontal="center" vertical="center" wrapText="1"/>
    </xf>
    <xf numFmtId="43" fontId="149" fillId="8" borderId="3" xfId="37" applyFont="1" applyFill="1" applyBorder="1" applyAlignment="1" applyProtection="1">
      <alignment horizontal="center" vertical="center" wrapText="1"/>
    </xf>
    <xf numFmtId="2" fontId="149" fillId="8" borderId="3" xfId="37" applyNumberFormat="1" applyFont="1" applyFill="1" applyBorder="1" applyAlignment="1" applyProtection="1">
      <alignment horizontal="center" vertical="center" wrapText="1"/>
    </xf>
    <xf numFmtId="0" fontId="152" fillId="8" borderId="19" xfId="27" applyFont="1" applyFill="1" applyBorder="1" applyAlignment="1">
      <alignment vertical="center" wrapText="1"/>
    </xf>
    <xf numFmtId="43" fontId="152" fillId="8" borderId="19" xfId="37" applyFont="1" applyFill="1" applyBorder="1" applyAlignment="1" applyProtection="1">
      <alignment horizontal="center" vertical="center"/>
    </xf>
    <xf numFmtId="0" fontId="152" fillId="8" borderId="19" xfId="27" applyFont="1" applyFill="1" applyBorder="1" applyAlignment="1">
      <alignment horizontal="center" vertical="center"/>
    </xf>
    <xf numFmtId="0" fontId="150" fillId="8" borderId="14" xfId="27" applyFont="1" applyFill="1" applyBorder="1" applyAlignment="1">
      <alignment horizontal="center" vertical="top"/>
    </xf>
    <xf numFmtId="0" fontId="150" fillId="8" borderId="14" xfId="27" applyFont="1" applyFill="1" applyBorder="1" applyAlignment="1">
      <alignment horizontal="center" vertical="top" wrapText="1"/>
    </xf>
    <xf numFmtId="43" fontId="150" fillId="8" borderId="14" xfId="37" applyFont="1" applyFill="1" applyBorder="1" applyAlignment="1" applyProtection="1">
      <alignment horizontal="center" vertical="top"/>
    </xf>
    <xf numFmtId="0" fontId="210" fillId="8" borderId="0" xfId="27" applyFont="1" applyFill="1" applyAlignment="1">
      <alignment vertical="top"/>
    </xf>
    <xf numFmtId="165" fontId="210" fillId="8" borderId="0" xfId="185" applyFont="1" applyFill="1" applyBorder="1" applyAlignment="1" applyProtection="1">
      <alignment vertical="top"/>
    </xf>
    <xf numFmtId="49" fontId="210" fillId="8" borderId="0" xfId="27" applyNumberFormat="1" applyFont="1" applyFill="1" applyAlignment="1">
      <alignment vertical="top"/>
    </xf>
    <xf numFmtId="0" fontId="210" fillId="8" borderId="0" xfId="27" applyFont="1" applyFill="1"/>
    <xf numFmtId="165" fontId="210" fillId="8" borderId="0" xfId="185" applyFont="1" applyFill="1" applyBorder="1"/>
    <xf numFmtId="1" fontId="210" fillId="8" borderId="0" xfId="27" applyNumberFormat="1" applyFont="1" applyFill="1"/>
    <xf numFmtId="0" fontId="150" fillId="8" borderId="52" xfId="27" applyFont="1" applyFill="1" applyBorder="1" applyAlignment="1">
      <alignment horizontal="center" vertical="center"/>
    </xf>
    <xf numFmtId="0" fontId="150" fillId="8" borderId="52" xfId="27" applyFont="1" applyFill="1" applyBorder="1"/>
    <xf numFmtId="43" fontId="150" fillId="8" borderId="52" xfId="47" applyFont="1" applyFill="1" applyBorder="1" applyAlignment="1">
      <alignment horizontal="center"/>
    </xf>
    <xf numFmtId="43" fontId="150" fillId="8" borderId="52" xfId="37" applyFont="1" applyFill="1" applyBorder="1"/>
    <xf numFmtId="43" fontId="150" fillId="8" borderId="52" xfId="192" applyFont="1" applyFill="1" applyBorder="1" applyAlignment="1">
      <alignment horizontal="center" wrapText="1"/>
    </xf>
    <xf numFmtId="43" fontId="150" fillId="8" borderId="52" xfId="37" applyFont="1" applyFill="1" applyBorder="1" applyAlignment="1">
      <alignment horizontal="center"/>
    </xf>
    <xf numFmtId="2" fontId="150" fillId="8" borderId="52" xfId="37" applyNumberFormat="1" applyFont="1" applyFill="1" applyBorder="1" applyAlignment="1">
      <alignment horizontal="center"/>
    </xf>
    <xf numFmtId="0" fontId="150" fillId="8" borderId="52" xfId="27" applyFont="1" applyFill="1" applyBorder="1" applyAlignment="1">
      <alignment horizontal="center"/>
    </xf>
    <xf numFmtId="49" fontId="211" fillId="8" borderId="0" xfId="27" applyNumberFormat="1" applyFont="1" applyFill="1" applyAlignment="1">
      <alignment vertical="top"/>
    </xf>
    <xf numFmtId="41" fontId="148" fillId="11" borderId="87" xfId="55" applyNumberFormat="1" applyFont="1" applyFill="1" applyBorder="1" applyAlignment="1">
      <alignment horizontal="center" vertical="center"/>
    </xf>
    <xf numFmtId="43" fontId="148" fillId="11" borderId="69" xfId="38" applyFont="1" applyFill="1" applyBorder="1" applyAlignment="1">
      <alignment horizontal="center" vertical="center"/>
    </xf>
    <xf numFmtId="43" fontId="148" fillId="11" borderId="69" xfId="15" applyNumberFormat="1" applyFont="1" applyFill="1" applyBorder="1" applyAlignment="1">
      <alignment horizontal="center" vertical="center"/>
    </xf>
    <xf numFmtId="49" fontId="148" fillId="11" borderId="69" xfId="55" applyNumberFormat="1" applyFont="1" applyFill="1" applyBorder="1" applyAlignment="1">
      <alignment horizontal="center" vertical="center"/>
    </xf>
    <xf numFmtId="43" fontId="148" fillId="11" borderId="127" xfId="55" applyFont="1" applyFill="1" applyBorder="1" applyAlignment="1" applyProtection="1">
      <alignment horizontal="center" vertical="center"/>
    </xf>
    <xf numFmtId="165" fontId="180" fillId="0" borderId="2" xfId="3" applyFont="1" applyFill="1" applyBorder="1" applyAlignment="1">
      <alignment vertical="center"/>
    </xf>
    <xf numFmtId="165" fontId="180" fillId="0" borderId="3" xfId="3" applyFont="1" applyFill="1" applyBorder="1" applyAlignment="1">
      <alignment vertical="center"/>
    </xf>
    <xf numFmtId="43" fontId="154" fillId="0" borderId="52" xfId="37" applyFont="1" applyBorder="1" applyAlignment="1">
      <alignment vertical="center"/>
    </xf>
    <xf numFmtId="0" fontId="148" fillId="0" borderId="32" xfId="183" applyFont="1" applyBorder="1" applyAlignment="1">
      <alignment horizontal="center" vertical="center"/>
    </xf>
    <xf numFmtId="0" fontId="228" fillId="0" borderId="0" xfId="33" applyFont="1"/>
    <xf numFmtId="165" fontId="148" fillId="0" borderId="0" xfId="3" applyFont="1" applyAlignment="1">
      <alignment horizontal="center" vertical="center"/>
    </xf>
    <xf numFmtId="43" fontId="145" fillId="7" borderId="7" xfId="55" applyFont="1" applyFill="1" applyBorder="1" applyAlignment="1" applyProtection="1">
      <alignment horizontal="center"/>
    </xf>
    <xf numFmtId="0" fontId="230" fillId="0" borderId="34" xfId="15" applyFont="1" applyBorder="1" applyAlignment="1">
      <alignment horizontal="center"/>
    </xf>
    <xf numFmtId="0" fontId="173" fillId="0" borderId="34" xfId="15" applyFont="1" applyBorder="1" applyAlignment="1">
      <alignment horizontal="center"/>
    </xf>
    <xf numFmtId="0" fontId="173" fillId="0" borderId="34" xfId="15" applyFont="1" applyBorder="1" applyAlignment="1">
      <alignment horizontal="left"/>
    </xf>
    <xf numFmtId="43" fontId="173" fillId="0" borderId="34" xfId="55" applyFont="1" applyFill="1" applyBorder="1" applyAlignment="1">
      <alignment horizontal="center"/>
    </xf>
    <xf numFmtId="43" fontId="173" fillId="0" borderId="34" xfId="55" applyFont="1" applyFill="1" applyBorder="1" applyAlignment="1" applyProtection="1">
      <alignment horizontal="center"/>
    </xf>
    <xf numFmtId="43" fontId="173" fillId="8" borderId="34" xfId="55" applyFont="1" applyFill="1" applyBorder="1" applyAlignment="1">
      <alignment horizontal="center"/>
    </xf>
    <xf numFmtId="2" fontId="173" fillId="0" borderId="34" xfId="55" applyNumberFormat="1" applyFont="1" applyFill="1" applyBorder="1" applyAlignment="1">
      <alignment horizontal="center"/>
    </xf>
    <xf numFmtId="0" fontId="230" fillId="0" borderId="16" xfId="15" applyFont="1" applyBorder="1" applyAlignment="1">
      <alignment horizontal="center"/>
    </xf>
    <xf numFmtId="0" fontId="173" fillId="0" borderId="16" xfId="15" applyFont="1" applyBorder="1" applyAlignment="1">
      <alignment horizontal="center"/>
    </xf>
    <xf numFmtId="0" fontId="173" fillId="0" borderId="16" xfId="15" applyFont="1" applyBorder="1" applyAlignment="1">
      <alignment horizontal="left"/>
    </xf>
    <xf numFmtId="43" fontId="173" fillId="0" borderId="16" xfId="55" applyFont="1" applyFill="1" applyBorder="1" applyAlignment="1">
      <alignment horizontal="center"/>
    </xf>
    <xf numFmtId="0" fontId="230" fillId="0" borderId="12" xfId="15" applyFont="1" applyBorder="1" applyAlignment="1">
      <alignment horizontal="center"/>
    </xf>
    <xf numFmtId="0" fontId="173" fillId="0" borderId="12" xfId="15" applyFont="1" applyBorder="1" applyAlignment="1">
      <alignment horizontal="center"/>
    </xf>
    <xf numFmtId="0" fontId="173" fillId="0" borderId="12" xfId="15" applyFont="1" applyBorder="1" applyAlignment="1">
      <alignment horizontal="left"/>
    </xf>
    <xf numFmtId="43" fontId="173" fillId="0" borderId="10" xfId="55" applyFont="1" applyFill="1" applyBorder="1" applyAlignment="1">
      <alignment horizontal="center"/>
    </xf>
    <xf numFmtId="43" fontId="173" fillId="0" borderId="10" xfId="55" applyFont="1" applyFill="1" applyBorder="1" applyAlignment="1" applyProtection="1">
      <alignment horizontal="center"/>
    </xf>
    <xf numFmtId="43" fontId="173" fillId="0" borderId="12" xfId="55" applyFont="1" applyFill="1" applyBorder="1" applyAlignment="1">
      <alignment horizontal="center"/>
    </xf>
    <xf numFmtId="2" fontId="173" fillId="0" borderId="10" xfId="55" applyNumberFormat="1" applyFont="1" applyFill="1" applyBorder="1" applyAlignment="1">
      <alignment horizontal="center"/>
    </xf>
    <xf numFmtId="0" fontId="230" fillId="0" borderId="10" xfId="15" applyFont="1" applyBorder="1" applyAlignment="1">
      <alignment horizontal="center"/>
    </xf>
    <xf numFmtId="0" fontId="173" fillId="0" borderId="10" xfId="15" applyFont="1" applyBorder="1" applyAlignment="1">
      <alignment horizontal="center"/>
    </xf>
    <xf numFmtId="0" fontId="173" fillId="0" borderId="10" xfId="15" applyFont="1" applyBorder="1" applyAlignment="1">
      <alignment horizontal="left"/>
    </xf>
    <xf numFmtId="0" fontId="230" fillId="0" borderId="4" xfId="15" applyFont="1" applyBorder="1" applyAlignment="1">
      <alignment horizontal="center"/>
    </xf>
    <xf numFmtId="0" fontId="173" fillId="0" borderId="4" xfId="15" applyFont="1" applyBorder="1" applyAlignment="1">
      <alignment horizontal="center"/>
    </xf>
    <xf numFmtId="0" fontId="173" fillId="0" borderId="52" xfId="15" applyFont="1" applyBorder="1" applyAlignment="1">
      <alignment horizontal="center"/>
    </xf>
    <xf numFmtId="0" fontId="173" fillId="0" borderId="52" xfId="15" applyFont="1" applyBorder="1" applyAlignment="1">
      <alignment horizontal="left"/>
    </xf>
    <xf numFmtId="43" fontId="173" fillId="0" borderId="4" xfId="55" applyFont="1" applyFill="1" applyBorder="1" applyAlignment="1">
      <alignment horizontal="center"/>
    </xf>
    <xf numFmtId="43" fontId="173" fillId="0" borderId="4" xfId="55" applyFont="1" applyFill="1" applyBorder="1" applyAlignment="1" applyProtection="1">
      <alignment horizontal="center"/>
    </xf>
    <xf numFmtId="2" fontId="173" fillId="0" borderId="4" xfId="55" applyNumberFormat="1" applyFont="1" applyFill="1" applyBorder="1" applyAlignment="1">
      <alignment horizontal="center"/>
    </xf>
    <xf numFmtId="0" fontId="230" fillId="0" borderId="52" xfId="15" applyFont="1" applyBorder="1" applyAlignment="1">
      <alignment horizontal="center"/>
    </xf>
    <xf numFmtId="43" fontId="173" fillId="0" borderId="52" xfId="55" applyFont="1" applyFill="1" applyBorder="1" applyAlignment="1">
      <alignment horizontal="center"/>
    </xf>
    <xf numFmtId="2" fontId="173" fillId="0" borderId="52" xfId="55" applyNumberFormat="1" applyFont="1" applyFill="1" applyBorder="1" applyAlignment="1">
      <alignment horizontal="center"/>
    </xf>
    <xf numFmtId="43" fontId="173" fillId="0" borderId="12" xfId="55" applyFont="1" applyFill="1" applyBorder="1" applyAlignment="1" applyProtection="1">
      <alignment horizontal="center"/>
    </xf>
    <xf numFmtId="43" fontId="173" fillId="0" borderId="16" xfId="55" applyFont="1" applyFill="1" applyBorder="1" applyAlignment="1" applyProtection="1">
      <alignment horizontal="center"/>
    </xf>
    <xf numFmtId="43" fontId="173" fillId="0" borderId="52" xfId="55" applyFont="1" applyFill="1" applyBorder="1" applyAlignment="1" applyProtection="1">
      <alignment horizontal="center"/>
    </xf>
    <xf numFmtId="0" fontId="173" fillId="11" borderId="79" xfId="15" applyFont="1" applyFill="1" applyBorder="1" applyAlignment="1">
      <alignment horizontal="center" vertical="center" wrapText="1"/>
    </xf>
    <xf numFmtId="43" fontId="173" fillId="11" borderId="4" xfId="55" applyFont="1" applyFill="1" applyBorder="1" applyAlignment="1">
      <alignment horizontal="center" vertical="center"/>
    </xf>
    <xf numFmtId="43" fontId="173" fillId="9" borderId="3" xfId="55" applyFont="1" applyFill="1" applyBorder="1" applyAlignment="1">
      <alignment horizontal="center" vertical="center"/>
    </xf>
    <xf numFmtId="2" fontId="173" fillId="11" borderId="4" xfId="55" applyNumberFormat="1" applyFont="1" applyFill="1" applyBorder="1" applyAlignment="1">
      <alignment horizontal="center" vertical="center"/>
    </xf>
    <xf numFmtId="0" fontId="230" fillId="11" borderId="4" xfId="15" applyFont="1" applyFill="1" applyBorder="1" applyAlignment="1">
      <alignment horizontal="center" vertical="center" wrapText="1"/>
    </xf>
    <xf numFmtId="0" fontId="173" fillId="11" borderId="4" xfId="15" applyFont="1" applyFill="1" applyBorder="1" applyAlignment="1">
      <alignment horizontal="center" vertical="center" wrapText="1"/>
    </xf>
    <xf numFmtId="0" fontId="180" fillId="11" borderId="3" xfId="15" applyFont="1" applyFill="1" applyBorder="1" applyAlignment="1">
      <alignment horizontal="left" vertical="center" wrapText="1"/>
    </xf>
    <xf numFmtId="43" fontId="173" fillId="11" borderId="3" xfId="55" applyFont="1" applyFill="1" applyBorder="1" applyAlignment="1">
      <alignment horizontal="center" vertical="center"/>
    </xf>
    <xf numFmtId="2" fontId="173" fillId="11" borderId="3" xfId="55" applyNumberFormat="1" applyFont="1" applyFill="1" applyBorder="1" applyAlignment="1">
      <alignment horizontal="center" vertical="center"/>
    </xf>
    <xf numFmtId="0" fontId="173" fillId="0" borderId="34" xfId="15" applyFont="1" applyBorder="1" applyAlignment="1">
      <alignment horizontal="left" vertical="center"/>
    </xf>
    <xf numFmtId="0" fontId="173" fillId="0" borderId="16" xfId="15" applyFont="1" applyBorder="1" applyAlignment="1">
      <alignment horizontal="left" vertical="center"/>
    </xf>
    <xf numFmtId="0" fontId="173" fillId="0" borderId="12" xfId="15" applyFont="1" applyBorder="1" applyAlignment="1">
      <alignment horizontal="left" vertical="center"/>
    </xf>
    <xf numFmtId="0" fontId="230" fillId="11" borderId="3" xfId="15" applyFont="1" applyFill="1" applyBorder="1" applyAlignment="1">
      <alignment horizontal="center" vertical="center" wrapText="1"/>
    </xf>
    <xf numFmtId="0" fontId="173" fillId="11" borderId="3" xfId="15" applyFont="1" applyFill="1" applyBorder="1" applyAlignment="1">
      <alignment horizontal="center" vertical="center" wrapText="1"/>
    </xf>
    <xf numFmtId="0" fontId="173" fillId="11" borderId="3" xfId="15" applyFont="1" applyFill="1" applyBorder="1" applyAlignment="1">
      <alignment horizontal="center" vertical="center"/>
    </xf>
    <xf numFmtId="0" fontId="173" fillId="0" borderId="52" xfId="15" applyFont="1" applyBorder="1" applyAlignment="1">
      <alignment horizontal="left" vertical="center"/>
    </xf>
    <xf numFmtId="0" fontId="173" fillId="11" borderId="3" xfId="15" applyFont="1" applyFill="1" applyBorder="1" applyAlignment="1">
      <alignment horizontal="left" vertical="center"/>
    </xf>
    <xf numFmtId="0" fontId="173" fillId="11" borderId="4" xfId="15" applyFont="1" applyFill="1" applyBorder="1" applyAlignment="1">
      <alignment horizontal="center" vertical="center"/>
    </xf>
    <xf numFmtId="0" fontId="173" fillId="11" borderId="4" xfId="15" applyFont="1" applyFill="1" applyBorder="1" applyAlignment="1">
      <alignment horizontal="left" vertical="center"/>
    </xf>
    <xf numFmtId="0" fontId="154" fillId="0" borderId="52" xfId="125" applyFont="1" applyBorder="1" applyAlignment="1">
      <alignment horizontal="center" vertical="center"/>
    </xf>
    <xf numFmtId="43" fontId="155" fillId="0" borderId="52" xfId="37" applyFont="1" applyBorder="1" applyAlignment="1">
      <alignment vertical="center"/>
    </xf>
    <xf numFmtId="0" fontId="147" fillId="0" borderId="3" xfId="33" applyFont="1" applyBorder="1" applyAlignment="1">
      <alignment horizontal="center"/>
    </xf>
    <xf numFmtId="43" fontId="149" fillId="0" borderId="4" xfId="55" applyFont="1" applyFill="1" applyBorder="1" applyAlignment="1" applyProtection="1">
      <alignment horizontal="center" vertical="center"/>
    </xf>
    <xf numFmtId="43" fontId="149" fillId="8" borderId="4" xfId="55" applyFont="1" applyFill="1" applyBorder="1" applyAlignment="1" applyProtection="1">
      <alignment horizontal="center" vertical="center"/>
    </xf>
    <xf numFmtId="43" fontId="149" fillId="8" borderId="9" xfId="55" applyFont="1" applyFill="1" applyBorder="1" applyAlignment="1" applyProtection="1">
      <alignment horizontal="center" vertical="center" wrapText="1"/>
    </xf>
    <xf numFmtId="43" fontId="149" fillId="0" borderId="10" xfId="37" applyFont="1" applyBorder="1" applyAlignment="1">
      <alignment horizontal="center" vertical="center" wrapText="1"/>
    </xf>
    <xf numFmtId="0" fontId="153" fillId="0" borderId="0" xfId="10" applyFont="1" applyAlignment="1">
      <alignment horizontal="center"/>
    </xf>
    <xf numFmtId="0" fontId="230" fillId="9" borderId="3" xfId="15" applyFont="1" applyFill="1" applyBorder="1" applyAlignment="1">
      <alignment horizontal="center" vertical="center" wrapText="1"/>
    </xf>
    <xf numFmtId="0" fontId="150" fillId="9" borderId="3" xfId="15" applyFont="1" applyFill="1" applyBorder="1" applyAlignment="1">
      <alignment horizontal="center" vertical="center" wrapText="1"/>
    </xf>
    <xf numFmtId="0" fontId="150" fillId="9" borderId="3" xfId="15" applyFont="1" applyFill="1" applyBorder="1" applyAlignment="1">
      <alignment horizontal="center" vertical="center"/>
    </xf>
    <xf numFmtId="0" fontId="173" fillId="9" borderId="3" xfId="15" applyFont="1" applyFill="1" applyBorder="1" applyAlignment="1">
      <alignment horizontal="left" vertical="center"/>
    </xf>
    <xf numFmtId="43" fontId="148" fillId="9" borderId="3" xfId="55" applyFont="1" applyFill="1" applyBorder="1" applyAlignment="1">
      <alignment horizontal="center" vertical="center"/>
    </xf>
    <xf numFmtId="0" fontId="150" fillId="11" borderId="3" xfId="15" applyFont="1" applyFill="1" applyBorder="1" applyAlignment="1">
      <alignment horizontal="center" vertical="center" wrapText="1"/>
    </xf>
    <xf numFmtId="0" fontId="150" fillId="11" borderId="3" xfId="15" applyFont="1" applyFill="1" applyBorder="1" applyAlignment="1">
      <alignment horizontal="center" vertical="center"/>
    </xf>
    <xf numFmtId="43" fontId="173" fillId="11" borderId="3" xfId="55" applyFont="1" applyFill="1" applyBorder="1" applyAlignment="1" applyProtection="1">
      <alignment horizontal="center" vertical="center"/>
    </xf>
    <xf numFmtId="43" fontId="148" fillId="11" borderId="2" xfId="55" applyFont="1" applyFill="1" applyBorder="1" applyAlignment="1" applyProtection="1">
      <alignment horizontal="center" vertical="center"/>
    </xf>
    <xf numFmtId="0" fontId="148" fillId="11" borderId="3" xfId="15" applyFont="1" applyFill="1" applyBorder="1" applyAlignment="1">
      <alignment horizontal="center" vertical="center"/>
    </xf>
    <xf numFmtId="0" fontId="148" fillId="11" borderId="2" xfId="15" applyFont="1" applyFill="1" applyBorder="1" applyAlignment="1">
      <alignment horizontal="center" vertical="center"/>
    </xf>
    <xf numFmtId="165" fontId="75" fillId="0" borderId="0" xfId="15" applyNumberFormat="1" applyFont="1" applyAlignment="1">
      <alignment vertical="center"/>
    </xf>
    <xf numFmtId="43" fontId="75" fillId="0" borderId="0" xfId="55" applyFont="1" applyFill="1" applyAlignment="1" applyProtection="1">
      <alignment vertical="center"/>
    </xf>
    <xf numFmtId="41" fontId="148" fillId="11" borderId="2" xfId="55" applyNumberFormat="1" applyFont="1" applyFill="1" applyBorder="1" applyAlignment="1" applyProtection="1">
      <alignment horizontal="center" vertical="center"/>
    </xf>
    <xf numFmtId="43" fontId="148" fillId="11" borderId="80" xfId="55" applyFont="1" applyFill="1" applyBorder="1" applyAlignment="1" applyProtection="1">
      <alignment horizontal="center" vertical="center"/>
    </xf>
    <xf numFmtId="41" fontId="148" fillId="11" borderId="2" xfId="55" applyNumberFormat="1" applyFont="1" applyFill="1" applyBorder="1" applyAlignment="1">
      <alignment horizontal="center" vertical="center"/>
    </xf>
    <xf numFmtId="43" fontId="148" fillId="11" borderId="10" xfId="38" applyFont="1" applyFill="1" applyBorder="1" applyAlignment="1">
      <alignment horizontal="center" vertical="center"/>
    </xf>
    <xf numFmtId="43" fontId="148" fillId="11" borderId="12" xfId="15" applyNumberFormat="1" applyFont="1" applyFill="1" applyBorder="1" applyAlignment="1">
      <alignment horizontal="center" vertical="center"/>
    </xf>
    <xf numFmtId="49" fontId="148" fillId="11" borderId="12" xfId="55" applyNumberFormat="1" applyFont="1" applyFill="1" applyBorder="1" applyAlignment="1">
      <alignment horizontal="center" vertical="center"/>
    </xf>
    <xf numFmtId="43" fontId="148" fillId="11" borderId="115" xfId="55" applyFont="1" applyFill="1" applyBorder="1" applyAlignment="1" applyProtection="1">
      <alignment horizontal="center" vertical="center"/>
    </xf>
    <xf numFmtId="0" fontId="180" fillId="11" borderId="3" xfId="15" applyFont="1" applyFill="1" applyBorder="1" applyAlignment="1">
      <alignment horizontal="left" vertical="center"/>
    </xf>
    <xf numFmtId="41" fontId="148" fillId="11" borderId="3" xfId="55" applyNumberFormat="1" applyFont="1" applyFill="1" applyBorder="1" applyAlignment="1" applyProtection="1">
      <alignment horizontal="center" vertical="center"/>
    </xf>
    <xf numFmtId="0" fontId="180" fillId="11" borderId="4" xfId="15" applyFont="1" applyFill="1" applyBorder="1" applyAlignment="1">
      <alignment horizontal="left" vertical="center"/>
    </xf>
    <xf numFmtId="43" fontId="148" fillId="11" borderId="79" xfId="55" applyFont="1" applyFill="1" applyBorder="1" applyAlignment="1">
      <alignment horizontal="center" vertical="center"/>
    </xf>
    <xf numFmtId="0" fontId="154" fillId="8" borderId="16" xfId="27" applyFont="1" applyFill="1" applyBorder="1" applyAlignment="1">
      <alignment horizontal="center" vertical="top"/>
    </xf>
    <xf numFmtId="0" fontId="154" fillId="8" borderId="16" xfId="27" applyFont="1" applyFill="1" applyBorder="1" applyAlignment="1">
      <alignment horizontal="center"/>
    </xf>
    <xf numFmtId="0" fontId="148" fillId="8" borderId="16" xfId="27" applyFont="1" applyFill="1" applyBorder="1" applyAlignment="1">
      <alignment horizontal="center" vertical="top"/>
    </xf>
    <xf numFmtId="165" fontId="154" fillId="8" borderId="3" xfId="185" applyFont="1" applyFill="1" applyBorder="1" applyAlignment="1">
      <alignment wrapText="1"/>
    </xf>
    <xf numFmtId="0" fontId="148" fillId="0" borderId="3" xfId="305" applyFont="1" applyBorder="1" applyAlignment="1">
      <alignment vertical="center"/>
    </xf>
    <xf numFmtId="0" fontId="148" fillId="0" borderId="3" xfId="305" applyFont="1" applyBorder="1" applyAlignment="1">
      <alignment horizontal="left" vertical="center"/>
    </xf>
    <xf numFmtId="0" fontId="150" fillId="8" borderId="0" xfId="183" applyFont="1" applyFill="1"/>
    <xf numFmtId="165" fontId="150" fillId="0" borderId="0" xfId="185" applyFont="1" applyFill="1" applyBorder="1"/>
    <xf numFmtId="165" fontId="215" fillId="0" borderId="0" xfId="185" applyFont="1" applyFill="1" applyBorder="1"/>
    <xf numFmtId="165" fontId="215" fillId="8" borderId="0" xfId="185" applyFont="1" applyFill="1" applyBorder="1"/>
    <xf numFmtId="2" fontId="215" fillId="8" borderId="0" xfId="185" applyNumberFormat="1" applyFont="1" applyFill="1" applyBorder="1"/>
    <xf numFmtId="165" fontId="215" fillId="8" borderId="0" xfId="185" applyFont="1" applyFill="1" applyBorder="1" applyAlignment="1">
      <alignment horizontal="center"/>
    </xf>
    <xf numFmtId="0" fontId="215" fillId="8" borderId="0" xfId="183" applyFont="1" applyFill="1"/>
    <xf numFmtId="0" fontId="216" fillId="8" borderId="0" xfId="183" applyFont="1" applyFill="1" applyAlignment="1">
      <alignment horizontal="right"/>
    </xf>
    <xf numFmtId="0" fontId="71" fillId="8" borderId="0" xfId="183" applyFont="1" applyFill="1"/>
    <xf numFmtId="2" fontId="71" fillId="8" borderId="0" xfId="185" applyNumberFormat="1" applyFont="1" applyFill="1" applyBorder="1"/>
    <xf numFmtId="165" fontId="94" fillId="8" borderId="0" xfId="185" applyFont="1" applyFill="1" applyBorder="1" applyAlignment="1">
      <alignment horizontal="right"/>
    </xf>
    <xf numFmtId="0" fontId="122" fillId="8" borderId="0" xfId="183" applyFont="1" applyFill="1"/>
    <xf numFmtId="0" fontId="149" fillId="8" borderId="55" xfId="183" applyFont="1" applyFill="1" applyBorder="1" applyAlignment="1">
      <alignment horizontal="center" vertical="center"/>
    </xf>
    <xf numFmtId="165" fontId="149" fillId="0" borderId="94" xfId="185" applyFont="1" applyFill="1" applyBorder="1" applyAlignment="1" applyProtection="1">
      <alignment vertical="center" wrapText="1"/>
    </xf>
    <xf numFmtId="165" fontId="149" fillId="0" borderId="87" xfId="185" applyFont="1" applyFill="1" applyBorder="1" applyAlignment="1" applyProtection="1">
      <alignment vertical="center" wrapText="1"/>
    </xf>
    <xf numFmtId="165" fontId="215" fillId="8" borderId="132" xfId="185" applyFont="1" applyFill="1" applyBorder="1" applyProtection="1"/>
    <xf numFmtId="0" fontId="215" fillId="8" borderId="132" xfId="183" applyFont="1" applyFill="1" applyBorder="1"/>
    <xf numFmtId="165" fontId="217" fillId="0" borderId="131" xfId="185" applyFont="1" applyFill="1" applyBorder="1" applyAlignment="1" applyProtection="1">
      <alignment vertical="center"/>
    </xf>
    <xf numFmtId="165" fontId="217" fillId="0" borderId="123" xfId="185" applyFont="1" applyFill="1" applyBorder="1" applyAlignment="1" applyProtection="1">
      <alignment vertical="center"/>
    </xf>
    <xf numFmtId="165" fontId="118" fillId="0" borderId="3" xfId="185" applyFont="1" applyFill="1" applyBorder="1" applyAlignment="1" applyProtection="1">
      <alignment vertical="center"/>
    </xf>
    <xf numFmtId="0" fontId="75" fillId="8" borderId="55" xfId="183" applyFont="1" applyFill="1" applyBorder="1"/>
    <xf numFmtId="0" fontId="75" fillId="8" borderId="55" xfId="183" applyFont="1" applyFill="1" applyBorder="1" applyAlignment="1">
      <alignment vertical="center"/>
    </xf>
    <xf numFmtId="0" fontId="75" fillId="8" borderId="0" xfId="183" applyFont="1" applyFill="1"/>
    <xf numFmtId="165" fontId="149" fillId="0" borderId="58" xfId="185" applyFont="1" applyFill="1" applyBorder="1" applyAlignment="1" applyProtection="1">
      <alignment vertical="center" wrapText="1"/>
    </xf>
    <xf numFmtId="165" fontId="149" fillId="0" borderId="0" xfId="185" applyFont="1" applyFill="1" applyBorder="1" applyAlignment="1" applyProtection="1">
      <alignment vertical="center" wrapText="1"/>
    </xf>
    <xf numFmtId="165" fontId="217" fillId="0" borderId="9" xfId="185" applyFont="1" applyFill="1" applyBorder="1" applyAlignment="1" applyProtection="1">
      <alignment horizontal="center" vertical="center"/>
    </xf>
    <xf numFmtId="165" fontId="217" fillId="8" borderId="133" xfId="185" applyFont="1" applyFill="1" applyBorder="1" applyAlignment="1" applyProtection="1">
      <alignment horizontal="center" vertical="center"/>
    </xf>
    <xf numFmtId="165" fontId="217" fillId="8" borderId="132" xfId="185" applyFont="1" applyFill="1" applyBorder="1" applyAlignment="1" applyProtection="1">
      <alignment horizontal="center" vertical="center"/>
    </xf>
    <xf numFmtId="165" fontId="217" fillId="8" borderId="134" xfId="185" applyFont="1" applyFill="1" applyBorder="1" applyAlignment="1" applyProtection="1">
      <alignment horizontal="center" vertical="center"/>
    </xf>
    <xf numFmtId="165" fontId="217" fillId="0" borderId="132" xfId="185" applyFont="1" applyFill="1" applyBorder="1" applyAlignment="1" applyProtection="1">
      <alignment vertical="center"/>
    </xf>
    <xf numFmtId="165" fontId="217" fillId="0" borderId="125" xfId="185" applyFont="1" applyFill="1" applyBorder="1" applyAlignment="1" applyProtection="1">
      <alignment vertical="center"/>
    </xf>
    <xf numFmtId="165" fontId="118" fillId="0" borderId="10" xfId="185" applyFont="1" applyFill="1" applyBorder="1" applyAlignment="1" applyProtection="1">
      <alignment vertical="center"/>
    </xf>
    <xf numFmtId="0" fontId="75" fillId="8" borderId="10" xfId="183" applyFont="1" applyFill="1" applyBorder="1" applyAlignment="1">
      <alignment horizontal="center" vertical="center"/>
    </xf>
    <xf numFmtId="2" fontId="217" fillId="8" borderId="4" xfId="183" applyNumberFormat="1" applyFont="1" applyFill="1" applyBorder="1" applyAlignment="1">
      <alignment horizontal="center" vertical="center"/>
    </xf>
    <xf numFmtId="2" fontId="217" fillId="8" borderId="79" xfId="183" applyNumberFormat="1" applyFont="1" applyFill="1" applyBorder="1" applyAlignment="1">
      <alignment horizontal="center" vertical="center"/>
    </xf>
    <xf numFmtId="165" fontId="217" fillId="8" borderId="3" xfId="185" applyFont="1" applyFill="1" applyBorder="1" applyAlignment="1" applyProtection="1">
      <alignment horizontal="center" vertical="center"/>
    </xf>
    <xf numFmtId="2" fontId="217" fillId="8" borderId="3" xfId="185" applyNumberFormat="1" applyFont="1" applyFill="1" applyBorder="1" applyAlignment="1" applyProtection="1">
      <alignment horizontal="center" vertical="center"/>
    </xf>
    <xf numFmtId="2" fontId="217" fillId="8" borderId="3" xfId="183" applyNumberFormat="1" applyFont="1" applyFill="1" applyBorder="1" applyAlignment="1">
      <alignment horizontal="center" vertical="center"/>
    </xf>
    <xf numFmtId="165" fontId="217" fillId="0" borderId="133" xfId="185" applyFont="1" applyFill="1" applyBorder="1" applyAlignment="1" applyProtection="1">
      <alignment horizontal="center" vertical="center" wrapText="1"/>
    </xf>
    <xf numFmtId="0" fontId="217" fillId="8" borderId="132" xfId="183" applyFont="1" applyFill="1" applyBorder="1" applyAlignment="1">
      <alignment horizontal="center" wrapText="1"/>
    </xf>
    <xf numFmtId="165" fontId="215" fillId="8" borderId="134" xfId="185" applyFont="1" applyFill="1" applyBorder="1" applyAlignment="1" applyProtection="1">
      <alignment horizontal="center"/>
    </xf>
    <xf numFmtId="0" fontId="215" fillId="8" borderId="134" xfId="183" applyFont="1" applyFill="1" applyBorder="1" applyAlignment="1">
      <alignment horizontal="center"/>
    </xf>
    <xf numFmtId="0" fontId="215" fillId="8" borderId="134" xfId="183" applyFont="1" applyFill="1" applyBorder="1"/>
    <xf numFmtId="165" fontId="217" fillId="8" borderId="132" xfId="185" applyFont="1" applyFill="1" applyBorder="1" applyAlignment="1" applyProtection="1">
      <alignment horizontal="center" wrapText="1"/>
    </xf>
    <xf numFmtId="165" fontId="217" fillId="8" borderId="125" xfId="185" applyFont="1" applyFill="1" applyBorder="1" applyAlignment="1" applyProtection="1">
      <alignment horizontal="center" wrapText="1"/>
    </xf>
    <xf numFmtId="165" fontId="118" fillId="8" borderId="10" xfId="185" applyFont="1" applyFill="1" applyBorder="1" applyAlignment="1" applyProtection="1">
      <alignment horizontal="center"/>
    </xf>
    <xf numFmtId="0" fontId="75" fillId="8" borderId="4" xfId="183" applyFont="1" applyFill="1" applyBorder="1"/>
    <xf numFmtId="0" fontId="75" fillId="8" borderId="4" xfId="183" applyFont="1" applyFill="1" applyBorder="1" applyAlignment="1">
      <alignment vertical="center"/>
    </xf>
    <xf numFmtId="165" fontId="78" fillId="8" borderId="7" xfId="185" applyFont="1" applyFill="1" applyBorder="1"/>
    <xf numFmtId="0" fontId="78" fillId="8" borderId="0" xfId="183" applyFont="1" applyFill="1"/>
    <xf numFmtId="165" fontId="154" fillId="0" borderId="14" xfId="185" applyFont="1" applyBorder="1" applyAlignment="1">
      <alignment wrapText="1"/>
    </xf>
    <xf numFmtId="165" fontId="75" fillId="8" borderId="14" xfId="185" applyFont="1" applyFill="1" applyBorder="1"/>
    <xf numFmtId="0" fontId="148" fillId="8" borderId="16" xfId="183" applyFont="1" applyFill="1" applyBorder="1" applyAlignment="1">
      <alignment horizontal="center"/>
    </xf>
    <xf numFmtId="0" fontId="148" fillId="0" borderId="110" xfId="183" applyFont="1" applyBorder="1" applyAlignment="1">
      <alignment wrapText="1" shrinkToFit="1"/>
    </xf>
    <xf numFmtId="165" fontId="154" fillId="0" borderId="138" xfId="185" applyFont="1" applyBorder="1" applyAlignment="1">
      <alignment wrapText="1"/>
    </xf>
    <xf numFmtId="165" fontId="154" fillId="0" borderId="139" xfId="185" applyFont="1" applyBorder="1" applyAlignment="1">
      <alignment wrapText="1"/>
    </xf>
    <xf numFmtId="165" fontId="221" fillId="0" borderId="16" xfId="185" applyFont="1" applyBorder="1" applyAlignment="1">
      <alignment wrapText="1"/>
    </xf>
    <xf numFmtId="2" fontId="215" fillId="8" borderId="34" xfId="185" applyNumberFormat="1" applyFont="1" applyFill="1" applyBorder="1" applyAlignment="1" applyProtection="1">
      <alignment horizontal="center" shrinkToFit="1"/>
    </xf>
    <xf numFmtId="1" fontId="215" fillId="8" borderId="120" xfId="185" applyNumberFormat="1" applyFont="1" applyFill="1" applyBorder="1" applyAlignment="1" applyProtection="1">
      <alignment horizontal="center" shrinkToFit="1"/>
    </xf>
    <xf numFmtId="165" fontId="215" fillId="0" borderId="88" xfId="185" applyFont="1" applyBorder="1" applyAlignment="1">
      <alignment horizontal="center" shrinkToFit="1"/>
    </xf>
    <xf numFmtId="2" fontId="215" fillId="8" borderId="16" xfId="185" applyNumberFormat="1" applyFont="1" applyFill="1" applyBorder="1" applyAlignment="1" applyProtection="1">
      <alignment horizontal="center" shrinkToFit="1"/>
    </xf>
    <xf numFmtId="165" fontId="215" fillId="8" borderId="16" xfId="185" applyFont="1" applyFill="1" applyBorder="1" applyAlignment="1" applyProtection="1">
      <alignment horizontal="center" shrinkToFit="1"/>
    </xf>
    <xf numFmtId="165" fontId="215" fillId="8" borderId="36" xfId="185" applyFont="1" applyFill="1" applyBorder="1" applyAlignment="1" applyProtection="1">
      <alignment horizontal="center" shrinkToFit="1"/>
    </xf>
    <xf numFmtId="165" fontId="221" fillId="0" borderId="141" xfId="185" applyFont="1" applyBorder="1" applyAlignment="1">
      <alignment wrapText="1"/>
    </xf>
    <xf numFmtId="2" fontId="215" fillId="8" borderId="142" xfId="185" applyNumberFormat="1" applyFont="1" applyFill="1" applyBorder="1" applyAlignment="1" applyProtection="1">
      <alignment horizontal="center" shrinkToFit="1"/>
    </xf>
    <xf numFmtId="165" fontId="215" fillId="8" borderId="143" xfId="185" applyFont="1" applyFill="1" applyBorder="1" applyAlignment="1"/>
    <xf numFmtId="165" fontId="215" fillId="8" borderId="141" xfId="185" applyFont="1" applyFill="1" applyBorder="1" applyAlignment="1"/>
    <xf numFmtId="43" fontId="215" fillId="8" borderId="141" xfId="183" applyNumberFormat="1" applyFont="1" applyFill="1" applyBorder="1"/>
    <xf numFmtId="43" fontId="222" fillId="8" borderId="141" xfId="183" applyNumberFormat="1" applyFont="1" applyFill="1" applyBorder="1"/>
    <xf numFmtId="43" fontId="223" fillId="8" borderId="131" xfId="183" applyNumberFormat="1" applyFont="1" applyFill="1" applyBorder="1"/>
    <xf numFmtId="165" fontId="215" fillId="8" borderId="141" xfId="185" applyFont="1" applyFill="1" applyBorder="1"/>
    <xf numFmtId="165" fontId="215" fillId="8" borderId="144" xfId="185" applyFont="1" applyFill="1" applyBorder="1"/>
    <xf numFmtId="165" fontId="215" fillId="8" borderId="34" xfId="185" applyFont="1" applyFill="1" applyBorder="1"/>
    <xf numFmtId="165" fontId="75" fillId="8" borderId="34" xfId="185" applyFont="1" applyFill="1" applyBorder="1"/>
    <xf numFmtId="0" fontId="150" fillId="8" borderId="34" xfId="183" applyFont="1" applyFill="1" applyBorder="1" applyAlignment="1">
      <alignment horizontal="center"/>
    </xf>
    <xf numFmtId="165" fontId="221" fillId="8" borderId="36" xfId="185" applyFont="1" applyFill="1" applyBorder="1" applyAlignment="1"/>
    <xf numFmtId="165" fontId="215" fillId="0" borderId="140" xfId="185" applyFont="1" applyBorder="1" applyAlignment="1">
      <alignment horizontal="center" shrinkToFit="1"/>
    </xf>
    <xf numFmtId="165" fontId="154" fillId="0" borderId="148" xfId="185" applyFont="1" applyBorder="1" applyAlignment="1">
      <alignment wrapText="1"/>
    </xf>
    <xf numFmtId="0" fontId="150" fillId="8" borderId="52" xfId="183" applyFont="1" applyFill="1" applyBorder="1"/>
    <xf numFmtId="0" fontId="150" fillId="8" borderId="52" xfId="183" applyFont="1" applyFill="1" applyBorder="1" applyAlignment="1">
      <alignment horizontal="left"/>
    </xf>
    <xf numFmtId="165" fontId="150" fillId="0" borderId="52" xfId="185" applyFont="1" applyFill="1" applyBorder="1" applyAlignment="1">
      <alignment horizontal="left"/>
    </xf>
    <xf numFmtId="165" fontId="215" fillId="0" borderId="52" xfId="185" applyFont="1" applyFill="1" applyBorder="1" applyAlignment="1">
      <alignment horizontal="left"/>
    </xf>
    <xf numFmtId="165" fontId="215" fillId="8" borderId="52" xfId="185" applyFont="1" applyFill="1" applyBorder="1"/>
    <xf numFmtId="2" fontId="215" fillId="8" borderId="52" xfId="185" applyNumberFormat="1" applyFont="1" applyFill="1" applyBorder="1"/>
    <xf numFmtId="165" fontId="215" fillId="8" borderId="52" xfId="185" applyFont="1" applyFill="1" applyBorder="1" applyAlignment="1">
      <alignment horizontal="left"/>
    </xf>
    <xf numFmtId="165" fontId="217" fillId="8" borderId="52" xfId="185" applyFont="1" applyFill="1" applyBorder="1" applyAlignment="1" applyProtection="1">
      <alignment horizontal="center" shrinkToFit="1"/>
    </xf>
    <xf numFmtId="165" fontId="215" fillId="8" borderId="52" xfId="185" applyFont="1" applyFill="1" applyBorder="1" applyAlignment="1">
      <alignment horizontal="center"/>
    </xf>
    <xf numFmtId="165" fontId="215" fillId="8" borderId="67" xfId="185" applyFont="1" applyFill="1" applyBorder="1"/>
    <xf numFmtId="0" fontId="215" fillId="8" borderId="52" xfId="183" applyFont="1" applyFill="1" applyBorder="1"/>
    <xf numFmtId="0" fontId="215" fillId="8" borderId="126" xfId="183" applyFont="1" applyFill="1" applyBorder="1"/>
    <xf numFmtId="0" fontId="75" fillId="8" borderId="52" xfId="183" applyFont="1" applyFill="1" applyBorder="1"/>
    <xf numFmtId="0" fontId="150" fillId="8" borderId="0" xfId="183" applyFont="1" applyFill="1" applyAlignment="1">
      <alignment horizontal="left"/>
    </xf>
    <xf numFmtId="165" fontId="150" fillId="0" borderId="0" xfId="185" applyFont="1" applyFill="1" applyBorder="1" applyAlignment="1">
      <alignment horizontal="left"/>
    </xf>
    <xf numFmtId="165" fontId="215" fillId="0" borderId="0" xfId="185" applyFont="1" applyFill="1" applyBorder="1" applyAlignment="1">
      <alignment horizontal="left"/>
    </xf>
    <xf numFmtId="2" fontId="215" fillId="0" borderId="0" xfId="183" applyNumberFormat="1" applyFont="1"/>
    <xf numFmtId="165" fontId="215" fillId="8" borderId="0" xfId="185" applyFont="1" applyFill="1" applyBorder="1" applyAlignment="1">
      <alignment horizontal="left"/>
    </xf>
    <xf numFmtId="2" fontId="215" fillId="8" borderId="0" xfId="185" applyNumberFormat="1" applyFont="1" applyFill="1" applyBorder="1" applyAlignment="1">
      <alignment horizontal="center"/>
    </xf>
    <xf numFmtId="43" fontId="215" fillId="0" borderId="0" xfId="183" applyNumberFormat="1" applyFont="1"/>
    <xf numFmtId="2" fontId="59" fillId="0" borderId="0" xfId="183" applyNumberFormat="1" applyFont="1"/>
    <xf numFmtId="0" fontId="187" fillId="0" borderId="0" xfId="183" applyFont="1"/>
    <xf numFmtId="2" fontId="75" fillId="8" borderId="0" xfId="185" applyNumberFormat="1" applyFont="1" applyFill="1" applyBorder="1"/>
    <xf numFmtId="165" fontId="215" fillId="8" borderId="9" xfId="185" applyFont="1" applyFill="1" applyBorder="1"/>
    <xf numFmtId="0" fontId="148" fillId="0" borderId="0" xfId="183" applyFont="1"/>
    <xf numFmtId="0" fontId="148" fillId="0" borderId="0" xfId="183" applyFont="1" applyAlignment="1">
      <alignment horizontal="left"/>
    </xf>
    <xf numFmtId="165" fontId="148" fillId="0" borderId="0" xfId="185" applyFont="1" applyFill="1" applyBorder="1"/>
    <xf numFmtId="2" fontId="151" fillId="0" borderId="0" xfId="185" applyNumberFormat="1" applyFont="1" applyFill="1" applyBorder="1" applyAlignment="1">
      <alignment horizontal="right"/>
    </xf>
    <xf numFmtId="174" fontId="151" fillId="0" borderId="0" xfId="185" applyNumberFormat="1" applyFont="1" applyFill="1" applyBorder="1" applyAlignment="1">
      <alignment horizontal="right"/>
    </xf>
    <xf numFmtId="2" fontId="148" fillId="0" borderId="0" xfId="185" applyNumberFormat="1" applyFont="1" applyFill="1" applyBorder="1"/>
    <xf numFmtId="2" fontId="108" fillId="0" borderId="0" xfId="185" applyNumberFormat="1" applyFont="1" applyFill="1" applyBorder="1" applyAlignment="1">
      <alignment horizontal="right"/>
    </xf>
    <xf numFmtId="165" fontId="75" fillId="0" borderId="0" xfId="185" applyFont="1" applyFill="1" applyBorder="1"/>
    <xf numFmtId="165" fontId="75" fillId="0" borderId="0" xfId="185" applyFont="1" applyFill="1" applyBorder="1" applyAlignment="1">
      <alignment horizontal="center"/>
    </xf>
    <xf numFmtId="0" fontId="75" fillId="0" borderId="0" xfId="183" applyFont="1"/>
    <xf numFmtId="0" fontId="177" fillId="0" borderId="0" xfId="183" applyFont="1" applyAlignment="1">
      <alignment horizontal="center"/>
    </xf>
    <xf numFmtId="0" fontId="73" fillId="0" borderId="0" xfId="183" applyFont="1" applyAlignment="1">
      <alignment horizontal="center"/>
    </xf>
    <xf numFmtId="165" fontId="75" fillId="0" borderId="0" xfId="185" applyFont="1" applyFill="1" applyProtection="1"/>
    <xf numFmtId="165" fontId="75" fillId="0" borderId="0" xfId="185" applyFont="1" applyFill="1" applyAlignment="1" applyProtection="1">
      <alignment horizontal="center"/>
    </xf>
    <xf numFmtId="2" fontId="177" fillId="0" borderId="0" xfId="183" applyNumberFormat="1" applyFont="1" applyAlignment="1">
      <alignment horizontal="center"/>
    </xf>
    <xf numFmtId="174" fontId="177" fillId="0" borderId="0" xfId="183" applyNumberFormat="1" applyFont="1" applyAlignment="1">
      <alignment horizontal="center"/>
    </xf>
    <xf numFmtId="165" fontId="182" fillId="0" borderId="0" xfId="185" applyFont="1" applyFill="1" applyProtection="1"/>
    <xf numFmtId="2" fontId="182" fillId="0" borderId="0" xfId="185" applyNumberFormat="1" applyFont="1" applyFill="1" applyProtection="1"/>
    <xf numFmtId="2" fontId="73" fillId="0" borderId="0" xfId="183" applyNumberFormat="1" applyFont="1" applyAlignment="1">
      <alignment horizontal="center"/>
    </xf>
    <xf numFmtId="0" fontId="73" fillId="8" borderId="0" xfId="183" applyFont="1" applyFill="1" applyAlignment="1">
      <alignment horizontal="center" vertical="center"/>
    </xf>
    <xf numFmtId="165" fontId="75" fillId="0" borderId="0" xfId="185" applyFont="1" applyFill="1" applyBorder="1" applyProtection="1"/>
    <xf numFmtId="165" fontId="75" fillId="0" borderId="0" xfId="185" applyFont="1" applyFill="1" applyBorder="1" applyAlignment="1" applyProtection="1">
      <alignment horizontal="center"/>
    </xf>
    <xf numFmtId="0" fontId="149" fillId="8" borderId="0" xfId="183" applyFont="1" applyFill="1" applyAlignment="1">
      <alignment horizontal="center" vertical="center"/>
    </xf>
    <xf numFmtId="174" fontId="149" fillId="8" borderId="0" xfId="183" applyNumberFormat="1" applyFont="1" applyFill="1" applyAlignment="1">
      <alignment horizontal="center" vertical="center"/>
    </xf>
    <xf numFmtId="2" fontId="149" fillId="8" borderId="0" xfId="183" applyNumberFormat="1" applyFont="1" applyFill="1" applyAlignment="1">
      <alignment horizontal="center" vertical="center"/>
    </xf>
    <xf numFmtId="2" fontId="149" fillId="8" borderId="0" xfId="185" applyNumberFormat="1" applyFont="1" applyFill="1" applyBorder="1" applyAlignment="1" applyProtection="1">
      <alignment horizontal="center" vertical="center"/>
    </xf>
    <xf numFmtId="174" fontId="149" fillId="8" borderId="87" xfId="185" applyNumberFormat="1" applyFont="1" applyFill="1" applyBorder="1" applyAlignment="1" applyProtection="1">
      <alignment horizontal="center" vertical="center" wrapText="1"/>
    </xf>
    <xf numFmtId="165" fontId="75" fillId="8" borderId="0" xfId="185" applyFont="1" applyFill="1" applyBorder="1" applyProtection="1"/>
    <xf numFmtId="174" fontId="149" fillId="8" borderId="0" xfId="185" applyNumberFormat="1" applyFont="1" applyFill="1" applyBorder="1" applyAlignment="1" applyProtection="1">
      <alignment horizontal="center" vertical="center" wrapText="1"/>
    </xf>
    <xf numFmtId="165" fontId="149" fillId="0" borderId="10" xfId="185" applyFont="1" applyFill="1" applyBorder="1" applyAlignment="1" applyProtection="1">
      <alignment horizontal="center" vertical="center"/>
    </xf>
    <xf numFmtId="165" fontId="78" fillId="8" borderId="71" xfId="185" applyFont="1" applyFill="1" applyBorder="1" applyAlignment="1" applyProtection="1">
      <alignment vertical="center"/>
    </xf>
    <xf numFmtId="165" fontId="78" fillId="8" borderId="80" xfId="185" applyFont="1" applyFill="1" applyBorder="1" applyAlignment="1" applyProtection="1">
      <alignment horizontal="center" vertical="center"/>
    </xf>
    <xf numFmtId="165" fontId="75" fillId="0" borderId="0" xfId="185" applyFont="1" applyFill="1" applyAlignment="1" applyProtection="1">
      <alignment vertical="center"/>
    </xf>
    <xf numFmtId="165" fontId="75" fillId="0" borderId="3" xfId="185" applyFont="1" applyFill="1" applyBorder="1" applyAlignment="1" applyProtection="1">
      <alignment vertical="center"/>
    </xf>
    <xf numFmtId="0" fontId="75" fillId="0" borderId="0" xfId="183" applyFont="1" applyAlignment="1">
      <alignment vertical="center"/>
    </xf>
    <xf numFmtId="174" fontId="149" fillId="8" borderId="79" xfId="185" applyNumberFormat="1" applyFont="1" applyFill="1" applyBorder="1" applyAlignment="1" applyProtection="1">
      <alignment horizontal="center" vertical="center" wrapText="1"/>
    </xf>
    <xf numFmtId="165" fontId="149" fillId="8" borderId="3" xfId="185" applyFont="1" applyFill="1" applyBorder="1" applyAlignment="1" applyProtection="1">
      <alignment horizontal="center" vertical="center" wrapText="1"/>
    </xf>
    <xf numFmtId="2" fontId="149" fillId="0" borderId="80" xfId="185" applyNumberFormat="1" applyFont="1" applyFill="1" applyBorder="1" applyAlignment="1" applyProtection="1">
      <alignment horizontal="center" vertical="center" wrapText="1"/>
    </xf>
    <xf numFmtId="174" fontId="149" fillId="0" borderId="80" xfId="185" applyNumberFormat="1" applyFont="1" applyFill="1" applyBorder="1" applyAlignment="1" applyProtection="1">
      <alignment horizontal="center" vertical="center" wrapText="1"/>
    </xf>
    <xf numFmtId="165" fontId="149" fillId="8" borderId="3" xfId="185" applyFont="1" applyFill="1" applyBorder="1" applyAlignment="1" applyProtection="1">
      <alignment horizontal="center" vertical="center"/>
    </xf>
    <xf numFmtId="2" fontId="149" fillId="0" borderId="3" xfId="185" applyNumberFormat="1" applyFont="1" applyFill="1" applyBorder="1" applyAlignment="1" applyProtection="1">
      <alignment horizontal="center" vertical="center" wrapText="1"/>
    </xf>
    <xf numFmtId="165" fontId="78" fillId="7" borderId="71" xfId="185" applyFont="1" applyFill="1" applyBorder="1" applyAlignment="1" applyProtection="1">
      <alignment horizontal="center"/>
    </xf>
    <xf numFmtId="165" fontId="78" fillId="7" borderId="3" xfId="185" applyFont="1" applyFill="1" applyBorder="1" applyAlignment="1" applyProtection="1">
      <alignment horizontal="center"/>
    </xf>
    <xf numFmtId="165" fontId="75" fillId="7" borderId="3" xfId="185" applyFont="1" applyFill="1" applyBorder="1" applyProtection="1"/>
    <xf numFmtId="0" fontId="149" fillId="7" borderId="7" xfId="183" applyFont="1" applyFill="1" applyBorder="1" applyAlignment="1">
      <alignment horizontal="center" vertical="center"/>
    </xf>
    <xf numFmtId="0" fontId="149" fillId="7" borderId="7" xfId="183" applyFont="1" applyFill="1" applyBorder="1" applyAlignment="1">
      <alignment vertical="center"/>
    </xf>
    <xf numFmtId="0" fontId="149" fillId="7" borderId="7" xfId="183" applyFont="1" applyFill="1" applyBorder="1" applyAlignment="1">
      <alignment horizontal="center"/>
    </xf>
    <xf numFmtId="165" fontId="149" fillId="7" borderId="7" xfId="185" applyFont="1" applyFill="1" applyBorder="1" applyAlignment="1" applyProtection="1">
      <alignment horizontal="center"/>
    </xf>
    <xf numFmtId="2" fontId="149" fillId="7" borderId="102" xfId="185" applyNumberFormat="1" applyFont="1" applyFill="1" applyBorder="1" applyAlignment="1" applyProtection="1">
      <alignment horizontal="center"/>
    </xf>
    <xf numFmtId="174" fontId="149" fillId="7" borderId="102" xfId="185" applyNumberFormat="1" applyFont="1" applyFill="1" applyBorder="1" applyAlignment="1" applyProtection="1">
      <alignment horizontal="center"/>
    </xf>
    <xf numFmtId="2" fontId="149" fillId="7" borderId="7" xfId="185" applyNumberFormat="1" applyFont="1" applyFill="1" applyBorder="1" applyAlignment="1" applyProtection="1">
      <alignment horizontal="center"/>
    </xf>
    <xf numFmtId="2" fontId="78" fillId="7" borderId="7" xfId="185" applyNumberFormat="1" applyFont="1" applyFill="1" applyBorder="1" applyAlignment="1" applyProtection="1">
      <alignment horizontal="center"/>
    </xf>
    <xf numFmtId="165" fontId="78" fillId="7" borderId="7" xfId="185" applyFont="1" applyFill="1" applyBorder="1" applyAlignment="1" applyProtection="1">
      <alignment horizontal="center"/>
    </xf>
    <xf numFmtId="165" fontId="78" fillId="7" borderId="71" xfId="185" applyFont="1" applyFill="1" applyBorder="1" applyProtection="1"/>
    <xf numFmtId="165" fontId="78" fillId="7" borderId="2" xfId="185" applyFont="1" applyFill="1" applyBorder="1" applyAlignment="1" applyProtection="1">
      <alignment horizontal="center"/>
    </xf>
    <xf numFmtId="165" fontId="148" fillId="0" borderId="16" xfId="185" applyFont="1" applyFill="1" applyBorder="1" applyAlignment="1" applyProtection="1">
      <alignment vertical="center"/>
    </xf>
    <xf numFmtId="165" fontId="75" fillId="0" borderId="14" xfId="185" applyFont="1" applyFill="1" applyBorder="1" applyAlignment="1" applyProtection="1">
      <alignment horizontal="center" vertical="center"/>
    </xf>
    <xf numFmtId="43" fontId="78" fillId="8" borderId="16" xfId="185" applyNumberFormat="1" applyFont="1" applyFill="1" applyBorder="1" applyAlignment="1">
      <alignment horizontal="center" vertical="center"/>
    </xf>
    <xf numFmtId="165" fontId="75" fillId="0" borderId="55" xfId="185" applyFont="1" applyFill="1" applyBorder="1" applyAlignment="1">
      <alignment vertical="center"/>
    </xf>
    <xf numFmtId="165" fontId="75" fillId="0" borderId="55" xfId="185" applyFont="1" applyFill="1" applyBorder="1" applyAlignment="1">
      <alignment horizontal="center" vertical="center"/>
    </xf>
    <xf numFmtId="165" fontId="75" fillId="0" borderId="115" xfId="185" applyFont="1" applyFill="1" applyBorder="1" applyAlignment="1" applyProtection="1">
      <alignment vertical="center"/>
    </xf>
    <xf numFmtId="165" fontId="75" fillId="0" borderId="0" xfId="185" applyFont="1" applyFill="1" applyBorder="1" applyAlignment="1">
      <alignment vertical="center"/>
    </xf>
    <xf numFmtId="165" fontId="75" fillId="0" borderId="69" xfId="185" applyFont="1" applyFill="1" applyBorder="1" applyAlignment="1">
      <alignment vertical="center"/>
    </xf>
    <xf numFmtId="0" fontId="148" fillId="0" borderId="16" xfId="183" applyFont="1" applyBorder="1" applyAlignment="1">
      <alignment horizontal="center"/>
    </xf>
    <xf numFmtId="0" fontId="148" fillId="0" borderId="16" xfId="183" applyFont="1" applyBorder="1" applyAlignment="1">
      <alignment horizontal="center" vertical="center"/>
    </xf>
    <xf numFmtId="0" fontId="148" fillId="0" borderId="16" xfId="183" applyFont="1" applyBorder="1" applyAlignment="1">
      <alignment vertical="center"/>
    </xf>
    <xf numFmtId="2" fontId="148" fillId="0" borderId="16" xfId="185" applyNumberFormat="1" applyFont="1" applyFill="1" applyBorder="1" applyAlignment="1" applyProtection="1">
      <alignment horizontal="center" vertical="center"/>
    </xf>
    <xf numFmtId="174" fontId="148" fillId="0" borderId="16" xfId="185" applyNumberFormat="1" applyFont="1" applyFill="1" applyBorder="1" applyAlignment="1" applyProtection="1">
      <alignment horizontal="center" vertical="center"/>
    </xf>
    <xf numFmtId="165" fontId="75" fillId="0" borderId="88" xfId="185" applyFont="1" applyFill="1" applyBorder="1" applyAlignment="1" applyProtection="1">
      <alignment horizontal="center" vertical="center"/>
    </xf>
    <xf numFmtId="165" fontId="75" fillId="0" borderId="16" xfId="185" applyFont="1" applyFill="1" applyBorder="1" applyAlignment="1">
      <alignment vertical="center"/>
    </xf>
    <xf numFmtId="165" fontId="75" fillId="0" borderId="16" xfId="185" applyFont="1" applyFill="1" applyBorder="1" applyAlignment="1">
      <alignment horizontal="center" vertical="center"/>
    </xf>
    <xf numFmtId="165" fontId="75" fillId="0" borderId="110" xfId="185" applyFont="1" applyFill="1" applyBorder="1" applyAlignment="1" applyProtection="1">
      <alignment vertical="center"/>
    </xf>
    <xf numFmtId="165" fontId="75" fillId="0" borderId="89" xfId="185" applyFont="1" applyFill="1" applyBorder="1" applyAlignment="1">
      <alignment vertical="center"/>
    </xf>
    <xf numFmtId="165" fontId="75" fillId="0" borderId="89" xfId="185" applyFont="1" applyFill="1" applyBorder="1" applyAlignment="1" applyProtection="1">
      <alignment vertical="center"/>
    </xf>
    <xf numFmtId="165" fontId="123" fillId="0" borderId="16" xfId="185" applyFont="1" applyFill="1" applyBorder="1" applyAlignment="1" applyProtection="1">
      <alignment vertical="center"/>
    </xf>
    <xf numFmtId="165" fontId="75" fillId="0" borderId="16" xfId="185" applyFont="1" applyFill="1" applyBorder="1" applyAlignment="1" applyProtection="1">
      <alignment vertical="center"/>
    </xf>
    <xf numFmtId="43" fontId="78" fillId="0" borderId="16" xfId="185" applyNumberFormat="1" applyFont="1" applyFill="1" applyBorder="1" applyAlignment="1">
      <alignment horizontal="center" vertical="center"/>
    </xf>
    <xf numFmtId="165" fontId="75" fillId="0" borderId="16" xfId="185" applyFont="1" applyFill="1" applyBorder="1" applyAlignment="1" applyProtection="1">
      <alignment horizontal="center" vertical="center"/>
    </xf>
    <xf numFmtId="0" fontId="148" fillId="0" borderId="52" xfId="183" applyFont="1" applyBorder="1" applyAlignment="1">
      <alignment horizontal="center"/>
    </xf>
    <xf numFmtId="0" fontId="148" fillId="0" borderId="52" xfId="183" applyFont="1" applyBorder="1" applyAlignment="1">
      <alignment horizontal="center" vertical="center"/>
    </xf>
    <xf numFmtId="0" fontId="148" fillId="0" borderId="52" xfId="183" applyFont="1" applyBorder="1" applyAlignment="1">
      <alignment vertical="center"/>
    </xf>
    <xf numFmtId="165" fontId="148" fillId="0" borderId="52" xfId="185" applyFont="1" applyFill="1" applyBorder="1" applyAlignment="1">
      <alignment vertical="center"/>
    </xf>
    <xf numFmtId="2" fontId="148" fillId="0" borderId="52" xfId="185" applyNumberFormat="1" applyFont="1" applyFill="1" applyBorder="1" applyAlignment="1" applyProtection="1">
      <alignment horizontal="center" vertical="center"/>
    </xf>
    <xf numFmtId="174" fontId="148" fillId="0" borderId="52" xfId="185" applyNumberFormat="1" applyFont="1" applyFill="1" applyBorder="1" applyAlignment="1" applyProtection="1">
      <alignment horizontal="center" vertical="center"/>
    </xf>
    <xf numFmtId="165" fontId="148" fillId="0" borderId="52" xfId="185" applyFont="1" applyFill="1" applyBorder="1" applyAlignment="1" applyProtection="1">
      <alignment vertical="center"/>
    </xf>
    <xf numFmtId="0" fontId="148" fillId="0" borderId="16" xfId="183" applyFont="1" applyBorder="1" applyAlignment="1">
      <alignment horizontal="left" vertical="center"/>
    </xf>
    <xf numFmtId="165" fontId="75" fillId="0" borderId="88" xfId="185" applyFont="1" applyFill="1" applyBorder="1" applyAlignment="1">
      <alignment vertical="center"/>
    </xf>
    <xf numFmtId="165" fontId="75" fillId="0" borderId="88" xfId="185" applyFont="1" applyFill="1" applyBorder="1" applyAlignment="1">
      <alignment horizontal="center" vertical="center"/>
    </xf>
    <xf numFmtId="0" fontId="148" fillId="0" borderId="0" xfId="183" applyFont="1" applyAlignment="1">
      <alignment horizontal="center"/>
    </xf>
    <xf numFmtId="165" fontId="148" fillId="0" borderId="0" xfId="185" applyFont="1" applyFill="1" applyBorder="1" applyAlignment="1" applyProtection="1">
      <alignment horizontal="center"/>
    </xf>
    <xf numFmtId="2" fontId="148" fillId="0" borderId="0" xfId="183" applyNumberFormat="1" applyFont="1" applyAlignment="1">
      <alignment horizontal="center"/>
    </xf>
    <xf numFmtId="174" fontId="148" fillId="0" borderId="0" xfId="183" applyNumberFormat="1" applyFont="1" applyAlignment="1">
      <alignment horizontal="center"/>
    </xf>
    <xf numFmtId="2" fontId="148" fillId="0" borderId="0" xfId="185" applyNumberFormat="1" applyFont="1" applyFill="1" applyBorder="1" applyAlignment="1" applyProtection="1">
      <alignment horizontal="center"/>
    </xf>
    <xf numFmtId="2" fontId="75" fillId="0" borderId="0" xfId="183" applyNumberFormat="1" applyFont="1" applyAlignment="1">
      <alignment horizontal="center"/>
    </xf>
    <xf numFmtId="165" fontId="75" fillId="0" borderId="0" xfId="185" applyFont="1" applyFill="1" applyBorder="1" applyAlignment="1">
      <alignment shrinkToFit="1"/>
    </xf>
    <xf numFmtId="2" fontId="148" fillId="0" borderId="0" xfId="183" applyNumberFormat="1" applyFont="1"/>
    <xf numFmtId="174" fontId="148" fillId="0" borderId="0" xfId="183" applyNumberFormat="1" applyFont="1"/>
    <xf numFmtId="2" fontId="119" fillId="0" borderId="0" xfId="183" applyNumberFormat="1" applyFont="1"/>
    <xf numFmtId="174" fontId="148" fillId="0" borderId="0" xfId="185" applyNumberFormat="1" applyFont="1" applyFill="1" applyBorder="1"/>
    <xf numFmtId="2" fontId="75" fillId="0" borderId="0" xfId="185" applyNumberFormat="1" applyFont="1" applyFill="1" applyBorder="1"/>
    <xf numFmtId="165" fontId="151" fillId="8" borderId="0" xfId="185" applyFont="1" applyFill="1" applyBorder="1" applyAlignment="1">
      <alignment horizontal="center"/>
    </xf>
    <xf numFmtId="165" fontId="151" fillId="0" borderId="0" xfId="185" applyFont="1" applyFill="1" applyBorder="1" applyAlignment="1">
      <alignment horizontal="right"/>
    </xf>
    <xf numFmtId="0" fontId="71" fillId="0" borderId="0" xfId="183" applyFont="1"/>
    <xf numFmtId="0" fontId="122" fillId="0" borderId="0" xfId="183" applyFont="1"/>
    <xf numFmtId="165" fontId="149" fillId="0" borderId="80" xfId="185" applyFont="1" applyFill="1" applyBorder="1" applyAlignment="1" applyProtection="1">
      <alignment vertical="center"/>
    </xf>
    <xf numFmtId="165" fontId="149" fillId="0" borderId="2" xfId="185" applyFont="1" applyFill="1" applyBorder="1" applyAlignment="1" applyProtection="1">
      <alignment vertical="center"/>
    </xf>
    <xf numFmtId="165" fontId="149" fillId="0" borderId="71" xfId="185" applyFont="1" applyFill="1" applyBorder="1" applyAlignment="1" applyProtection="1">
      <alignment vertical="center"/>
    </xf>
    <xf numFmtId="0" fontId="149" fillId="8" borderId="3" xfId="183" applyFont="1" applyFill="1" applyBorder="1" applyAlignment="1">
      <alignment horizontal="center" vertical="center"/>
    </xf>
    <xf numFmtId="165" fontId="149" fillId="0" borderId="55" xfId="185" applyFont="1" applyFill="1" applyBorder="1" applyAlignment="1" applyProtection="1">
      <alignment horizontal="center" vertical="center"/>
    </xf>
    <xf numFmtId="165" fontId="149" fillId="0" borderId="58" xfId="185" applyFont="1" applyFill="1" applyBorder="1" applyAlignment="1" applyProtection="1">
      <alignment vertical="center"/>
    </xf>
    <xf numFmtId="165" fontId="149" fillId="0" borderId="0" xfId="185" applyFont="1" applyFill="1" applyBorder="1" applyAlignment="1" applyProtection="1">
      <alignment vertical="center"/>
    </xf>
    <xf numFmtId="165" fontId="149" fillId="0" borderId="9" xfId="185" applyFont="1" applyFill="1" applyBorder="1" applyAlignment="1" applyProtection="1">
      <alignment vertical="center"/>
    </xf>
    <xf numFmtId="165" fontId="149" fillId="0" borderId="0" xfId="185" applyFont="1" applyFill="1" applyBorder="1" applyAlignment="1" applyProtection="1">
      <alignment horizontal="center" vertical="center" wrapText="1"/>
    </xf>
    <xf numFmtId="0" fontId="149" fillId="8" borderId="10" xfId="183" applyFont="1" applyFill="1" applyBorder="1" applyAlignment="1">
      <alignment horizontal="center" wrapText="1"/>
    </xf>
    <xf numFmtId="165" fontId="149" fillId="0" borderId="94" xfId="185" applyFont="1" applyFill="1" applyBorder="1" applyAlignment="1" applyProtection="1">
      <alignment horizontal="center" vertical="center"/>
    </xf>
    <xf numFmtId="2" fontId="149" fillId="0" borderId="3" xfId="185" applyNumberFormat="1" applyFont="1" applyFill="1" applyBorder="1" applyAlignment="1" applyProtection="1">
      <alignment horizontal="center" vertical="center"/>
    </xf>
    <xf numFmtId="174" fontId="149" fillId="0" borderId="3" xfId="185" applyNumberFormat="1" applyFont="1" applyFill="1" applyBorder="1" applyAlignment="1" applyProtection="1">
      <alignment horizontal="center" vertical="center"/>
    </xf>
    <xf numFmtId="165" fontId="149" fillId="8" borderId="10" xfId="185" applyFont="1" applyFill="1" applyBorder="1" applyAlignment="1" applyProtection="1">
      <alignment horizontal="center" wrapText="1"/>
    </xf>
    <xf numFmtId="165" fontId="149" fillId="8" borderId="10" xfId="185" applyFont="1" applyFill="1" applyBorder="1" applyAlignment="1" applyProtection="1">
      <alignment horizontal="center"/>
    </xf>
    <xf numFmtId="2" fontId="149" fillId="7" borderId="7" xfId="185" applyNumberFormat="1" applyFont="1" applyFill="1" applyBorder="1" applyAlignment="1" applyProtection="1">
      <alignment horizontal="center" vertical="center"/>
    </xf>
    <xf numFmtId="0" fontId="148" fillId="0" borderId="14" xfId="183" applyFont="1" applyBorder="1" applyAlignment="1">
      <alignment horizontal="center"/>
    </xf>
    <xf numFmtId="0" fontId="148" fillId="0" borderId="14" xfId="183" applyFont="1" applyBorder="1" applyAlignment="1">
      <alignment horizontal="center" vertical="center"/>
    </xf>
    <xf numFmtId="0" fontId="148" fillId="0" borderId="14" xfId="183" applyFont="1" applyBorder="1" applyAlignment="1">
      <alignment vertical="center"/>
    </xf>
    <xf numFmtId="165" fontId="154" fillId="0" borderId="14" xfId="185" applyFont="1" applyFill="1" applyBorder="1" applyAlignment="1">
      <alignment vertical="center"/>
    </xf>
    <xf numFmtId="165" fontId="148" fillId="0" borderId="14" xfId="185" applyFont="1" applyFill="1" applyBorder="1" applyAlignment="1" applyProtection="1">
      <alignment horizontal="center" vertical="center"/>
    </xf>
    <xf numFmtId="2" fontId="148" fillId="0" borderId="130" xfId="185" applyNumberFormat="1" applyFont="1" applyFill="1" applyBorder="1" applyAlignment="1" applyProtection="1">
      <alignment horizontal="center" vertical="center" wrapText="1"/>
    </xf>
    <xf numFmtId="165" fontId="154" fillId="0" borderId="122" xfId="185" applyFont="1" applyFill="1" applyBorder="1" applyAlignment="1">
      <alignment vertical="center"/>
    </xf>
    <xf numFmtId="2" fontId="148" fillId="0" borderId="14" xfId="185" applyNumberFormat="1" applyFont="1" applyFill="1" applyBorder="1" applyAlignment="1" applyProtection="1">
      <alignment horizontal="center" vertical="center"/>
    </xf>
    <xf numFmtId="2" fontId="148" fillId="0" borderId="14" xfId="185" applyNumberFormat="1" applyFont="1" applyFill="1" applyBorder="1" applyAlignment="1" applyProtection="1">
      <alignment horizontal="center" vertical="center" wrapText="1"/>
    </xf>
    <xf numFmtId="165" fontId="154" fillId="0" borderId="16" xfId="185" applyFont="1" applyFill="1" applyBorder="1" applyAlignment="1">
      <alignment vertical="center"/>
    </xf>
    <xf numFmtId="165" fontId="148" fillId="0" borderId="16" xfId="185" applyFont="1" applyFill="1" applyBorder="1" applyAlignment="1" applyProtection="1">
      <alignment horizontal="center" vertical="center"/>
    </xf>
    <xf numFmtId="2" fontId="148" fillId="0" borderId="112" xfId="185" applyNumberFormat="1" applyFont="1" applyFill="1" applyBorder="1" applyAlignment="1" applyProtection="1">
      <alignment horizontal="center" vertical="center" wrapText="1"/>
    </xf>
    <xf numFmtId="165" fontId="154" fillId="0" borderId="88" xfId="185" applyFont="1" applyFill="1" applyBorder="1" applyAlignment="1">
      <alignment vertical="center"/>
    </xf>
    <xf numFmtId="2" fontId="148" fillId="0" borderId="16" xfId="185" applyNumberFormat="1" applyFont="1" applyFill="1" applyBorder="1" applyAlignment="1" applyProtection="1">
      <alignment horizontal="center" vertical="center" wrapText="1"/>
    </xf>
    <xf numFmtId="165" fontId="148" fillId="0" borderId="34" xfId="185" applyFont="1" applyFill="1" applyBorder="1" applyAlignment="1" applyProtection="1">
      <alignment horizontal="center" vertical="center"/>
    </xf>
    <xf numFmtId="0" fontId="154" fillId="0" borderId="52" xfId="183" applyFont="1" applyBorder="1"/>
    <xf numFmtId="0" fontId="148" fillId="0" borderId="52" xfId="183" applyFont="1" applyBorder="1"/>
    <xf numFmtId="165" fontId="148" fillId="0" borderId="52" xfId="185" applyFont="1" applyFill="1" applyBorder="1"/>
    <xf numFmtId="165" fontId="148" fillId="0" borderId="52" xfId="185" applyFont="1" applyFill="1" applyBorder="1" applyAlignment="1" applyProtection="1">
      <alignment horizontal="center"/>
    </xf>
    <xf numFmtId="165" fontId="148" fillId="0" borderId="52" xfId="185" applyFont="1" applyFill="1" applyBorder="1" applyAlignment="1">
      <alignment horizontal="center"/>
    </xf>
    <xf numFmtId="2" fontId="148" fillId="0" borderId="52" xfId="185" applyNumberFormat="1" applyFont="1" applyFill="1" applyBorder="1" applyAlignment="1" applyProtection="1">
      <alignment horizontal="center"/>
    </xf>
    <xf numFmtId="2" fontId="148" fillId="0" borderId="52" xfId="185" applyNumberFormat="1" applyFont="1" applyFill="1" applyBorder="1" applyAlignment="1">
      <alignment horizontal="center" vertical="center"/>
    </xf>
    <xf numFmtId="0" fontId="89" fillId="0" borderId="0" xfId="183" applyFont="1"/>
    <xf numFmtId="0" fontId="156" fillId="8" borderId="0" xfId="183" applyFont="1" applyFill="1"/>
    <xf numFmtId="0" fontId="154" fillId="0" borderId="0" xfId="183" applyFont="1" applyAlignment="1">
      <alignment horizontal="center"/>
    </xf>
    <xf numFmtId="0" fontId="154" fillId="0" borderId="0" xfId="183" applyFont="1"/>
    <xf numFmtId="165" fontId="154" fillId="0" borderId="0" xfId="185" applyFont="1" applyFill="1" applyBorder="1"/>
    <xf numFmtId="165" fontId="154" fillId="0" borderId="0" xfId="185" applyFont="1" applyFill="1" applyBorder="1" applyAlignment="1" applyProtection="1">
      <alignment horizontal="center"/>
    </xf>
    <xf numFmtId="165" fontId="154" fillId="0" borderId="0" xfId="185" applyFont="1" applyAlignment="1">
      <alignment horizontal="center"/>
    </xf>
    <xf numFmtId="2" fontId="154" fillId="0" borderId="0" xfId="185" applyNumberFormat="1" applyFont="1" applyFill="1" applyBorder="1" applyAlignment="1" applyProtection="1">
      <alignment horizontal="center"/>
    </xf>
    <xf numFmtId="21" fontId="154" fillId="0" borderId="0" xfId="183" applyNumberFormat="1" applyFont="1"/>
    <xf numFmtId="0" fontId="123" fillId="8" borderId="0" xfId="183" applyFont="1" applyFill="1"/>
    <xf numFmtId="0" fontId="156" fillId="8" borderId="0" xfId="183" applyFont="1" applyFill="1" applyAlignment="1">
      <alignment horizontal="left"/>
    </xf>
    <xf numFmtId="165" fontId="156" fillId="8" borderId="0" xfId="185" applyFont="1" applyFill="1" applyBorder="1" applyAlignment="1">
      <alignment horizontal="left"/>
    </xf>
    <xf numFmtId="165" fontId="156" fillId="8" borderId="0" xfId="185" applyFont="1" applyFill="1" applyBorder="1"/>
    <xf numFmtId="165" fontId="156" fillId="8" borderId="0" xfId="185" applyFont="1" applyFill="1" applyBorder="1" applyAlignment="1">
      <alignment horizontal="center"/>
    </xf>
    <xf numFmtId="0" fontId="156" fillId="8" borderId="0" xfId="183" applyFont="1" applyFill="1" applyAlignment="1">
      <alignment horizontal="left" indent="2"/>
    </xf>
    <xf numFmtId="165" fontId="231" fillId="8" borderId="0" xfId="185" applyFont="1" applyFill="1" applyBorder="1"/>
    <xf numFmtId="165" fontId="151" fillId="8" borderId="0" xfId="185" applyFont="1" applyFill="1" applyBorder="1"/>
    <xf numFmtId="165" fontId="232" fillId="8" borderId="0" xfId="185" applyFont="1" applyFill="1" applyBorder="1"/>
    <xf numFmtId="0" fontId="154" fillId="8" borderId="0" xfId="183" applyFont="1" applyFill="1"/>
    <xf numFmtId="0" fontId="154" fillId="8" borderId="0" xfId="183" applyFont="1" applyFill="1" applyAlignment="1">
      <alignment horizontal="left"/>
    </xf>
    <xf numFmtId="165" fontId="154" fillId="8" borderId="0" xfId="185" applyFont="1" applyFill="1" applyBorder="1"/>
    <xf numFmtId="165" fontId="154" fillId="8" borderId="0" xfId="185" applyFont="1" applyFill="1" applyBorder="1" applyAlignment="1">
      <alignment horizontal="center"/>
    </xf>
    <xf numFmtId="0" fontId="89" fillId="8" borderId="0" xfId="183" applyFont="1" applyFill="1"/>
    <xf numFmtId="0" fontId="154" fillId="0" borderId="0" xfId="183" applyFont="1" applyAlignment="1">
      <alignment horizontal="left"/>
    </xf>
    <xf numFmtId="165" fontId="154" fillId="0" borderId="0" xfId="185" applyFont="1" applyFill="1" applyBorder="1" applyAlignment="1">
      <alignment horizontal="center"/>
    </xf>
    <xf numFmtId="165" fontId="154" fillId="0" borderId="0" xfId="185" applyFont="1" applyFill="1" applyProtection="1">
      <protection locked="0"/>
    </xf>
    <xf numFmtId="165" fontId="148" fillId="0" borderId="0" xfId="185" applyFont="1" applyFill="1" applyProtection="1">
      <protection locked="0"/>
    </xf>
    <xf numFmtId="165" fontId="148" fillId="0" borderId="0" xfId="185" applyFont="1" applyFill="1" applyBorder="1" applyAlignment="1">
      <alignment horizontal="center"/>
    </xf>
    <xf numFmtId="43" fontId="199" fillId="20" borderId="7" xfId="55" applyFont="1" applyFill="1" applyBorder="1" applyAlignment="1">
      <alignment horizontal="center" vertical="center"/>
    </xf>
    <xf numFmtId="43" fontId="199" fillId="0" borderId="3" xfId="55" applyFont="1" applyFill="1" applyBorder="1" applyAlignment="1">
      <alignment vertical="center"/>
    </xf>
    <xf numFmtId="43" fontId="199" fillId="0" borderId="3" xfId="55" applyFont="1" applyFill="1" applyBorder="1" applyAlignment="1">
      <alignment horizontal="center" vertical="center"/>
    </xf>
    <xf numFmtId="43" fontId="89" fillId="0" borderId="0" xfId="55" applyFont="1"/>
    <xf numFmtId="43" fontId="78" fillId="0" borderId="0" xfId="55" applyFont="1" applyAlignment="1">
      <alignment vertical="center"/>
    </xf>
    <xf numFmtId="43" fontId="78" fillId="0" borderId="0" xfId="55" applyFont="1"/>
    <xf numFmtId="43" fontId="89" fillId="0" borderId="0" xfId="55" applyFont="1" applyFill="1"/>
    <xf numFmtId="43" fontId="167" fillId="0" borderId="0" xfId="55" applyFont="1" applyFill="1"/>
    <xf numFmtId="43" fontId="110" fillId="0" borderId="0" xfId="55" applyFont="1" applyFill="1"/>
    <xf numFmtId="43" fontId="110" fillId="0" borderId="0" xfId="55" applyFont="1"/>
    <xf numFmtId="0" fontId="148" fillId="8" borderId="16" xfId="27" applyFont="1" applyFill="1" applyBorder="1" applyAlignment="1">
      <alignment vertical="top" wrapText="1"/>
    </xf>
    <xf numFmtId="49" fontId="154" fillId="8" borderId="16" xfId="47" applyNumberFormat="1" applyFont="1" applyFill="1" applyBorder="1" applyAlignment="1">
      <alignment horizontal="center" vertical="top"/>
    </xf>
    <xf numFmtId="43" fontId="154" fillId="8" borderId="16" xfId="37" applyFont="1" applyFill="1" applyBorder="1" applyAlignment="1">
      <alignment vertical="top"/>
    </xf>
    <xf numFmtId="43" fontId="154" fillId="8" borderId="16" xfId="37" applyFont="1" applyFill="1" applyBorder="1" applyAlignment="1">
      <alignment horizontal="center" vertical="top"/>
    </xf>
    <xf numFmtId="0" fontId="148" fillId="8" borderId="16" xfId="27" applyFont="1" applyFill="1" applyBorder="1" applyAlignment="1">
      <alignment wrapText="1"/>
    </xf>
    <xf numFmtId="49" fontId="154" fillId="8" borderId="16" xfId="47" applyNumberFormat="1" applyFont="1" applyFill="1" applyBorder="1" applyAlignment="1">
      <alignment horizontal="center"/>
    </xf>
    <xf numFmtId="43" fontId="154" fillId="8" borderId="16" xfId="37" applyFont="1" applyFill="1" applyBorder="1" applyAlignment="1"/>
    <xf numFmtId="43" fontId="154" fillId="8" borderId="16" xfId="37" applyFont="1" applyFill="1" applyBorder="1" applyAlignment="1">
      <alignment horizontal="center"/>
    </xf>
    <xf numFmtId="0" fontId="154" fillId="8" borderId="16" xfId="27" applyFont="1" applyFill="1" applyBorder="1" applyAlignment="1">
      <alignment horizontal="left" vertical="top" wrapText="1"/>
    </xf>
    <xf numFmtId="43" fontId="148" fillId="8" borderId="16" xfId="37" applyFont="1" applyFill="1" applyBorder="1" applyAlignment="1">
      <alignment vertical="top"/>
    </xf>
    <xf numFmtId="43" fontId="148" fillId="8" borderId="16" xfId="37" applyFont="1" applyFill="1" applyBorder="1" applyAlignment="1">
      <alignment horizontal="center" vertical="top"/>
    </xf>
    <xf numFmtId="0" fontId="148" fillId="8" borderId="16" xfId="27" applyFont="1" applyFill="1" applyBorder="1" applyAlignment="1">
      <alignment horizontal="center" vertical="top" wrapText="1"/>
    </xf>
    <xf numFmtId="0" fontId="154" fillId="8" borderId="16" xfId="27" applyFont="1" applyFill="1" applyBorder="1" applyAlignment="1">
      <alignment wrapText="1"/>
    </xf>
    <xf numFmtId="43" fontId="148" fillId="8" borderId="16" xfId="37" applyFont="1" applyFill="1" applyBorder="1" applyAlignment="1"/>
    <xf numFmtId="0" fontId="154" fillId="8" borderId="12" xfId="27" applyFont="1" applyFill="1" applyBorder="1" applyAlignment="1">
      <alignment horizontal="center" vertical="top"/>
    </xf>
    <xf numFmtId="0" fontId="154" fillId="8" borderId="12" xfId="27" applyFont="1" applyFill="1" applyBorder="1" applyAlignment="1">
      <alignment wrapText="1"/>
    </xf>
    <xf numFmtId="49" fontId="154" fillId="8" borderId="12" xfId="47" applyNumberFormat="1" applyFont="1" applyFill="1" applyBorder="1" applyAlignment="1">
      <alignment horizontal="center" vertical="top"/>
    </xf>
    <xf numFmtId="43" fontId="154" fillId="8" borderId="12" xfId="37" applyFont="1" applyFill="1" applyBorder="1" applyAlignment="1">
      <alignment vertical="top"/>
    </xf>
    <xf numFmtId="43" fontId="154" fillId="8" borderId="12" xfId="37" applyFont="1" applyFill="1" applyBorder="1" applyAlignment="1">
      <alignment horizontal="center" vertical="top"/>
    </xf>
    <xf numFmtId="0" fontId="154" fillId="8" borderId="12" xfId="27" applyFont="1" applyFill="1" applyBorder="1" applyAlignment="1">
      <alignment horizontal="center"/>
    </xf>
    <xf numFmtId="49" fontId="154" fillId="8" borderId="12" xfId="47" applyNumberFormat="1" applyFont="1" applyFill="1" applyBorder="1" applyAlignment="1">
      <alignment horizontal="center"/>
    </xf>
    <xf numFmtId="43" fontId="154" fillId="8" borderId="12" xfId="37" applyFont="1" applyFill="1" applyBorder="1" applyAlignment="1"/>
    <xf numFmtId="43" fontId="154" fillId="8" borderId="12" xfId="37" applyFont="1" applyFill="1" applyBorder="1" applyAlignment="1">
      <alignment horizontal="center"/>
    </xf>
    <xf numFmtId="0" fontId="154" fillId="8" borderId="12" xfId="27" applyFont="1" applyFill="1" applyBorder="1" applyAlignment="1">
      <alignment vertical="top" wrapText="1"/>
    </xf>
    <xf numFmtId="49" fontId="214" fillId="8" borderId="0" xfId="27" applyNumberFormat="1" applyFont="1" applyFill="1"/>
    <xf numFmtId="165" fontId="180" fillId="7" borderId="3" xfId="3" applyFont="1" applyFill="1" applyBorder="1" applyAlignment="1">
      <alignment vertical="center"/>
    </xf>
    <xf numFmtId="43" fontId="150" fillId="8" borderId="129" xfId="37" applyFont="1" applyFill="1" applyBorder="1" applyAlignment="1" applyProtection="1">
      <alignment horizontal="center" vertical="top"/>
    </xf>
    <xf numFmtId="0" fontId="227" fillId="8" borderId="16" xfId="27" applyFont="1" applyFill="1" applyBorder="1" applyAlignment="1">
      <alignment horizontal="center" vertical="top"/>
    </xf>
    <xf numFmtId="0" fontId="227" fillId="8" borderId="16" xfId="27" applyFont="1" applyFill="1" applyBorder="1" applyAlignment="1">
      <alignment horizontal="center" vertical="top" wrapText="1"/>
    </xf>
    <xf numFmtId="43" fontId="227" fillId="8" borderId="16" xfId="37" applyFont="1" applyFill="1" applyBorder="1" applyAlignment="1" applyProtection="1">
      <alignment horizontal="center" vertical="top"/>
    </xf>
    <xf numFmtId="43" fontId="150" fillId="8" borderId="16" xfId="37" applyFont="1" applyFill="1" applyBorder="1" applyAlignment="1" applyProtection="1">
      <alignment horizontal="center" vertical="top"/>
    </xf>
    <xf numFmtId="0" fontId="234" fillId="8" borderId="0" xfId="27" applyFont="1" applyFill="1" applyAlignment="1">
      <alignment vertical="top"/>
    </xf>
    <xf numFmtId="165" fontId="234" fillId="8" borderId="0" xfId="185" applyFont="1" applyFill="1" applyBorder="1" applyAlignment="1" applyProtection="1">
      <alignment vertical="top"/>
    </xf>
    <xf numFmtId="49" fontId="234" fillId="8" borderId="0" xfId="27" applyNumberFormat="1" applyFont="1" applyFill="1" applyAlignment="1">
      <alignment vertical="top"/>
    </xf>
    <xf numFmtId="2" fontId="148" fillId="0" borderId="0" xfId="185" applyNumberFormat="1" applyFont="1" applyFill="1" applyBorder="1" applyAlignment="1">
      <alignment horizontal="center" vertical="center"/>
    </xf>
    <xf numFmtId="2" fontId="177" fillId="0" borderId="0" xfId="183" applyNumberFormat="1" applyFont="1" applyAlignment="1">
      <alignment horizontal="center" vertical="center"/>
    </xf>
    <xf numFmtId="2" fontId="148" fillId="0" borderId="16" xfId="185" applyNumberFormat="1" applyFont="1" applyFill="1" applyBorder="1" applyAlignment="1">
      <alignment horizontal="center" vertical="center"/>
    </xf>
    <xf numFmtId="2" fontId="148" fillId="0" borderId="0" xfId="185" applyNumberFormat="1" applyFont="1" applyFill="1" applyBorder="1" applyAlignment="1" applyProtection="1">
      <alignment horizontal="center" vertical="center"/>
    </xf>
    <xf numFmtId="0" fontId="236" fillId="0" borderId="32" xfId="147" applyFont="1" applyBorder="1" applyAlignment="1">
      <alignment horizontal="center"/>
    </xf>
    <xf numFmtId="0" fontId="154" fillId="0" borderId="32" xfId="305" applyFont="1" applyBorder="1" applyAlignment="1">
      <alignment wrapText="1" shrinkToFit="1"/>
    </xf>
    <xf numFmtId="0" fontId="236" fillId="0" borderId="3" xfId="15" applyFont="1" applyBorder="1" applyAlignment="1">
      <alignment horizontal="center"/>
    </xf>
    <xf numFmtId="0" fontId="236" fillId="0" borderId="3" xfId="147" applyFont="1" applyBorder="1" applyAlignment="1">
      <alignment horizontal="center"/>
    </xf>
    <xf numFmtId="0" fontId="154" fillId="8" borderId="3" xfId="305" applyFont="1" applyFill="1" applyBorder="1" applyAlignment="1">
      <alignment wrapText="1" shrinkToFit="1"/>
    </xf>
    <xf numFmtId="0" fontId="154" fillId="0" borderId="3" xfId="305" applyFont="1" applyBorder="1" applyAlignment="1">
      <alignment wrapText="1" shrinkToFit="1"/>
    </xf>
    <xf numFmtId="0" fontId="154" fillId="8" borderId="3" xfId="305" applyFont="1" applyFill="1" applyBorder="1" applyAlignment="1">
      <alignment shrinkToFit="1"/>
    </xf>
    <xf numFmtId="0" fontId="236" fillId="0" borderId="3" xfId="147" applyFont="1" applyBorder="1" applyAlignment="1">
      <alignment horizontal="center" vertical="top"/>
    </xf>
    <xf numFmtId="0" fontId="236" fillId="0" borderId="32" xfId="15" applyFont="1" applyBorder="1" applyAlignment="1">
      <alignment vertical="center"/>
    </xf>
    <xf numFmtId="0" fontId="236" fillId="0" borderId="3" xfId="15" applyFont="1" applyBorder="1" applyAlignment="1">
      <alignment vertical="center"/>
    </xf>
    <xf numFmtId="0" fontId="183" fillId="0" borderId="0" xfId="15" applyFont="1" applyAlignment="1">
      <alignment vertical="center"/>
    </xf>
    <xf numFmtId="0" fontId="147" fillId="0" borderId="0" xfId="15" applyFont="1" applyAlignment="1">
      <alignment vertical="center"/>
    </xf>
    <xf numFmtId="2" fontId="148" fillId="0" borderId="0" xfId="185" applyNumberFormat="1" applyFont="1" applyFill="1" applyBorder="1" applyAlignment="1"/>
    <xf numFmtId="0" fontId="149" fillId="8" borderId="0" xfId="183" applyFont="1" applyFill="1" applyAlignment="1">
      <alignment horizontal="center"/>
    </xf>
    <xf numFmtId="2" fontId="149" fillId="0" borderId="80" xfId="185" applyNumberFormat="1" applyFont="1" applyFill="1" applyBorder="1" applyAlignment="1" applyProtection="1">
      <alignment horizontal="center"/>
    </xf>
    <xf numFmtId="2" fontId="148" fillId="0" borderId="16" xfId="185" applyNumberFormat="1" applyFont="1" applyFill="1" applyBorder="1" applyAlignment="1" applyProtection="1">
      <alignment horizontal="center"/>
    </xf>
    <xf numFmtId="2" fontId="148" fillId="0" borderId="0" xfId="183" applyNumberFormat="1" applyFont="1" applyAlignment="1">
      <alignment horizontal="center" vertical="center"/>
    </xf>
    <xf numFmtId="0" fontId="156" fillId="8" borderId="0" xfId="27" applyFont="1" applyFill="1"/>
    <xf numFmtId="0" fontId="151" fillId="8" borderId="0" xfId="27" applyFont="1" applyFill="1"/>
    <xf numFmtId="0" fontId="148" fillId="8" borderId="0" xfId="27" applyFont="1" applyFill="1" applyAlignment="1">
      <alignment horizontal="left"/>
    </xf>
    <xf numFmtId="43" fontId="148" fillId="8" borderId="0" xfId="302" applyFont="1" applyFill="1" applyBorder="1"/>
    <xf numFmtId="43" fontId="148" fillId="8" borderId="0" xfId="302" applyFont="1" applyFill="1" applyBorder="1" applyAlignment="1">
      <alignment horizontal="center"/>
    </xf>
    <xf numFmtId="0" fontId="237" fillId="8" borderId="0" xfId="27" applyFont="1" applyFill="1"/>
    <xf numFmtId="0" fontId="238" fillId="8" borderId="0" xfId="27" applyFont="1" applyFill="1"/>
    <xf numFmtId="43" fontId="149" fillId="8" borderId="3" xfId="302" applyFont="1" applyFill="1" applyBorder="1" applyAlignment="1" applyProtection="1">
      <alignment horizontal="center" vertical="center"/>
    </xf>
    <xf numFmtId="0" fontId="206" fillId="8" borderId="0" xfId="27" applyFont="1" applyFill="1"/>
    <xf numFmtId="0" fontId="149" fillId="8" borderId="19" xfId="27" applyFont="1" applyFill="1" applyBorder="1" applyAlignment="1">
      <alignment vertical="center" wrapText="1"/>
    </xf>
    <xf numFmtId="0" fontId="149" fillId="8" borderId="19" xfId="27" applyFont="1" applyFill="1" applyBorder="1" applyAlignment="1">
      <alignment vertical="center"/>
    </xf>
    <xf numFmtId="0" fontId="149" fillId="8" borderId="19" xfId="27" applyFont="1" applyFill="1" applyBorder="1" applyAlignment="1">
      <alignment horizontal="center"/>
    </xf>
    <xf numFmtId="43" fontId="149" fillId="8" borderId="19" xfId="302" applyFont="1" applyFill="1" applyBorder="1" applyAlignment="1" applyProtection="1">
      <alignment horizontal="center"/>
    </xf>
    <xf numFmtId="43" fontId="149" fillId="8" borderId="7" xfId="302" applyFont="1" applyFill="1" applyBorder="1" applyAlignment="1" applyProtection="1">
      <alignment horizontal="center"/>
    </xf>
    <xf numFmtId="0" fontId="177" fillId="8" borderId="0" xfId="27" applyFont="1" applyFill="1"/>
    <xf numFmtId="0" fontId="182" fillId="8" borderId="0" xfId="27" applyFont="1" applyFill="1"/>
    <xf numFmtId="49" fontId="211" fillId="8" borderId="0" xfId="87" applyNumberFormat="1" applyFont="1" applyFill="1" applyAlignment="1">
      <alignment horizontal="left" vertical="top"/>
    </xf>
    <xf numFmtId="0" fontId="211" fillId="8" borderId="0" xfId="27" applyFont="1" applyFill="1" applyAlignment="1">
      <alignment vertical="top"/>
    </xf>
    <xf numFmtId="0" fontId="148" fillId="8" borderId="126" xfId="27" applyFont="1" applyFill="1" applyBorder="1" applyAlignment="1">
      <alignment horizontal="center"/>
    </xf>
    <xf numFmtId="15" fontId="148" fillId="8" borderId="52" xfId="27" applyNumberFormat="1" applyFont="1" applyFill="1" applyBorder="1" applyAlignment="1">
      <alignment horizontal="center"/>
    </xf>
    <xf numFmtId="0" fontId="148" fillId="8" borderId="52" xfId="27" applyFont="1" applyFill="1" applyBorder="1"/>
    <xf numFmtId="43" fontId="148" fillId="8" borderId="52" xfId="302" applyFont="1" applyFill="1" applyBorder="1" applyAlignment="1" applyProtection="1">
      <alignment horizontal="center"/>
    </xf>
    <xf numFmtId="43" fontId="148" fillId="8" borderId="67" xfId="302" applyFont="1" applyFill="1" applyBorder="1" applyAlignment="1" applyProtection="1">
      <alignment horizontal="center"/>
    </xf>
    <xf numFmtId="0" fontId="148" fillId="8" borderId="52" xfId="27" applyFont="1" applyFill="1" applyBorder="1" applyAlignment="1">
      <alignment horizontal="center"/>
    </xf>
    <xf numFmtId="43" fontId="149" fillId="8" borderId="0" xfId="302" applyFont="1" applyFill="1" applyBorder="1" applyAlignment="1" applyProtection="1">
      <alignment horizontal="center"/>
    </xf>
    <xf numFmtId="165" fontId="101" fillId="0" borderId="0" xfId="185" applyFont="1" applyFill="1" applyBorder="1" applyAlignment="1">
      <alignment horizontal="right"/>
    </xf>
    <xf numFmtId="165" fontId="124" fillId="8" borderId="0" xfId="185" applyFont="1" applyFill="1" applyBorder="1" applyAlignment="1">
      <alignment horizontal="center"/>
    </xf>
    <xf numFmtId="0" fontId="71" fillId="0" borderId="0" xfId="183" applyFont="1" applyAlignment="1">
      <alignment horizontal="center"/>
    </xf>
    <xf numFmtId="0" fontId="122" fillId="0" borderId="0" xfId="183" applyFont="1" applyAlignment="1">
      <alignment horizontal="center"/>
    </xf>
    <xf numFmtId="0" fontId="119" fillId="0" borderId="72" xfId="183" applyFont="1" applyBorder="1"/>
    <xf numFmtId="21" fontId="119" fillId="0" borderId="69" xfId="183" applyNumberFormat="1" applyFont="1" applyBorder="1"/>
    <xf numFmtId="0" fontId="119" fillId="0" borderId="9" xfId="183" applyFont="1" applyBorder="1"/>
    <xf numFmtId="21" fontId="119" fillId="0" borderId="10" xfId="183" applyNumberFormat="1" applyFont="1" applyBorder="1"/>
    <xf numFmtId="0" fontId="75" fillId="7" borderId="9" xfId="183" applyFont="1" applyFill="1" applyBorder="1" applyAlignment="1">
      <alignment horizontal="center"/>
    </xf>
    <xf numFmtId="0" fontId="239" fillId="0" borderId="12" xfId="183" applyFont="1" applyBorder="1" applyAlignment="1">
      <alignment horizontal="center"/>
    </xf>
    <xf numFmtId="173" fontId="75" fillId="0" borderId="14" xfId="185" applyNumberFormat="1" applyFont="1" applyFill="1" applyBorder="1" applyAlignment="1" applyProtection="1">
      <alignment horizontal="center" vertical="center" wrapText="1"/>
    </xf>
    <xf numFmtId="43" fontId="75" fillId="8" borderId="14" xfId="185" applyNumberFormat="1" applyFont="1" applyFill="1" applyBorder="1" applyAlignment="1">
      <alignment horizontal="center" vertical="center"/>
    </xf>
    <xf numFmtId="43" fontId="75" fillId="0" borderId="14" xfId="183" applyNumberFormat="1" applyFont="1" applyBorder="1" applyAlignment="1">
      <alignment vertical="center"/>
    </xf>
    <xf numFmtId="165" fontId="75" fillId="0" borderId="34" xfId="185" applyFont="1" applyFill="1" applyBorder="1" applyAlignment="1" applyProtection="1">
      <alignment horizontal="center" vertical="center"/>
    </xf>
    <xf numFmtId="173" fontId="75" fillId="0" borderId="16" xfId="185" applyNumberFormat="1" applyFont="1" applyFill="1" applyBorder="1" applyAlignment="1" applyProtection="1">
      <alignment horizontal="center" vertical="center" wrapText="1"/>
    </xf>
    <xf numFmtId="43" fontId="75" fillId="8" borderId="16" xfId="185" applyNumberFormat="1" applyFont="1" applyFill="1" applyBorder="1" applyAlignment="1">
      <alignment horizontal="center" vertical="center"/>
    </xf>
    <xf numFmtId="43" fontId="75" fillId="0" borderId="16" xfId="183" applyNumberFormat="1" applyFont="1" applyBorder="1" applyAlignment="1">
      <alignment vertical="center"/>
    </xf>
    <xf numFmtId="39" fontId="75" fillId="0" borderId="16" xfId="185" applyNumberFormat="1" applyFont="1" applyFill="1" applyBorder="1" applyAlignment="1" applyProtection="1">
      <alignment horizontal="center" vertical="center" wrapText="1"/>
    </xf>
    <xf numFmtId="165" fontId="75" fillId="0" borderId="11" xfId="185" applyFont="1" applyFill="1" applyBorder="1" applyAlignment="1" applyProtection="1">
      <alignment horizontal="center" vertical="center"/>
    </xf>
    <xf numFmtId="173" fontId="75" fillId="0" borderId="67" xfId="185" applyNumberFormat="1" applyFont="1" applyFill="1" applyBorder="1" applyAlignment="1" applyProtection="1">
      <alignment horizontal="center" vertical="center" wrapText="1"/>
    </xf>
    <xf numFmtId="43" fontId="75" fillId="8" borderId="12" xfId="185" applyNumberFormat="1" applyFont="1" applyFill="1" applyBorder="1" applyAlignment="1">
      <alignment horizontal="center" vertical="center"/>
    </xf>
    <xf numFmtId="43" fontId="75" fillId="0" borderId="12" xfId="183" applyNumberFormat="1" applyFont="1" applyBorder="1" applyAlignment="1">
      <alignment vertical="center"/>
    </xf>
    <xf numFmtId="165" fontId="75" fillId="0" borderId="52" xfId="185" applyFont="1" applyFill="1" applyBorder="1"/>
    <xf numFmtId="43" fontId="78" fillId="0" borderId="52" xfId="185" applyNumberFormat="1" applyFont="1" applyBorder="1"/>
    <xf numFmtId="0" fontId="75" fillId="0" borderId="52" xfId="183" applyFont="1" applyBorder="1"/>
    <xf numFmtId="21" fontId="114" fillId="0" borderId="0" xfId="183" applyNumberFormat="1" applyFont="1"/>
    <xf numFmtId="165" fontId="114" fillId="0" borderId="0" xfId="185" applyFont="1" applyAlignment="1">
      <alignment horizontal="center"/>
    </xf>
    <xf numFmtId="0" fontId="89" fillId="0" borderId="0" xfId="183" applyFont="1" applyAlignment="1">
      <alignment horizontal="center"/>
    </xf>
    <xf numFmtId="165" fontId="123" fillId="8" borderId="0" xfId="185" applyFont="1" applyFill="1" applyBorder="1"/>
    <xf numFmtId="165" fontId="123" fillId="8" borderId="0" xfId="185" applyFont="1" applyFill="1" applyBorder="1" applyAlignment="1">
      <alignment horizontal="center"/>
    </xf>
    <xf numFmtId="0" fontId="123" fillId="8" borderId="0" xfId="183" applyFont="1" applyFill="1" applyAlignment="1">
      <alignment horizontal="center"/>
    </xf>
    <xf numFmtId="165" fontId="85" fillId="8" borderId="0" xfId="185" applyFont="1" applyFill="1" applyBorder="1"/>
    <xf numFmtId="165" fontId="85" fillId="8" borderId="0" xfId="185" applyFont="1" applyFill="1" applyBorder="1" applyAlignment="1">
      <alignment horizontal="center"/>
    </xf>
    <xf numFmtId="43" fontId="85" fillId="8" borderId="3" xfId="183" applyNumberFormat="1" applyFont="1" applyFill="1" applyBorder="1" applyAlignment="1">
      <alignment horizontal="center"/>
    </xf>
    <xf numFmtId="165" fontId="89" fillId="8" borderId="0" xfId="185" applyFont="1" applyFill="1" applyBorder="1"/>
    <xf numFmtId="165" fontId="89" fillId="8" borderId="0" xfId="185" applyFont="1" applyFill="1" applyBorder="1" applyAlignment="1">
      <alignment horizontal="center"/>
    </xf>
    <xf numFmtId="43" fontId="89" fillId="8" borderId="0" xfId="183" applyNumberFormat="1" applyFont="1" applyFill="1" applyAlignment="1">
      <alignment horizontal="center"/>
    </xf>
    <xf numFmtId="165" fontId="89" fillId="0" borderId="0" xfId="185" applyFont="1" applyFill="1" applyBorder="1"/>
    <xf numFmtId="165" fontId="89" fillId="0" borderId="0" xfId="185" applyFont="1" applyFill="1" applyBorder="1" applyAlignment="1">
      <alignment horizontal="center"/>
    </xf>
    <xf numFmtId="0" fontId="75" fillId="0" borderId="0" xfId="183" applyFont="1" applyAlignment="1">
      <alignment horizontal="center"/>
    </xf>
    <xf numFmtId="165" fontId="71" fillId="0" borderId="0" xfId="185" applyFont="1" applyFill="1" applyBorder="1"/>
    <xf numFmtId="165" fontId="71" fillId="0" borderId="0" xfId="185" applyFont="1" applyFill="1" applyBorder="1" applyAlignment="1">
      <alignment horizontal="center"/>
    </xf>
    <xf numFmtId="165" fontId="154" fillId="0" borderId="145" xfId="185" applyFont="1" applyBorder="1" applyAlignment="1">
      <alignment wrapText="1"/>
    </xf>
    <xf numFmtId="165" fontId="154" fillId="0" borderId="146" xfId="185" applyFont="1" applyBorder="1" applyAlignment="1">
      <alignment wrapText="1"/>
    </xf>
    <xf numFmtId="0" fontId="78" fillId="0" borderId="0" xfId="0" applyFont="1" applyAlignment="1">
      <alignment vertical="center"/>
    </xf>
    <xf numFmtId="0" fontId="130" fillId="0" borderId="0" xfId="0" applyFont="1"/>
    <xf numFmtId="0" fontId="130" fillId="0" borderId="0" xfId="0" applyFont="1" applyAlignment="1">
      <alignment vertical="center"/>
    </xf>
    <xf numFmtId="0" fontId="148" fillId="7" borderId="3" xfId="0" applyFont="1" applyFill="1" applyBorder="1" applyAlignment="1">
      <alignment horizontal="center" vertical="center"/>
    </xf>
    <xf numFmtId="0" fontId="118" fillId="0" borderId="0" xfId="0" applyFont="1" applyAlignment="1">
      <alignment vertical="center"/>
    </xf>
    <xf numFmtId="0" fontId="148" fillId="7" borderId="3" xfId="0" applyFont="1" applyFill="1" applyBorder="1" applyAlignment="1">
      <alignment horizontal="left" vertical="center"/>
    </xf>
    <xf numFmtId="0" fontId="148" fillId="0" borderId="34" xfId="0" applyFont="1" applyBorder="1" applyAlignment="1">
      <alignment horizontal="left" vertical="center"/>
    </xf>
    <xf numFmtId="0" fontId="148" fillId="0" borderId="12" xfId="0" applyFont="1" applyBorder="1" applyAlignment="1">
      <alignment horizontal="left" vertical="center"/>
    </xf>
    <xf numFmtId="0" fontId="148" fillId="0" borderId="16" xfId="0" applyFont="1" applyBorder="1" applyAlignment="1">
      <alignment horizontal="left" vertical="center"/>
    </xf>
    <xf numFmtId="165" fontId="130" fillId="0" borderId="0" xfId="0" applyNumberFormat="1" applyFont="1" applyAlignment="1">
      <alignment vertical="center"/>
    </xf>
    <xf numFmtId="0" fontId="148" fillId="6" borderId="3" xfId="0" applyFont="1" applyFill="1" applyBorder="1" applyAlignment="1">
      <alignment vertical="center"/>
    </xf>
    <xf numFmtId="0" fontId="148" fillId="14" borderId="3" xfId="0" applyFont="1" applyFill="1" applyBorder="1" applyAlignment="1">
      <alignment vertical="center" wrapText="1"/>
    </xf>
    <xf numFmtId="0" fontId="148" fillId="6" borderId="3" xfId="0" applyFont="1" applyFill="1" applyBorder="1" applyAlignment="1">
      <alignment vertical="center" wrapText="1"/>
    </xf>
    <xf numFmtId="0" fontId="118" fillId="0" borderId="39" xfId="0" applyFont="1" applyBorder="1" applyAlignment="1">
      <alignment vertical="center"/>
    </xf>
    <xf numFmtId="0" fontId="118" fillId="0" borderId="58" xfId="0" applyFont="1" applyBorder="1" applyAlignment="1">
      <alignment vertical="center"/>
    </xf>
    <xf numFmtId="0" fontId="118" fillId="0" borderId="89" xfId="0" applyFont="1" applyBorder="1" applyAlignment="1">
      <alignment vertical="center"/>
    </xf>
    <xf numFmtId="0" fontId="118" fillId="0" borderId="90" xfId="0" applyFont="1" applyBorder="1" applyAlignment="1">
      <alignment vertical="center"/>
    </xf>
    <xf numFmtId="0" fontId="148" fillId="0" borderId="52" xfId="0" applyFont="1" applyBorder="1" applyAlignment="1">
      <alignment horizontal="left" vertical="center"/>
    </xf>
    <xf numFmtId="0" fontId="148" fillId="0" borderId="3" xfId="0" applyFont="1" applyBorder="1" applyAlignment="1">
      <alignment horizontal="left" vertical="center"/>
    </xf>
    <xf numFmtId="0" fontId="118" fillId="0" borderId="0" xfId="0" applyFont="1"/>
    <xf numFmtId="0" fontId="148" fillId="0" borderId="0" xfId="0" applyFont="1"/>
    <xf numFmtId="165" fontId="154" fillId="0" borderId="12" xfId="185" applyFont="1" applyBorder="1" applyAlignment="1">
      <alignment wrapText="1"/>
    </xf>
    <xf numFmtId="0" fontId="236" fillId="0" borderId="129" xfId="15" applyFont="1" applyBorder="1" applyAlignment="1">
      <alignment horizontal="center"/>
    </xf>
    <xf numFmtId="2" fontId="151" fillId="0" borderId="0" xfId="185" applyNumberFormat="1" applyFont="1" applyFill="1" applyBorder="1" applyAlignment="1">
      <alignment horizontal="center" vertical="center"/>
    </xf>
    <xf numFmtId="43" fontId="189" fillId="0" borderId="3" xfId="55" applyFont="1" applyFill="1" applyBorder="1" applyAlignment="1">
      <alignment vertical="center"/>
    </xf>
    <xf numFmtId="2" fontId="145" fillId="7" borderId="7" xfId="55" applyNumberFormat="1" applyFont="1" applyFill="1" applyBorder="1" applyAlignment="1" applyProtection="1">
      <alignment horizontal="center"/>
    </xf>
    <xf numFmtId="43" fontId="148" fillId="7" borderId="3" xfId="15" applyNumberFormat="1" applyFont="1" applyFill="1" applyBorder="1"/>
    <xf numFmtId="0" fontId="149" fillId="7" borderId="2" xfId="15" applyFont="1" applyFill="1" applyBorder="1" applyAlignment="1">
      <alignment horizontal="center"/>
    </xf>
    <xf numFmtId="2" fontId="173" fillId="9" borderId="3" xfId="55" applyNumberFormat="1" applyFont="1" applyFill="1" applyBorder="1" applyAlignment="1">
      <alignment horizontal="center" vertical="center"/>
    </xf>
    <xf numFmtId="43" fontId="148" fillId="0" borderId="2" xfId="55" applyFont="1" applyFill="1" applyBorder="1" applyAlignment="1">
      <alignment horizontal="center" vertical="center"/>
    </xf>
    <xf numFmtId="43" fontId="148" fillId="8" borderId="3" xfId="38" applyFont="1" applyFill="1" applyBorder="1" applyAlignment="1">
      <alignment horizontal="center" vertical="center"/>
    </xf>
    <xf numFmtId="43" fontId="148" fillId="0" borderId="3" xfId="15" applyNumberFormat="1" applyFont="1" applyBorder="1" applyAlignment="1">
      <alignment horizontal="center" vertical="center"/>
    </xf>
    <xf numFmtId="49" fontId="148" fillId="0" borderId="3" xfId="55" applyNumberFormat="1" applyFont="1" applyFill="1" applyBorder="1" applyAlignment="1">
      <alignment horizontal="center" vertical="center"/>
    </xf>
    <xf numFmtId="43" fontId="148" fillId="0" borderId="80" xfId="55" applyFont="1" applyFill="1" applyBorder="1" applyAlignment="1" applyProtection="1">
      <alignment horizontal="center" vertical="center"/>
    </xf>
    <xf numFmtId="0" fontId="148" fillId="0" borderId="69" xfId="183" applyFont="1" applyBorder="1" applyAlignment="1">
      <alignment horizontal="center"/>
    </xf>
    <xf numFmtId="0" fontId="148" fillId="0" borderId="69" xfId="183" applyFont="1" applyBorder="1" applyAlignment="1">
      <alignment horizontal="center" vertical="center"/>
    </xf>
    <xf numFmtId="0" fontId="148" fillId="0" borderId="69" xfId="183" applyFont="1" applyBorder="1" applyAlignment="1">
      <alignment vertical="center"/>
    </xf>
    <xf numFmtId="165" fontId="148" fillId="0" borderId="69" xfId="185" applyFont="1" applyFill="1" applyBorder="1" applyAlignment="1">
      <alignment vertical="center"/>
    </xf>
    <xf numFmtId="2" fontId="148" fillId="0" borderId="69" xfId="185" applyNumberFormat="1" applyFont="1" applyFill="1" applyBorder="1" applyAlignment="1" applyProtection="1">
      <alignment horizontal="center" vertical="center"/>
    </xf>
    <xf numFmtId="174" fontId="148" fillId="0" borderId="69" xfId="185" applyNumberFormat="1" applyFont="1" applyFill="1" applyBorder="1" applyAlignment="1" applyProtection="1">
      <alignment horizontal="center" vertical="center"/>
    </xf>
    <xf numFmtId="2" fontId="148" fillId="0" borderId="69" xfId="185" applyNumberFormat="1" applyFont="1" applyFill="1" applyBorder="1" applyAlignment="1" applyProtection="1">
      <alignment horizontal="center"/>
    </xf>
    <xf numFmtId="2" fontId="148" fillId="0" borderId="69" xfId="185" applyNumberFormat="1" applyFont="1" applyFill="1" applyBorder="1" applyAlignment="1">
      <alignment horizontal="center" vertical="center"/>
    </xf>
    <xf numFmtId="165" fontId="148" fillId="0" borderId="69" xfId="185" applyFont="1" applyFill="1" applyBorder="1" applyAlignment="1" applyProtection="1">
      <alignment vertical="center"/>
    </xf>
    <xf numFmtId="165" fontId="221" fillId="8" borderId="88" xfId="185" applyFont="1" applyFill="1" applyBorder="1" applyAlignment="1"/>
    <xf numFmtId="43" fontId="199" fillId="21" borderId="32" xfId="55" applyFont="1" applyFill="1" applyBorder="1" applyAlignment="1">
      <alignment vertical="center"/>
    </xf>
    <xf numFmtId="0" fontId="172" fillId="0" borderId="0" xfId="10" applyFont="1" applyAlignment="1">
      <alignment horizontal="center"/>
    </xf>
    <xf numFmtId="43" fontId="154" fillId="0" borderId="34" xfId="37" applyFont="1" applyFill="1" applyBorder="1" applyAlignment="1">
      <alignment vertical="center"/>
    </xf>
    <xf numFmtId="49" fontId="156" fillId="8" borderId="0" xfId="193" applyNumberFormat="1" applyFont="1" applyFill="1" applyAlignment="1">
      <alignment horizontal="left"/>
    </xf>
    <xf numFmtId="49" fontId="156" fillId="8" borderId="0" xfId="193" applyNumberFormat="1" applyFont="1" applyFill="1" applyAlignment="1">
      <alignment horizontal="left" vertical="top"/>
    </xf>
    <xf numFmtId="0" fontId="149" fillId="8" borderId="0" xfId="27" applyFont="1" applyFill="1" applyAlignment="1">
      <alignment horizontal="right"/>
    </xf>
    <xf numFmtId="0" fontId="148" fillId="8" borderId="34" xfId="27" applyFont="1" applyFill="1" applyBorder="1" applyAlignment="1">
      <alignment horizontal="center" vertical="top"/>
    </xf>
    <xf numFmtId="15" fontId="148" fillId="8" borderId="34" xfId="27" applyNumberFormat="1" applyFont="1" applyFill="1" applyBorder="1" applyAlignment="1">
      <alignment horizontal="center" vertical="top"/>
    </xf>
    <xf numFmtId="0" fontId="148" fillId="8" borderId="34" xfId="27" applyFont="1" applyFill="1" applyBorder="1" applyAlignment="1">
      <alignment vertical="top" wrapText="1"/>
    </xf>
    <xf numFmtId="43" fontId="148" fillId="0" borderId="34" xfId="302" applyFont="1" applyBorder="1" applyAlignment="1">
      <alignment vertical="top"/>
    </xf>
    <xf numFmtId="43" fontId="148" fillId="0" borderId="34" xfId="302" applyFont="1" applyBorder="1" applyAlignment="1">
      <alignment horizontal="right" vertical="top"/>
    </xf>
    <xf numFmtId="43" fontId="148" fillId="8" borderId="34" xfId="302" applyFont="1" applyFill="1" applyBorder="1" applyAlignment="1" applyProtection="1">
      <alignment horizontal="center" vertical="top"/>
    </xf>
    <xf numFmtId="43" fontId="148" fillId="0" borderId="108" xfId="302" applyFont="1" applyBorder="1" applyAlignment="1">
      <alignment vertical="top"/>
    </xf>
    <xf numFmtId="43" fontId="148" fillId="0" borderId="108" xfId="302" applyFont="1" applyBorder="1" applyAlignment="1">
      <alignment horizontal="center" vertical="top"/>
    </xf>
    <xf numFmtId="43" fontId="148" fillId="8" borderId="108" xfId="302" applyFont="1" applyFill="1" applyBorder="1" applyAlignment="1" applyProtection="1">
      <alignment horizontal="right" vertical="top"/>
    </xf>
    <xf numFmtId="0" fontId="182" fillId="8" borderId="0" xfId="27" applyFont="1" applyFill="1" applyAlignment="1">
      <alignment vertical="top"/>
    </xf>
    <xf numFmtId="43" fontId="148" fillId="8" borderId="108" xfId="302" applyFont="1" applyFill="1" applyBorder="1" applyAlignment="1" applyProtection="1">
      <alignment horizontal="center" vertical="top"/>
    </xf>
    <xf numFmtId="0" fontId="148" fillId="8" borderId="110" xfId="27" applyFont="1" applyFill="1" applyBorder="1" applyAlignment="1">
      <alignment horizontal="center" vertical="top"/>
    </xf>
    <xf numFmtId="43" fontId="148" fillId="0" borderId="16" xfId="302" applyFont="1" applyBorder="1" applyAlignment="1">
      <alignment vertical="top"/>
    </xf>
    <xf numFmtId="43" fontId="148" fillId="0" borderId="16" xfId="302" applyFont="1" applyBorder="1" applyAlignment="1">
      <alignment horizontal="right" vertical="top"/>
    </xf>
    <xf numFmtId="15" fontId="148" fillId="8" borderId="16" xfId="27" applyNumberFormat="1" applyFont="1" applyFill="1" applyBorder="1" applyAlignment="1">
      <alignment horizontal="center" vertical="top"/>
    </xf>
    <xf numFmtId="43" fontId="148" fillId="0" borderId="52" xfId="302" applyFont="1" applyBorder="1"/>
    <xf numFmtId="43" fontId="148" fillId="0" borderId="52" xfId="302" applyFont="1" applyBorder="1" applyAlignment="1">
      <alignment horizontal="right"/>
    </xf>
    <xf numFmtId="43" fontId="148" fillId="0" borderId="67" xfId="302" applyFont="1" applyBorder="1"/>
    <xf numFmtId="43" fontId="148" fillId="0" borderId="67" xfId="302" applyFont="1" applyBorder="1" applyAlignment="1">
      <alignment horizontal="center"/>
    </xf>
    <xf numFmtId="0" fontId="75" fillId="0" borderId="3" xfId="321" applyFont="1" applyBorder="1" applyAlignment="1">
      <alignment horizontal="center" vertical="center"/>
    </xf>
    <xf numFmtId="0" fontId="75" fillId="0" borderId="3" xfId="15" applyFont="1" applyBorder="1" applyAlignment="1">
      <alignment horizontal="center" vertical="center"/>
    </xf>
    <xf numFmtId="165" fontId="75" fillId="0" borderId="3" xfId="3" applyFont="1" applyBorder="1" applyAlignment="1">
      <alignment horizontal="center" vertical="center"/>
    </xf>
    <xf numFmtId="0" fontId="75" fillId="0" borderId="3" xfId="321" applyFont="1" applyBorder="1" applyAlignment="1">
      <alignment horizontal="right" vertical="center"/>
    </xf>
    <xf numFmtId="0" fontId="75" fillId="0" borderId="3" xfId="321" applyFont="1" applyBorder="1" applyAlignment="1">
      <alignment horizontal="center"/>
    </xf>
    <xf numFmtId="0" fontId="75" fillId="0" borderId="3" xfId="15" applyFont="1" applyBorder="1" applyAlignment="1">
      <alignment horizontal="center"/>
    </xf>
    <xf numFmtId="43" fontId="75" fillId="0" borderId="3" xfId="37" applyFont="1" applyFill="1" applyBorder="1"/>
    <xf numFmtId="0" fontId="89" fillId="0" borderId="16" xfId="10" applyFont="1" applyBorder="1" applyAlignment="1">
      <alignment horizontal="left" vertical="top"/>
    </xf>
    <xf numFmtId="0" fontId="89" fillId="0" borderId="3" xfId="33" applyFont="1" applyBorder="1" applyAlignment="1">
      <alignment horizontal="center" vertical="center"/>
    </xf>
    <xf numFmtId="165" fontId="89" fillId="0" borderId="3" xfId="3" applyFont="1" applyFill="1" applyBorder="1" applyAlignment="1">
      <alignment horizontal="center" vertical="center"/>
    </xf>
    <xf numFmtId="2" fontId="89" fillId="0" borderId="3" xfId="33" applyNumberFormat="1" applyFont="1" applyBorder="1" applyAlignment="1">
      <alignment horizontal="right" vertical="center"/>
    </xf>
    <xf numFmtId="0" fontId="89" fillId="0" borderId="3" xfId="33" applyFont="1" applyBorder="1" applyAlignment="1">
      <alignment horizontal="left" vertical="center"/>
    </xf>
    <xf numFmtId="0" fontId="123" fillId="0" borderId="0" xfId="33" applyFont="1" applyAlignment="1">
      <alignment horizontal="center"/>
    </xf>
    <xf numFmtId="0" fontId="123" fillId="0" borderId="0" xfId="33" applyFont="1" applyAlignment="1">
      <alignment horizontal="left"/>
    </xf>
    <xf numFmtId="165" fontId="123" fillId="0" borderId="0" xfId="3" applyFont="1" applyFill="1" applyBorder="1" applyAlignment="1">
      <alignment horizontal="center"/>
    </xf>
    <xf numFmtId="2" fontId="123" fillId="0" borderId="0" xfId="33" applyNumberFormat="1" applyFont="1" applyAlignment="1">
      <alignment horizontal="right"/>
    </xf>
    <xf numFmtId="0" fontId="75" fillId="8" borderId="0" xfId="183" applyFont="1" applyFill="1" applyAlignment="1">
      <alignment horizontal="left" vertical="top" wrapText="1"/>
    </xf>
    <xf numFmtId="0" fontId="75" fillId="8" borderId="0" xfId="183" applyFont="1" applyFill="1" applyAlignment="1">
      <alignment horizontal="left" vertical="top"/>
    </xf>
    <xf numFmtId="41" fontId="148" fillId="0" borderId="39" xfId="55" applyNumberFormat="1" applyFont="1" applyFill="1" applyBorder="1" applyAlignment="1" applyProtection="1">
      <alignment horizontal="center"/>
    </xf>
    <xf numFmtId="43" fontId="164" fillId="8" borderId="0" xfId="55" applyFont="1" applyFill="1" applyBorder="1"/>
    <xf numFmtId="0" fontId="71" fillId="8" borderId="0" xfId="87" applyFont="1" applyFill="1" applyAlignment="1">
      <alignment horizontal="center"/>
    </xf>
    <xf numFmtId="0" fontId="120" fillId="0" borderId="0" xfId="87" applyFont="1"/>
    <xf numFmtId="0" fontId="120" fillId="8" borderId="0" xfId="87" applyFont="1" applyFill="1"/>
    <xf numFmtId="43" fontId="95" fillId="0" borderId="0" xfId="55" applyFont="1" applyFill="1" applyBorder="1"/>
    <xf numFmtId="0" fontId="120" fillId="0" borderId="0" xfId="87" applyFont="1" applyAlignment="1">
      <alignment horizontal="center"/>
    </xf>
    <xf numFmtId="0" fontId="195" fillId="0" borderId="0" xfId="87" applyFont="1"/>
    <xf numFmtId="0" fontId="102" fillId="8" borderId="0" xfId="87" applyFont="1" applyFill="1" applyAlignment="1">
      <alignment horizontal="center"/>
    </xf>
    <xf numFmtId="0" fontId="73" fillId="8" borderId="0" xfId="87" applyFont="1" applyFill="1" applyAlignment="1">
      <alignment horizontal="center" vertical="center"/>
    </xf>
    <xf numFmtId="43" fontId="95" fillId="8" borderId="0" xfId="55" applyFont="1" applyFill="1" applyBorder="1" applyAlignment="1" applyProtection="1">
      <alignment vertical="center"/>
    </xf>
    <xf numFmtId="43" fontId="73" fillId="8" borderId="0" xfId="55" applyFont="1" applyFill="1" applyBorder="1" applyAlignment="1" applyProtection="1">
      <alignment vertical="center"/>
    </xf>
    <xf numFmtId="165" fontId="73" fillId="8" borderId="0" xfId="87" applyNumberFormat="1" applyFont="1" applyFill="1" applyAlignment="1">
      <alignment horizontal="center" vertical="center"/>
    </xf>
    <xf numFmtId="165" fontId="242" fillId="8" borderId="0" xfId="87" applyNumberFormat="1" applyFont="1" applyFill="1" applyAlignment="1">
      <alignment vertical="center"/>
    </xf>
    <xf numFmtId="165" fontId="73" fillId="8" borderId="0" xfId="87" applyNumberFormat="1" applyFont="1" applyFill="1" applyAlignment="1">
      <alignment vertical="center"/>
    </xf>
    <xf numFmtId="43" fontId="95" fillId="8" borderId="0" xfId="55" applyFont="1" applyFill="1" applyBorder="1" applyAlignment="1">
      <alignment vertical="center"/>
    </xf>
    <xf numFmtId="43" fontId="73" fillId="8" borderId="0" xfId="87" applyNumberFormat="1" applyFont="1" applyFill="1" applyAlignment="1">
      <alignment vertical="center"/>
    </xf>
    <xf numFmtId="0" fontId="123" fillId="8" borderId="0" xfId="87" applyFont="1" applyFill="1" applyAlignment="1">
      <alignment horizontal="center" vertical="center"/>
    </xf>
    <xf numFmtId="165" fontId="123" fillId="8" borderId="0" xfId="87" applyNumberFormat="1" applyFont="1" applyFill="1" applyAlignment="1">
      <alignment vertical="center"/>
    </xf>
    <xf numFmtId="43" fontId="95" fillId="9" borderId="3" xfId="55" applyFont="1" applyFill="1" applyBorder="1" applyAlignment="1" applyProtection="1">
      <alignment horizontal="center"/>
    </xf>
    <xf numFmtId="43" fontId="80" fillId="9" borderId="3" xfId="55" applyFont="1" applyFill="1" applyBorder="1" applyProtection="1"/>
    <xf numFmtId="43" fontId="80" fillId="9" borderId="3" xfId="55" applyFont="1" applyFill="1" applyBorder="1" applyAlignment="1" applyProtection="1">
      <alignment horizontal="center"/>
    </xf>
    <xf numFmtId="43" fontId="95" fillId="7" borderId="3" xfId="55" applyFont="1" applyFill="1" applyBorder="1" applyAlignment="1" applyProtection="1">
      <alignment horizontal="center" vertical="center"/>
    </xf>
    <xf numFmtId="0" fontId="80" fillId="7" borderId="3" xfId="87" applyFont="1" applyFill="1" applyBorder="1" applyAlignment="1">
      <alignment horizontal="center" vertical="center"/>
    </xf>
    <xf numFmtId="0" fontId="243" fillId="7" borderId="3" xfId="87" applyFont="1" applyFill="1" applyBorder="1" applyAlignment="1">
      <alignment horizontal="center" vertical="center"/>
    </xf>
    <xf numFmtId="43" fontId="86" fillId="8" borderId="0" xfId="87" applyNumberFormat="1" applyFont="1" applyFill="1"/>
    <xf numFmtId="165" fontId="153" fillId="7" borderId="7" xfId="185" applyFont="1" applyFill="1" applyBorder="1" applyAlignment="1">
      <alignment wrapText="1"/>
    </xf>
    <xf numFmtId="165" fontId="218" fillId="7" borderId="7" xfId="185" applyFont="1" applyFill="1" applyBorder="1" applyAlignment="1"/>
    <xf numFmtId="165" fontId="217" fillId="7" borderId="102" xfId="185" applyFont="1" applyFill="1" applyBorder="1" applyAlignment="1" applyProtection="1">
      <alignment horizontal="center" shrinkToFit="1"/>
    </xf>
    <xf numFmtId="2" fontId="217" fillId="7" borderId="7" xfId="185" applyNumberFormat="1" applyFont="1" applyFill="1" applyBorder="1" applyAlignment="1" applyProtection="1">
      <alignment horizontal="center" shrinkToFit="1"/>
    </xf>
    <xf numFmtId="2" fontId="217" fillId="7" borderId="117" xfId="185" applyNumberFormat="1" applyFont="1" applyFill="1" applyBorder="1" applyAlignment="1" applyProtection="1">
      <alignment horizontal="center" shrinkToFit="1"/>
    </xf>
    <xf numFmtId="165" fontId="218" fillId="7" borderId="6" xfId="185" applyFont="1" applyFill="1" applyBorder="1" applyAlignment="1"/>
    <xf numFmtId="165" fontId="217" fillId="7" borderId="7" xfId="185" applyFont="1" applyFill="1" applyBorder="1" applyAlignment="1" applyProtection="1">
      <alignment horizontal="center" shrinkToFit="1"/>
    </xf>
    <xf numFmtId="165" fontId="149" fillId="7" borderId="55" xfId="185" applyFont="1" applyFill="1" applyBorder="1" applyAlignment="1" applyProtection="1">
      <alignment horizontal="center" shrinkToFit="1"/>
    </xf>
    <xf numFmtId="165" fontId="218" fillId="7" borderId="117" xfId="185" applyFont="1" applyFill="1" applyBorder="1" applyAlignment="1"/>
    <xf numFmtId="165" fontId="218" fillId="7" borderId="135" xfId="185" applyFont="1" applyFill="1" applyBorder="1" applyAlignment="1">
      <alignment wrapText="1"/>
    </xf>
    <xf numFmtId="2" fontId="217" fillId="7" borderId="135" xfId="185" applyNumberFormat="1" applyFont="1" applyFill="1" applyBorder="1" applyAlignment="1" applyProtection="1">
      <alignment horizontal="center" shrinkToFit="1"/>
    </xf>
    <xf numFmtId="165" fontId="217" fillId="7" borderId="135" xfId="185" applyFont="1" applyFill="1" applyBorder="1" applyAlignment="1"/>
    <xf numFmtId="43" fontId="217" fillId="7" borderId="135" xfId="183" applyNumberFormat="1" applyFont="1" applyFill="1" applyBorder="1"/>
    <xf numFmtId="43" fontId="219" fillId="7" borderId="135" xfId="183" applyNumberFormat="1" applyFont="1" applyFill="1" applyBorder="1"/>
    <xf numFmtId="43" fontId="220" fillId="7" borderId="135" xfId="183" applyNumberFormat="1" applyFont="1" applyFill="1" applyBorder="1"/>
    <xf numFmtId="0" fontId="217" fillId="7" borderId="135" xfId="183" applyFont="1" applyFill="1" applyBorder="1"/>
    <xf numFmtId="165" fontId="217" fillId="7" borderId="135" xfId="185" applyFont="1" applyFill="1" applyBorder="1"/>
    <xf numFmtId="165" fontId="217" fillId="7" borderId="124" xfId="185" applyFont="1" applyFill="1" applyBorder="1"/>
    <xf numFmtId="165" fontId="217" fillId="7" borderId="7" xfId="185" applyFont="1" applyFill="1" applyBorder="1"/>
    <xf numFmtId="165" fontId="148" fillId="0" borderId="9" xfId="3" applyFont="1" applyBorder="1" applyAlignment="1">
      <alignment horizontal="center" vertical="center"/>
    </xf>
    <xf numFmtId="43" fontId="199" fillId="20" borderId="10" xfId="55" applyFont="1" applyFill="1" applyBorder="1" applyAlignment="1">
      <alignment horizontal="center" vertical="center" wrapText="1"/>
    </xf>
    <xf numFmtId="43" fontId="149" fillId="0" borderId="10" xfId="37" applyFont="1" applyFill="1" applyBorder="1" applyAlignment="1">
      <alignment horizontal="center" vertical="center"/>
    </xf>
    <xf numFmtId="165" fontId="221" fillId="0" borderId="88" xfId="185" applyFont="1" applyBorder="1" applyAlignment="1"/>
    <xf numFmtId="43" fontId="145" fillId="7" borderId="7" xfId="55" applyFont="1" applyFill="1" applyBorder="1" applyAlignment="1" applyProtection="1"/>
    <xf numFmtId="43" fontId="173" fillId="9" borderId="3" xfId="55" applyFont="1" applyFill="1" applyBorder="1" applyAlignment="1">
      <alignment vertical="center"/>
    </xf>
    <xf numFmtId="43" fontId="173" fillId="0" borderId="34" xfId="55" applyFont="1" applyFill="1" applyBorder="1" applyAlignment="1"/>
    <xf numFmtId="43" fontId="173" fillId="0" borderId="16" xfId="55" applyFont="1" applyFill="1" applyBorder="1" applyAlignment="1"/>
    <xf numFmtId="43" fontId="173" fillId="0" borderId="12" xfId="55" applyFont="1" applyFill="1" applyBorder="1" applyAlignment="1"/>
    <xf numFmtId="43" fontId="173" fillId="0" borderId="52" xfId="55" applyFont="1" applyFill="1" applyBorder="1" applyAlignment="1"/>
    <xf numFmtId="43" fontId="148" fillId="0" borderId="149" xfId="55" applyFont="1" applyFill="1" applyBorder="1" applyAlignment="1">
      <alignment horizontal="center"/>
    </xf>
    <xf numFmtId="41" fontId="148" fillId="0" borderId="16" xfId="55" applyNumberFormat="1" applyFont="1" applyFill="1" applyBorder="1" applyAlignment="1" applyProtection="1">
      <alignment horizontal="center"/>
    </xf>
    <xf numFmtId="41" fontId="148" fillId="0" borderId="52" xfId="55" applyNumberFormat="1" applyFont="1" applyFill="1" applyBorder="1" applyAlignment="1">
      <alignment horizontal="center"/>
    </xf>
    <xf numFmtId="43" fontId="148" fillId="0" borderId="79" xfId="55" applyFont="1" applyFill="1" applyBorder="1" applyAlignment="1">
      <alignment horizontal="center"/>
    </xf>
    <xf numFmtId="43" fontId="148" fillId="0" borderId="0" xfId="55" applyFont="1" applyFill="1" applyBorder="1" applyAlignment="1" applyProtection="1"/>
    <xf numFmtId="43" fontId="148" fillId="0" borderId="0" xfId="55" applyFont="1" applyFill="1" applyBorder="1" applyAlignment="1"/>
    <xf numFmtId="43" fontId="154" fillId="0" borderId="0" xfId="55" applyFont="1" applyFill="1" applyBorder="1" applyAlignment="1"/>
    <xf numFmtId="0" fontId="70" fillId="0" borderId="75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76" xfId="0" applyFont="1" applyBorder="1" applyAlignment="1">
      <alignment horizontal="center" vertical="center"/>
    </xf>
    <xf numFmtId="0" fontId="70" fillId="0" borderId="70" xfId="0" applyFont="1" applyBorder="1" applyAlignment="1">
      <alignment horizontal="center" vertical="center"/>
    </xf>
    <xf numFmtId="165" fontId="70" fillId="0" borderId="59" xfId="3" applyFont="1" applyBorder="1" applyAlignment="1">
      <alignment horizontal="center" vertical="center"/>
    </xf>
    <xf numFmtId="165" fontId="70" fillId="0" borderId="4" xfId="3" applyFont="1" applyBorder="1" applyAlignment="1">
      <alignment horizontal="center" vertical="center"/>
    </xf>
    <xf numFmtId="165" fontId="70" fillId="0" borderId="20" xfId="3" applyFont="1" applyBorder="1" applyAlignment="1">
      <alignment horizontal="center" vertical="center"/>
    </xf>
    <xf numFmtId="165" fontId="70" fillId="0" borderId="21" xfId="3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0" fillId="0" borderId="77" xfId="0" applyFont="1" applyBorder="1" applyAlignment="1">
      <alignment horizontal="center" vertical="center"/>
    </xf>
    <xf numFmtId="0" fontId="70" fillId="0" borderId="78" xfId="0" applyFont="1" applyBorder="1" applyAlignment="1">
      <alignment horizontal="center" vertical="center"/>
    </xf>
    <xf numFmtId="0" fontId="70" fillId="0" borderId="59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/>
    </xf>
    <xf numFmtId="165" fontId="70" fillId="0" borderId="59" xfId="3" applyFont="1" applyFill="1" applyBorder="1" applyAlignment="1">
      <alignment horizontal="center" vertical="center"/>
    </xf>
    <xf numFmtId="165" fontId="70" fillId="0" borderId="4" xfId="3" applyFont="1" applyFill="1" applyBorder="1" applyAlignment="1">
      <alignment horizontal="center" vertical="center"/>
    </xf>
    <xf numFmtId="0" fontId="75" fillId="0" borderId="79" xfId="0" applyFont="1" applyBorder="1" applyAlignment="1">
      <alignment horizontal="center"/>
    </xf>
    <xf numFmtId="165" fontId="148" fillId="0" borderId="94" xfId="3" applyFont="1" applyBorder="1" applyAlignment="1">
      <alignment horizontal="center" vertical="center" wrapText="1"/>
    </xf>
    <xf numFmtId="165" fontId="148" fillId="0" borderId="72" xfId="3" applyFont="1" applyBorder="1" applyAlignment="1">
      <alignment horizontal="center" vertical="center"/>
    </xf>
    <xf numFmtId="165" fontId="148" fillId="0" borderId="58" xfId="3" applyFont="1" applyBorder="1" applyAlignment="1">
      <alignment horizontal="center" vertical="center"/>
    </xf>
    <xf numFmtId="165" fontId="148" fillId="0" borderId="9" xfId="3" applyFont="1" applyBorder="1" applyAlignment="1">
      <alignment horizontal="center" vertical="center"/>
    </xf>
    <xf numFmtId="165" fontId="148" fillId="0" borderId="94" xfId="3" applyFont="1" applyBorder="1" applyAlignment="1">
      <alignment horizontal="center" vertical="center"/>
    </xf>
    <xf numFmtId="165" fontId="148" fillId="0" borderId="55" xfId="3" applyFont="1" applyBorder="1" applyAlignment="1">
      <alignment horizontal="center" vertical="center"/>
    </xf>
    <xf numFmtId="165" fontId="148" fillId="0" borderId="10" xfId="3" applyFont="1" applyBorder="1" applyAlignment="1">
      <alignment horizontal="center" vertical="center"/>
    </xf>
    <xf numFmtId="165" fontId="148" fillId="0" borderId="4" xfId="3" applyFont="1" applyBorder="1" applyAlignment="1">
      <alignment horizontal="center" vertical="center"/>
    </xf>
    <xf numFmtId="0" fontId="177" fillId="0" borderId="0" xfId="0" applyFont="1" applyAlignment="1">
      <alignment horizontal="center"/>
    </xf>
    <xf numFmtId="0" fontId="177" fillId="0" borderId="79" xfId="0" applyFont="1" applyBorder="1" applyAlignment="1">
      <alignment horizontal="center"/>
    </xf>
    <xf numFmtId="0" fontId="148" fillId="0" borderId="55" xfId="0" applyFont="1" applyBorder="1" applyAlignment="1">
      <alignment horizontal="center" vertical="center"/>
    </xf>
    <xf numFmtId="0" fontId="148" fillId="0" borderId="10" xfId="0" applyFont="1" applyBorder="1" applyAlignment="1">
      <alignment horizontal="center" vertical="center"/>
    </xf>
    <xf numFmtId="0" fontId="148" fillId="0" borderId="4" xfId="0" applyFont="1" applyBorder="1" applyAlignment="1">
      <alignment horizontal="center" vertical="center"/>
    </xf>
    <xf numFmtId="165" fontId="148" fillId="0" borderId="55" xfId="3" applyFont="1" applyBorder="1" applyAlignment="1">
      <alignment horizontal="center" vertical="center" wrapText="1"/>
    </xf>
    <xf numFmtId="165" fontId="148" fillId="0" borderId="10" xfId="3" applyFont="1" applyBorder="1" applyAlignment="1">
      <alignment horizontal="center" vertical="center" wrapText="1"/>
    </xf>
    <xf numFmtId="165" fontId="148" fillId="0" borderId="4" xfId="3" applyFont="1" applyBorder="1" applyAlignment="1">
      <alignment horizontal="center" vertical="center" wrapText="1"/>
    </xf>
    <xf numFmtId="165" fontId="148" fillId="0" borderId="72" xfId="3" applyFont="1" applyBorder="1" applyAlignment="1">
      <alignment horizontal="center" vertical="center" wrapText="1"/>
    </xf>
    <xf numFmtId="165" fontId="148" fillId="0" borderId="58" xfId="3" applyFont="1" applyBorder="1" applyAlignment="1">
      <alignment horizontal="center" vertical="center" wrapText="1"/>
    </xf>
    <xf numFmtId="165" fontId="148" fillId="0" borderId="9" xfId="3" applyFont="1" applyBorder="1" applyAlignment="1">
      <alignment horizontal="center" vertical="center" wrapText="1"/>
    </xf>
    <xf numFmtId="0" fontId="217" fillId="8" borderId="3" xfId="183" applyFont="1" applyFill="1" applyBorder="1" applyAlignment="1">
      <alignment horizontal="center" vertical="center" wrapText="1"/>
    </xf>
    <xf numFmtId="0" fontId="217" fillId="8" borderId="80" xfId="183" applyFont="1" applyFill="1" applyBorder="1" applyAlignment="1">
      <alignment horizontal="center" vertical="center" wrapText="1"/>
    </xf>
    <xf numFmtId="165" fontId="217" fillId="8" borderId="80" xfId="185" applyFont="1" applyFill="1" applyBorder="1" applyAlignment="1" applyProtection="1">
      <alignment horizontal="center" vertical="center" wrapText="1"/>
    </xf>
    <xf numFmtId="165" fontId="217" fillId="8" borderId="71" xfId="185" applyFont="1" applyFill="1" applyBorder="1" applyAlignment="1" applyProtection="1">
      <alignment horizontal="center" vertical="center" wrapText="1"/>
    </xf>
    <xf numFmtId="0" fontId="149" fillId="7" borderId="102" xfId="183" applyFont="1" applyFill="1" applyBorder="1" applyAlignment="1">
      <alignment horizontal="center"/>
    </xf>
    <xf numFmtId="0" fontId="149" fillId="7" borderId="103" xfId="183" applyFont="1" applyFill="1" applyBorder="1" applyAlignment="1">
      <alignment horizontal="center"/>
    </xf>
    <xf numFmtId="0" fontId="149" fillId="7" borderId="6" xfId="183" applyFont="1" applyFill="1" applyBorder="1" applyAlignment="1">
      <alignment horizontal="center"/>
    </xf>
    <xf numFmtId="165" fontId="217" fillId="8" borderId="116" xfId="185" applyFont="1" applyFill="1" applyBorder="1" applyAlignment="1" applyProtection="1">
      <alignment horizontal="center" vertical="center"/>
    </xf>
    <xf numFmtId="165" fontId="217" fillId="8" borderId="131" xfId="185" applyFont="1" applyFill="1" applyBorder="1" applyAlignment="1" applyProtection="1">
      <alignment horizontal="center" vertical="center"/>
    </xf>
    <xf numFmtId="165" fontId="217" fillId="0" borderId="55" xfId="185" applyFont="1" applyFill="1" applyBorder="1" applyAlignment="1" applyProtection="1">
      <alignment horizontal="center" vertical="center" wrapText="1"/>
    </xf>
    <xf numFmtId="165" fontId="217" fillId="0" borderId="10" xfId="185" applyFont="1" applyFill="1" applyBorder="1" applyAlignment="1" applyProtection="1">
      <alignment horizontal="center" vertical="center"/>
    </xf>
    <xf numFmtId="165" fontId="217" fillId="0" borderId="4" xfId="185" applyFont="1" applyFill="1" applyBorder="1" applyAlignment="1" applyProtection="1">
      <alignment horizontal="center" vertical="center"/>
    </xf>
    <xf numFmtId="165" fontId="217" fillId="0" borderId="55" xfId="185" applyFont="1" applyFill="1" applyBorder="1" applyAlignment="1" applyProtection="1">
      <alignment horizontal="center" vertical="center"/>
    </xf>
    <xf numFmtId="2" fontId="78" fillId="8" borderId="55" xfId="183" applyNumberFormat="1" applyFont="1" applyFill="1" applyBorder="1" applyAlignment="1">
      <alignment horizontal="center" vertical="center" wrapText="1"/>
    </xf>
    <xf numFmtId="2" fontId="78" fillId="8" borderId="10" xfId="183" applyNumberFormat="1" applyFont="1" applyFill="1" applyBorder="1" applyAlignment="1">
      <alignment horizontal="center" vertical="center" wrapText="1"/>
    </xf>
    <xf numFmtId="2" fontId="78" fillId="8" borderId="4" xfId="183" applyNumberFormat="1" applyFont="1" applyFill="1" applyBorder="1" applyAlignment="1">
      <alignment horizontal="center" vertical="center" wrapText="1"/>
    </xf>
    <xf numFmtId="0" fontId="78" fillId="8" borderId="72" xfId="183" applyFont="1" applyFill="1" applyBorder="1" applyAlignment="1">
      <alignment horizontal="center" vertical="center" wrapText="1"/>
    </xf>
    <xf numFmtId="0" fontId="78" fillId="8" borderId="9" xfId="183" applyFont="1" applyFill="1" applyBorder="1" applyAlignment="1">
      <alignment horizontal="center" vertical="center" wrapText="1"/>
    </xf>
    <xf numFmtId="0" fontId="78" fillId="8" borderId="9" xfId="183" applyFont="1" applyFill="1" applyBorder="1" applyAlignment="1">
      <alignment horizontal="center" vertical="center"/>
    </xf>
    <xf numFmtId="0" fontId="78" fillId="8" borderId="55" xfId="183" applyFont="1" applyFill="1" applyBorder="1" applyAlignment="1">
      <alignment horizontal="center" vertical="center" wrapText="1"/>
    </xf>
    <xf numFmtId="0" fontId="78" fillId="8" borderId="10" xfId="183" applyFont="1" applyFill="1" applyBorder="1" applyAlignment="1">
      <alignment horizontal="center" vertical="center"/>
    </xf>
    <xf numFmtId="165" fontId="124" fillId="8" borderId="0" xfId="185" applyFont="1" applyFill="1" applyBorder="1" applyAlignment="1">
      <alignment horizontal="right"/>
    </xf>
    <xf numFmtId="0" fontId="145" fillId="8" borderId="0" xfId="183" applyFont="1" applyFill="1" applyAlignment="1">
      <alignment horizontal="center"/>
    </xf>
    <xf numFmtId="0" fontId="145" fillId="0" borderId="0" xfId="183" applyFont="1" applyAlignment="1">
      <alignment horizontal="center"/>
    </xf>
    <xf numFmtId="0" fontId="145" fillId="8" borderId="0" xfId="183" applyFont="1" applyFill="1" applyAlignment="1">
      <alignment horizontal="center" vertical="center"/>
    </xf>
    <xf numFmtId="0" fontId="149" fillId="8" borderId="55" xfId="183" applyFont="1" applyFill="1" applyBorder="1" applyAlignment="1">
      <alignment horizontal="center" vertical="center" wrapText="1"/>
    </xf>
    <xf numFmtId="0" fontId="149" fillId="8" borderId="10" xfId="183" applyFont="1" applyFill="1" applyBorder="1" applyAlignment="1">
      <alignment horizontal="center" vertical="center" wrapText="1"/>
    </xf>
    <xf numFmtId="0" fontId="149" fillId="0" borderId="3" xfId="183" applyFont="1" applyBorder="1" applyAlignment="1">
      <alignment horizontal="center" vertical="center"/>
    </xf>
    <xf numFmtId="0" fontId="149" fillId="0" borderId="55" xfId="183" applyFont="1" applyBorder="1" applyAlignment="1">
      <alignment horizontal="center" vertical="center"/>
    </xf>
    <xf numFmtId="0" fontId="149" fillId="8" borderId="55" xfId="183" applyFont="1" applyFill="1" applyBorder="1" applyAlignment="1">
      <alignment horizontal="center" vertical="center"/>
    </xf>
    <xf numFmtId="0" fontId="149" fillId="8" borderId="10" xfId="183" applyFont="1" applyFill="1" applyBorder="1" applyAlignment="1">
      <alignment horizontal="center" vertical="center"/>
    </xf>
    <xf numFmtId="165" fontId="217" fillId="0" borderId="72" xfId="185" applyFont="1" applyFill="1" applyBorder="1" applyAlignment="1" applyProtection="1">
      <alignment horizontal="center" vertical="center"/>
    </xf>
    <xf numFmtId="165" fontId="217" fillId="0" borderId="9" xfId="185" applyFont="1" applyFill="1" applyBorder="1" applyAlignment="1" applyProtection="1">
      <alignment horizontal="center" vertical="center"/>
    </xf>
    <xf numFmtId="0" fontId="217" fillId="8" borderId="2" xfId="183" applyFont="1" applyFill="1" applyBorder="1" applyAlignment="1">
      <alignment horizontal="center" vertical="center"/>
    </xf>
    <xf numFmtId="0" fontId="217" fillId="8" borderId="71" xfId="183" applyFont="1" applyFill="1" applyBorder="1" applyAlignment="1">
      <alignment horizontal="center" vertical="center"/>
    </xf>
    <xf numFmtId="0" fontId="149" fillId="8" borderId="80" xfId="183" applyFont="1" applyFill="1" applyBorder="1" applyAlignment="1">
      <alignment horizontal="center" vertical="center" wrapText="1"/>
    </xf>
    <xf numFmtId="0" fontId="149" fillId="8" borderId="71" xfId="183" applyFont="1" applyFill="1" applyBorder="1" applyAlignment="1">
      <alignment horizontal="center" vertical="center" wrapText="1"/>
    </xf>
    <xf numFmtId="165" fontId="149" fillId="8" borderId="80" xfId="185" applyFont="1" applyFill="1" applyBorder="1" applyAlignment="1" applyProtection="1">
      <alignment horizontal="center" vertical="center"/>
    </xf>
    <xf numFmtId="165" fontId="149" fillId="8" borderId="71" xfId="185" applyFont="1" applyFill="1" applyBorder="1" applyAlignment="1" applyProtection="1">
      <alignment horizontal="center" vertical="center"/>
    </xf>
    <xf numFmtId="165" fontId="149" fillId="8" borderId="80" xfId="185" applyFont="1" applyFill="1" applyBorder="1" applyAlignment="1" applyProtection="1">
      <alignment horizontal="center" vertical="center" wrapText="1"/>
    </xf>
    <xf numFmtId="165" fontId="149" fillId="8" borderId="71" xfId="185" applyFont="1" applyFill="1" applyBorder="1" applyAlignment="1" applyProtection="1">
      <alignment horizontal="center" vertical="center" wrapText="1"/>
    </xf>
    <xf numFmtId="165" fontId="78" fillId="7" borderId="55" xfId="185" applyFont="1" applyFill="1" applyBorder="1" applyAlignment="1" applyProtection="1">
      <alignment horizontal="center" vertical="center" wrapText="1"/>
    </xf>
    <xf numFmtId="165" fontId="78" fillId="7" borderId="10" xfId="185" applyFont="1" applyFill="1" applyBorder="1" applyAlignment="1" applyProtection="1">
      <alignment horizontal="center" vertical="center"/>
    </xf>
    <xf numFmtId="165" fontId="78" fillId="7" borderId="4" xfId="185" applyFont="1" applyFill="1" applyBorder="1" applyAlignment="1" applyProtection="1">
      <alignment horizontal="center" vertical="center"/>
    </xf>
    <xf numFmtId="165" fontId="78" fillId="10" borderId="3" xfId="185" applyFont="1" applyFill="1" applyBorder="1" applyAlignment="1" applyProtection="1">
      <alignment horizontal="center" wrapText="1"/>
    </xf>
    <xf numFmtId="165" fontId="78" fillId="16" borderId="3" xfId="185" applyFont="1" applyFill="1" applyBorder="1" applyAlignment="1" applyProtection="1">
      <alignment horizontal="center" wrapText="1"/>
    </xf>
    <xf numFmtId="2" fontId="149" fillId="8" borderId="94" xfId="185" applyNumberFormat="1" applyFont="1" applyFill="1" applyBorder="1" applyAlignment="1" applyProtection="1">
      <alignment horizontal="center" vertical="center" wrapText="1"/>
    </xf>
    <xf numFmtId="2" fontId="149" fillId="8" borderId="87" xfId="185" applyNumberFormat="1" applyFont="1" applyFill="1" applyBorder="1" applyAlignment="1" applyProtection="1">
      <alignment horizontal="center" vertical="center" wrapText="1"/>
    </xf>
    <xf numFmtId="2" fontId="149" fillId="8" borderId="58" xfId="185" applyNumberFormat="1" applyFont="1" applyFill="1" applyBorder="1" applyAlignment="1" applyProtection="1">
      <alignment horizontal="center" vertical="center" wrapText="1"/>
    </xf>
    <xf numFmtId="2" fontId="149" fillId="8" borderId="0" xfId="185" applyNumberFormat="1" applyFont="1" applyFill="1" applyBorder="1" applyAlignment="1" applyProtection="1">
      <alignment horizontal="center" vertical="center" wrapText="1"/>
    </xf>
    <xf numFmtId="2" fontId="149" fillId="8" borderId="25" xfId="185" applyNumberFormat="1" applyFont="1" applyFill="1" applyBorder="1" applyAlignment="1" applyProtection="1">
      <alignment horizontal="center" vertical="center" wrapText="1"/>
    </xf>
    <xf numFmtId="2" fontId="149" fillId="8" borderId="79" xfId="185" applyNumberFormat="1" applyFont="1" applyFill="1" applyBorder="1" applyAlignment="1" applyProtection="1">
      <alignment horizontal="center" vertical="center" wrapText="1"/>
    </xf>
    <xf numFmtId="165" fontId="149" fillId="8" borderId="94" xfId="185" applyFont="1" applyFill="1" applyBorder="1" applyAlignment="1" applyProtection="1">
      <alignment horizontal="center" wrapText="1"/>
    </xf>
    <xf numFmtId="165" fontId="149" fillId="8" borderId="87" xfId="185" applyFont="1" applyFill="1" applyBorder="1" applyAlignment="1" applyProtection="1">
      <alignment horizontal="center" wrapText="1"/>
    </xf>
    <xf numFmtId="165" fontId="149" fillId="8" borderId="72" xfId="185" applyFont="1" applyFill="1" applyBorder="1" applyAlignment="1" applyProtection="1">
      <alignment horizontal="center" wrapText="1"/>
    </xf>
    <xf numFmtId="165" fontId="149" fillId="8" borderId="58" xfId="185" applyFont="1" applyFill="1" applyBorder="1" applyAlignment="1" applyProtection="1">
      <alignment horizontal="center" wrapText="1"/>
    </xf>
    <xf numFmtId="165" fontId="149" fillId="8" borderId="0" xfId="185" applyFont="1" applyFill="1" applyBorder="1" applyAlignment="1" applyProtection="1">
      <alignment horizontal="center" wrapText="1"/>
    </xf>
    <xf numFmtId="165" fontId="149" fillId="8" borderId="9" xfId="185" applyFont="1" applyFill="1" applyBorder="1" applyAlignment="1" applyProtection="1">
      <alignment horizontal="center" wrapText="1"/>
    </xf>
    <xf numFmtId="165" fontId="149" fillId="0" borderId="55" xfId="185" applyFont="1" applyFill="1" applyBorder="1" applyAlignment="1" applyProtection="1">
      <alignment horizontal="center" vertical="center" wrapText="1"/>
    </xf>
    <xf numFmtId="165" fontId="149" fillId="0" borderId="10" xfId="185" applyFont="1" applyFill="1" applyBorder="1" applyAlignment="1" applyProtection="1">
      <alignment horizontal="center" vertical="center"/>
    </xf>
    <xf numFmtId="165" fontId="149" fillId="0" borderId="4" xfId="185" applyFont="1" applyFill="1" applyBorder="1" applyAlignment="1" applyProtection="1">
      <alignment horizontal="center" vertical="center"/>
    </xf>
    <xf numFmtId="2" fontId="149" fillId="0" borderId="55" xfId="185" applyNumberFormat="1" applyFont="1" applyFill="1" applyBorder="1" applyAlignment="1" applyProtection="1">
      <alignment horizontal="center" vertical="center"/>
    </xf>
    <xf numFmtId="2" fontId="149" fillId="0" borderId="10" xfId="185" applyNumberFormat="1" applyFont="1" applyFill="1" applyBorder="1" applyAlignment="1" applyProtection="1">
      <alignment horizontal="center" vertical="center"/>
    </xf>
    <xf numFmtId="2" fontId="149" fillId="0" borderId="4" xfId="185" applyNumberFormat="1" applyFont="1" applyFill="1" applyBorder="1" applyAlignment="1" applyProtection="1">
      <alignment horizontal="center" vertical="center"/>
    </xf>
    <xf numFmtId="0" fontId="78" fillId="8" borderId="10" xfId="183" applyFont="1" applyFill="1" applyBorder="1" applyAlignment="1">
      <alignment horizontal="center" vertical="center" wrapText="1"/>
    </xf>
    <xf numFmtId="0" fontId="78" fillId="8" borderId="4" xfId="183" applyFont="1" applyFill="1" applyBorder="1" applyAlignment="1">
      <alignment horizontal="center" vertical="center" wrapText="1"/>
    </xf>
    <xf numFmtId="0" fontId="78" fillId="8" borderId="55" xfId="183" applyFont="1" applyFill="1" applyBorder="1" applyAlignment="1">
      <alignment horizontal="center" wrapText="1"/>
    </xf>
    <xf numFmtId="0" fontId="78" fillId="8" borderId="10" xfId="183" applyFont="1" applyFill="1" applyBorder="1" applyAlignment="1">
      <alignment horizontal="center" wrapText="1"/>
    </xf>
    <xf numFmtId="0" fontId="78" fillId="8" borderId="4" xfId="183" applyFont="1" applyFill="1" applyBorder="1" applyAlignment="1">
      <alignment horizontal="center" wrapText="1"/>
    </xf>
    <xf numFmtId="0" fontId="177" fillId="0" borderId="0" xfId="183" applyFont="1" applyAlignment="1">
      <alignment horizontal="center"/>
    </xf>
    <xf numFmtId="165" fontId="115" fillId="8" borderId="0" xfId="185" applyFont="1" applyFill="1" applyAlignment="1" applyProtection="1">
      <alignment horizontal="center"/>
    </xf>
    <xf numFmtId="0" fontId="177" fillId="8" borderId="0" xfId="183" applyFont="1" applyFill="1" applyAlignment="1">
      <alignment horizontal="center" vertical="center"/>
    </xf>
    <xf numFmtId="0" fontId="149" fillId="0" borderId="55" xfId="183" applyFont="1" applyBorder="1" applyAlignment="1">
      <alignment horizontal="center" vertical="center" wrapText="1"/>
    </xf>
    <xf numFmtId="0" fontId="149" fillId="0" borderId="10" xfId="183" applyFont="1" applyBorder="1" applyAlignment="1">
      <alignment horizontal="center" vertical="center" wrapText="1"/>
    </xf>
    <xf numFmtId="0" fontId="149" fillId="0" borderId="4" xfId="183" applyFont="1" applyBorder="1" applyAlignment="1">
      <alignment horizontal="center" vertical="center" wrapText="1"/>
    </xf>
    <xf numFmtId="0" fontId="149" fillId="0" borderId="10" xfId="183" applyFont="1" applyBorder="1" applyAlignment="1">
      <alignment horizontal="center" vertical="center"/>
    </xf>
    <xf numFmtId="0" fontId="149" fillId="0" borderId="4" xfId="183" applyFont="1" applyBorder="1" applyAlignment="1">
      <alignment horizontal="center" vertical="center"/>
    </xf>
    <xf numFmtId="165" fontId="149" fillId="0" borderId="94" xfId="185" applyFont="1" applyFill="1" applyBorder="1" applyAlignment="1" applyProtection="1">
      <alignment horizontal="center" vertical="center" wrapText="1"/>
    </xf>
    <xf numFmtId="165" fontId="149" fillId="0" borderId="87" xfId="185" applyFont="1" applyFill="1" applyBorder="1" applyAlignment="1" applyProtection="1">
      <alignment horizontal="center" vertical="center"/>
    </xf>
    <xf numFmtId="165" fontId="149" fillId="0" borderId="72" xfId="185" applyFont="1" applyFill="1" applyBorder="1" applyAlignment="1" applyProtection="1">
      <alignment horizontal="center" vertical="center"/>
    </xf>
    <xf numFmtId="165" fontId="149" fillId="0" borderId="58" xfId="185" applyFont="1" applyFill="1" applyBorder="1" applyAlignment="1" applyProtection="1">
      <alignment horizontal="center" vertical="center"/>
    </xf>
    <xf numFmtId="165" fontId="149" fillId="0" borderId="0" xfId="185" applyFont="1" applyFill="1" applyBorder="1" applyAlignment="1" applyProtection="1">
      <alignment horizontal="center" vertical="center"/>
    </xf>
    <xf numFmtId="165" fontId="149" fillId="0" borderId="9" xfId="185" applyFont="1" applyFill="1" applyBorder="1" applyAlignment="1" applyProtection="1">
      <alignment horizontal="center" vertical="center"/>
    </xf>
    <xf numFmtId="165" fontId="149" fillId="0" borderId="25" xfId="185" applyFont="1" applyFill="1" applyBorder="1" applyAlignment="1" applyProtection="1">
      <alignment horizontal="center" vertical="center"/>
    </xf>
    <xf numFmtId="165" fontId="149" fillId="0" borderId="79" xfId="185" applyFont="1" applyFill="1" applyBorder="1" applyAlignment="1" applyProtection="1">
      <alignment horizontal="center" vertical="center"/>
    </xf>
    <xf numFmtId="165" fontId="149" fillId="0" borderId="54" xfId="185" applyFont="1" applyFill="1" applyBorder="1" applyAlignment="1" applyProtection="1">
      <alignment horizontal="center" vertical="center"/>
    </xf>
    <xf numFmtId="2" fontId="149" fillId="0" borderId="55" xfId="185" applyNumberFormat="1" applyFont="1" applyFill="1" applyBorder="1" applyAlignment="1" applyProtection="1">
      <alignment horizontal="center" vertical="center" wrapText="1"/>
    </xf>
    <xf numFmtId="2" fontId="149" fillId="0" borderId="10" xfId="185" applyNumberFormat="1" applyFont="1" applyFill="1" applyBorder="1" applyAlignment="1" applyProtection="1">
      <alignment horizontal="center" vertical="center" wrapText="1"/>
    </xf>
    <xf numFmtId="2" fontId="149" fillId="0" borderId="4" xfId="185" applyNumberFormat="1" applyFont="1" applyFill="1" applyBorder="1" applyAlignment="1" applyProtection="1">
      <alignment horizontal="center" vertical="center" wrapText="1"/>
    </xf>
    <xf numFmtId="165" fontId="149" fillId="0" borderId="3" xfId="185" applyFont="1" applyFill="1" applyBorder="1" applyAlignment="1" applyProtection="1">
      <alignment horizontal="center" vertical="center"/>
    </xf>
    <xf numFmtId="165" fontId="149" fillId="0" borderId="55" xfId="185" applyFont="1" applyFill="1" applyBorder="1" applyAlignment="1" applyProtection="1">
      <alignment horizontal="center" vertical="center"/>
    </xf>
    <xf numFmtId="165" fontId="78" fillId="0" borderId="55" xfId="185" applyFont="1" applyFill="1" applyBorder="1" applyAlignment="1" applyProtection="1">
      <alignment horizontal="center" vertical="center" wrapText="1"/>
    </xf>
    <xf numFmtId="165" fontId="78" fillId="0" borderId="10" xfId="185" applyFont="1" applyFill="1" applyBorder="1" applyAlignment="1" applyProtection="1">
      <alignment horizontal="center" vertical="center"/>
    </xf>
    <xf numFmtId="165" fontId="78" fillId="0" borderId="4" xfId="185" applyFont="1" applyFill="1" applyBorder="1" applyAlignment="1" applyProtection="1">
      <alignment horizontal="center" vertical="center"/>
    </xf>
    <xf numFmtId="0" fontId="149" fillId="0" borderId="87" xfId="183" applyFont="1" applyBorder="1" applyAlignment="1">
      <alignment horizontal="center" wrapText="1"/>
    </xf>
    <xf numFmtId="0" fontId="149" fillId="0" borderId="0" xfId="183" applyFont="1" applyAlignment="1">
      <alignment horizontal="center"/>
    </xf>
    <xf numFmtId="0" fontId="149" fillId="8" borderId="94" xfId="183" applyFont="1" applyFill="1" applyBorder="1" applyAlignment="1">
      <alignment horizontal="center" vertical="center" wrapText="1"/>
    </xf>
    <xf numFmtId="0" fontId="149" fillId="8" borderId="87" xfId="183" applyFont="1" applyFill="1" applyBorder="1" applyAlignment="1">
      <alignment horizontal="center" vertical="center" wrapText="1"/>
    </xf>
    <xf numFmtId="0" fontId="149" fillId="8" borderId="25" xfId="183" applyFont="1" applyFill="1" applyBorder="1" applyAlignment="1">
      <alignment horizontal="center" vertical="center" wrapText="1"/>
    </xf>
    <xf numFmtId="0" fontId="149" fillId="8" borderId="79" xfId="183" applyFont="1" applyFill="1" applyBorder="1" applyAlignment="1">
      <alignment horizontal="center" vertical="center" wrapText="1"/>
    </xf>
    <xf numFmtId="0" fontId="149" fillId="8" borderId="3" xfId="183" applyFont="1" applyFill="1" applyBorder="1" applyAlignment="1">
      <alignment horizontal="center" vertical="center" wrapText="1"/>
    </xf>
    <xf numFmtId="0" fontId="149" fillId="8" borderId="3" xfId="183" applyFont="1" applyFill="1" applyBorder="1" applyAlignment="1">
      <alignment horizontal="center" vertical="center"/>
    </xf>
    <xf numFmtId="0" fontId="149" fillId="8" borderId="94" xfId="15" applyFont="1" applyFill="1" applyBorder="1" applyAlignment="1">
      <alignment horizontal="center" vertical="center"/>
    </xf>
    <xf numFmtId="0" fontId="149" fillId="8" borderId="72" xfId="15" applyFont="1" applyFill="1" applyBorder="1" applyAlignment="1">
      <alignment horizontal="center" vertical="center"/>
    </xf>
    <xf numFmtId="0" fontId="149" fillId="8" borderId="25" xfId="15" applyFont="1" applyFill="1" applyBorder="1" applyAlignment="1">
      <alignment horizontal="center" vertical="center"/>
    </xf>
    <xf numFmtId="0" fontId="149" fillId="8" borderId="54" xfId="15" applyFont="1" applyFill="1" applyBorder="1" applyAlignment="1">
      <alignment horizontal="center" vertical="center"/>
    </xf>
    <xf numFmtId="43" fontId="149" fillId="8" borderId="94" xfId="55" applyFont="1" applyFill="1" applyBorder="1" applyAlignment="1" applyProtection="1">
      <alignment horizontal="center" vertical="center" wrapText="1"/>
    </xf>
    <xf numFmtId="43" fontId="149" fillId="8" borderId="72" xfId="55" applyFont="1" applyFill="1" applyBorder="1" applyAlignment="1" applyProtection="1">
      <alignment horizontal="center" vertical="center" wrapText="1"/>
    </xf>
    <xf numFmtId="43" fontId="149" fillId="8" borderId="58" xfId="55" applyFont="1" applyFill="1" applyBorder="1" applyAlignment="1" applyProtection="1">
      <alignment horizontal="center" vertical="center" wrapText="1"/>
    </xf>
    <xf numFmtId="43" fontId="149" fillId="8" borderId="9" xfId="55" applyFont="1" applyFill="1" applyBorder="1" applyAlignment="1" applyProtection="1">
      <alignment horizontal="center" vertical="center" wrapText="1"/>
    </xf>
    <xf numFmtId="0" fontId="149" fillId="8" borderId="94" xfId="15" applyFont="1" applyFill="1" applyBorder="1" applyAlignment="1">
      <alignment horizontal="center" vertical="center" wrapText="1"/>
    </xf>
    <xf numFmtId="43" fontId="149" fillId="0" borderId="72" xfId="55" applyFont="1" applyFill="1" applyBorder="1" applyAlignment="1" applyProtection="1">
      <alignment horizontal="center" vertical="center"/>
    </xf>
    <xf numFmtId="43" fontId="149" fillId="0" borderId="9" xfId="55" applyFont="1" applyFill="1" applyBorder="1" applyAlignment="1" applyProtection="1">
      <alignment horizontal="center" vertical="center"/>
    </xf>
    <xf numFmtId="43" fontId="149" fillId="0" borderId="4" xfId="55" applyFont="1" applyFill="1" applyBorder="1" applyAlignment="1" applyProtection="1">
      <alignment horizontal="center" vertical="center"/>
    </xf>
    <xf numFmtId="0" fontId="149" fillId="7" borderId="55" xfId="15" applyFont="1" applyFill="1" applyBorder="1" applyAlignment="1">
      <alignment horizontal="center" vertical="center" wrapText="1"/>
    </xf>
    <xf numFmtId="0" fontId="149" fillId="7" borderId="10" xfId="15" applyFont="1" applyFill="1" applyBorder="1" applyAlignment="1">
      <alignment horizontal="center" vertical="center"/>
    </xf>
    <xf numFmtId="0" fontId="149" fillId="7" borderId="4" xfId="15" applyFont="1" applyFill="1" applyBorder="1" applyAlignment="1">
      <alignment horizontal="center" vertical="center"/>
    </xf>
    <xf numFmtId="0" fontId="151" fillId="0" borderId="0" xfId="15" applyFont="1" applyAlignment="1">
      <alignment horizontal="center" vertical="center"/>
    </xf>
    <xf numFmtId="0" fontId="177" fillId="0" borderId="0" xfId="15" applyFont="1" applyAlignment="1">
      <alignment horizontal="center" vertical="top"/>
    </xf>
    <xf numFmtId="0" fontId="229" fillId="0" borderId="0" xfId="15" applyFont="1" applyAlignment="1">
      <alignment horizontal="center" vertical="top"/>
    </xf>
    <xf numFmtId="0" fontId="203" fillId="0" borderId="55" xfId="15" applyFont="1" applyBorder="1" applyAlignment="1">
      <alignment horizontal="center" vertical="center" wrapText="1"/>
    </xf>
    <xf numFmtId="0" fontId="203" fillId="0" borderId="10" xfId="15" applyFont="1" applyBorder="1" applyAlignment="1">
      <alignment horizontal="center" vertical="center" wrapText="1"/>
    </xf>
    <xf numFmtId="0" fontId="203" fillId="0" borderId="4" xfId="15" applyFont="1" applyBorder="1" applyAlignment="1">
      <alignment horizontal="center" vertical="center" wrapText="1"/>
    </xf>
    <xf numFmtId="0" fontId="152" fillId="0" borderId="55" xfId="15" applyFont="1" applyBorder="1" applyAlignment="1">
      <alignment horizontal="center" vertical="center" wrapText="1"/>
    </xf>
    <xf numFmtId="0" fontId="152" fillId="0" borderId="10" xfId="15" applyFont="1" applyBorder="1" applyAlignment="1">
      <alignment horizontal="center" vertical="center" wrapText="1"/>
    </xf>
    <xf numFmtId="0" fontId="152" fillId="0" borderId="4" xfId="15" applyFont="1" applyBorder="1" applyAlignment="1">
      <alignment horizontal="center" vertical="center" wrapText="1"/>
    </xf>
    <xf numFmtId="0" fontId="152" fillId="0" borderId="55" xfId="15" applyFont="1" applyBorder="1" applyAlignment="1">
      <alignment horizontal="center" vertical="center"/>
    </xf>
    <xf numFmtId="0" fontId="152" fillId="0" borderId="10" xfId="15" applyFont="1" applyBorder="1" applyAlignment="1">
      <alignment horizontal="center" vertical="center"/>
    </xf>
    <xf numFmtId="0" fontId="152" fillId="0" borderId="4" xfId="15" applyFont="1" applyBorder="1" applyAlignment="1">
      <alignment horizontal="center" vertical="center"/>
    </xf>
    <xf numFmtId="0" fontId="149" fillId="0" borderId="55" xfId="15" applyFont="1" applyBorder="1" applyAlignment="1">
      <alignment horizontal="center" vertical="center"/>
    </xf>
    <xf numFmtId="0" fontId="149" fillId="0" borderId="10" xfId="15" applyFont="1" applyBorder="1" applyAlignment="1">
      <alignment horizontal="center" vertical="center"/>
    </xf>
    <xf numFmtId="0" fontId="149" fillId="0" borderId="4" xfId="15" applyFont="1" applyBorder="1" applyAlignment="1">
      <alignment horizontal="center" vertical="center"/>
    </xf>
    <xf numFmtId="43" fontId="149" fillId="0" borderId="94" xfId="55" applyFont="1" applyFill="1" applyBorder="1" applyAlignment="1" applyProtection="1">
      <alignment horizontal="center" vertical="center"/>
    </xf>
    <xf numFmtId="43" fontId="149" fillId="0" borderId="87" xfId="55" applyFont="1" applyFill="1" applyBorder="1" applyAlignment="1" applyProtection="1">
      <alignment horizontal="center" vertical="center"/>
    </xf>
    <xf numFmtId="43" fontId="149" fillId="0" borderId="58" xfId="55" applyFont="1" applyFill="1" applyBorder="1" applyAlignment="1" applyProtection="1">
      <alignment horizontal="center" vertical="center"/>
    </xf>
    <xf numFmtId="43" fontId="149" fillId="0" borderId="0" xfId="55" applyFont="1" applyFill="1" applyBorder="1" applyAlignment="1" applyProtection="1">
      <alignment horizontal="center" vertical="center"/>
    </xf>
    <xf numFmtId="0" fontId="200" fillId="0" borderId="0" xfId="316" applyFont="1" applyAlignment="1">
      <alignment horizontal="center"/>
    </xf>
    <xf numFmtId="0" fontId="200" fillId="0" borderId="79" xfId="316" applyFont="1" applyBorder="1" applyAlignment="1">
      <alignment horizontal="center"/>
    </xf>
    <xf numFmtId="0" fontId="163" fillId="20" borderId="3" xfId="316" applyFont="1" applyFill="1" applyBorder="1" applyAlignment="1">
      <alignment horizontal="center" vertical="center"/>
    </xf>
    <xf numFmtId="0" fontId="178" fillId="20" borderId="3" xfId="316" applyFont="1" applyFill="1" applyBorder="1" applyAlignment="1">
      <alignment horizontal="center" vertical="center"/>
    </xf>
    <xf numFmtId="43" fontId="163" fillId="20" borderId="80" xfId="55" applyFont="1" applyFill="1" applyBorder="1" applyAlignment="1">
      <alignment horizontal="center" vertical="center"/>
    </xf>
    <xf numFmtId="43" fontId="163" fillId="20" borderId="2" xfId="55" applyFont="1" applyFill="1" applyBorder="1" applyAlignment="1">
      <alignment horizontal="center" vertical="center"/>
    </xf>
    <xf numFmtId="43" fontId="202" fillId="8" borderId="55" xfId="55" applyFont="1" applyFill="1" applyBorder="1" applyAlignment="1">
      <alignment horizontal="center" vertical="center" wrapText="1"/>
    </xf>
    <xf numFmtId="43" fontId="202" fillId="8" borderId="10" xfId="55" applyFont="1" applyFill="1" applyBorder="1" applyAlignment="1">
      <alignment horizontal="center" vertical="center" wrapText="1"/>
    </xf>
    <xf numFmtId="43" fontId="202" fillId="8" borderId="4" xfId="55" applyFont="1" applyFill="1" applyBorder="1" applyAlignment="1">
      <alignment horizontal="center" vertical="center" wrapText="1"/>
    </xf>
    <xf numFmtId="43" fontId="163" fillId="20" borderId="55" xfId="55" applyFont="1" applyFill="1" applyBorder="1" applyAlignment="1">
      <alignment horizontal="center" vertical="center" wrapText="1"/>
    </xf>
    <xf numFmtId="43" fontId="163" fillId="20" borderId="10" xfId="55" applyFont="1" applyFill="1" applyBorder="1" applyAlignment="1">
      <alignment horizontal="center" vertical="center" wrapText="1"/>
    </xf>
    <xf numFmtId="43" fontId="163" fillId="20" borderId="4" xfId="55" applyFont="1" applyFill="1" applyBorder="1" applyAlignment="1">
      <alignment horizontal="center" vertical="center" wrapText="1"/>
    </xf>
    <xf numFmtId="0" fontId="163" fillId="20" borderId="55" xfId="316" applyFont="1" applyFill="1" applyBorder="1" applyAlignment="1">
      <alignment horizontal="center" vertical="center"/>
    </xf>
    <xf numFmtId="0" fontId="163" fillId="20" borderId="4" xfId="316" applyFont="1" applyFill="1" applyBorder="1" applyAlignment="1">
      <alignment horizontal="center" vertical="center"/>
    </xf>
    <xf numFmtId="43" fontId="163" fillId="20" borderId="3" xfId="55" applyFont="1" applyFill="1" applyBorder="1" applyAlignment="1">
      <alignment horizontal="center" vertical="center"/>
    </xf>
    <xf numFmtId="43" fontId="202" fillId="8" borderId="55" xfId="55" applyFont="1" applyFill="1" applyBorder="1" applyAlignment="1">
      <alignment horizontal="center" vertical="top"/>
    </xf>
    <xf numFmtId="43" fontId="202" fillId="8" borderId="4" xfId="55" applyFont="1" applyFill="1" applyBorder="1" applyAlignment="1">
      <alignment horizontal="center" vertical="top"/>
    </xf>
    <xf numFmtId="0" fontId="163" fillId="20" borderId="3" xfId="316" applyFont="1" applyFill="1" applyBorder="1" applyAlignment="1">
      <alignment horizontal="center" vertical="center" wrapText="1"/>
    </xf>
    <xf numFmtId="43" fontId="163" fillId="20" borderId="55" xfId="37" applyFont="1" applyFill="1" applyBorder="1" applyAlignment="1">
      <alignment horizontal="center" vertical="center" wrapText="1"/>
    </xf>
    <xf numFmtId="43" fontId="163" fillId="20" borderId="4" xfId="37" applyFont="1" applyFill="1" applyBorder="1" applyAlignment="1">
      <alignment horizontal="center" vertical="center" wrapText="1"/>
    </xf>
    <xf numFmtId="43" fontId="163" fillId="20" borderId="55" xfId="55" applyFont="1" applyFill="1" applyBorder="1" applyAlignment="1">
      <alignment horizontal="center" vertical="center"/>
    </xf>
    <xf numFmtId="43" fontId="163" fillId="20" borderId="4" xfId="55" applyFont="1" applyFill="1" applyBorder="1" applyAlignment="1">
      <alignment horizontal="center" vertical="center"/>
    </xf>
    <xf numFmtId="0" fontId="163" fillId="20" borderId="80" xfId="316" applyFont="1" applyFill="1" applyBorder="1" applyAlignment="1">
      <alignment horizontal="center" vertical="center"/>
    </xf>
    <xf numFmtId="0" fontId="163" fillId="20" borderId="2" xfId="316" applyFont="1" applyFill="1" applyBorder="1" applyAlignment="1">
      <alignment horizontal="center" vertical="center"/>
    </xf>
    <xf numFmtId="0" fontId="163" fillId="20" borderId="71" xfId="316" applyFont="1" applyFill="1" applyBorder="1" applyAlignment="1">
      <alignment horizontal="center" vertical="center"/>
    </xf>
    <xf numFmtId="43" fontId="163" fillId="20" borderId="94" xfId="55" applyFont="1" applyFill="1" applyBorder="1" applyAlignment="1">
      <alignment horizontal="center" vertical="center" wrapText="1"/>
    </xf>
    <xf numFmtId="43" fontId="163" fillId="20" borderId="72" xfId="55" applyFont="1" applyFill="1" applyBorder="1" applyAlignment="1">
      <alignment horizontal="center" vertical="center" wrapText="1"/>
    </xf>
    <xf numFmtId="43" fontId="163" fillId="20" borderId="3" xfId="55" applyFont="1" applyFill="1" applyBorder="1" applyAlignment="1">
      <alignment horizontal="center" vertical="center" wrapText="1"/>
    </xf>
    <xf numFmtId="15" fontId="163" fillId="20" borderId="55" xfId="37" applyNumberFormat="1" applyFont="1" applyFill="1" applyBorder="1" applyAlignment="1">
      <alignment horizontal="center" vertical="center" wrapText="1"/>
    </xf>
    <xf numFmtId="43" fontId="199" fillId="20" borderId="55" xfId="55" applyFont="1" applyFill="1" applyBorder="1" applyAlignment="1">
      <alignment horizontal="center" vertical="center" wrapText="1"/>
    </xf>
    <xf numFmtId="43" fontId="199" fillId="20" borderId="10" xfId="55" applyFont="1" applyFill="1" applyBorder="1" applyAlignment="1">
      <alignment horizontal="center" vertical="center" wrapText="1"/>
    </xf>
    <xf numFmtId="43" fontId="199" fillId="20" borderId="4" xfId="55" applyFont="1" applyFill="1" applyBorder="1" applyAlignment="1">
      <alignment horizontal="center" vertical="center" wrapText="1"/>
    </xf>
    <xf numFmtId="0" fontId="81" fillId="8" borderId="55" xfId="87" applyFont="1" applyFill="1" applyBorder="1" applyAlignment="1">
      <alignment horizontal="center" vertical="center"/>
    </xf>
    <xf numFmtId="0" fontId="81" fillId="8" borderId="4" xfId="87" applyFont="1" applyFill="1" applyBorder="1" applyAlignment="1">
      <alignment horizontal="center" vertical="center"/>
    </xf>
    <xf numFmtId="0" fontId="177" fillId="8" borderId="55" xfId="87" applyFont="1" applyFill="1" applyBorder="1" applyAlignment="1">
      <alignment horizontal="center" vertical="center" wrapText="1"/>
    </xf>
    <xf numFmtId="0" fontId="177" fillId="8" borderId="4" xfId="87" applyFont="1" applyFill="1" applyBorder="1" applyAlignment="1">
      <alignment horizontal="center" vertical="center" wrapText="1"/>
    </xf>
    <xf numFmtId="43" fontId="78" fillId="15" borderId="55" xfId="55" applyFont="1" applyFill="1" applyBorder="1" applyAlignment="1" applyProtection="1">
      <alignment horizontal="center" vertical="center" wrapText="1"/>
    </xf>
    <xf numFmtId="43" fontId="78" fillId="15" borderId="4" xfId="55" applyFont="1" applyFill="1" applyBorder="1" applyAlignment="1" applyProtection="1">
      <alignment horizontal="center" vertical="center" wrapText="1"/>
    </xf>
    <xf numFmtId="43" fontId="78" fillId="11" borderId="55" xfId="55" applyFont="1" applyFill="1" applyBorder="1" applyAlignment="1" applyProtection="1">
      <alignment horizontal="center" vertical="center" wrapText="1"/>
    </xf>
    <xf numFmtId="43" fontId="78" fillId="11" borderId="4" xfId="55" applyFont="1" applyFill="1" applyBorder="1" applyAlignment="1" applyProtection="1">
      <alignment horizontal="center" vertical="center" wrapText="1"/>
    </xf>
    <xf numFmtId="43" fontId="149" fillId="8" borderId="71" xfId="55" applyFont="1" applyFill="1" applyBorder="1" applyAlignment="1" applyProtection="1">
      <alignment horizontal="center" vertical="center"/>
    </xf>
    <xf numFmtId="43" fontId="149" fillId="8" borderId="55" xfId="55" applyFont="1" applyFill="1" applyBorder="1" applyAlignment="1" applyProtection="1">
      <alignment horizontal="center" vertical="center" wrapText="1"/>
    </xf>
    <xf numFmtId="43" fontId="149" fillId="8" borderId="19" xfId="55" applyFont="1" applyFill="1" applyBorder="1" applyAlignment="1" applyProtection="1">
      <alignment horizontal="center" vertical="center" wrapText="1"/>
    </xf>
    <xf numFmtId="43" fontId="149" fillId="8" borderId="80" xfId="55" applyFont="1" applyFill="1" applyBorder="1" applyAlignment="1" applyProtection="1">
      <alignment horizontal="center" vertical="center" wrapText="1"/>
    </xf>
    <xf numFmtId="43" fontId="149" fillId="8" borderId="71" xfId="55" applyFont="1" applyFill="1" applyBorder="1" applyAlignment="1" applyProtection="1">
      <alignment horizontal="center" vertical="center" wrapText="1"/>
    </xf>
    <xf numFmtId="43" fontId="149" fillId="8" borderId="55" xfId="55" applyFont="1" applyFill="1" applyBorder="1" applyAlignment="1" applyProtection="1">
      <alignment horizontal="center" vertical="center"/>
    </xf>
    <xf numFmtId="43" fontId="149" fillId="8" borderId="4" xfId="55" applyFont="1" applyFill="1" applyBorder="1" applyAlignment="1" applyProtection="1">
      <alignment horizontal="center" vertical="center"/>
    </xf>
    <xf numFmtId="0" fontId="73" fillId="8" borderId="0" xfId="87" applyFont="1" applyFill="1" applyAlignment="1">
      <alignment horizontal="center" vertical="center"/>
    </xf>
    <xf numFmtId="0" fontId="242" fillId="8" borderId="0" xfId="87" applyFont="1" applyFill="1" applyAlignment="1">
      <alignment horizontal="center" vertical="center"/>
    </xf>
    <xf numFmtId="0" fontId="206" fillId="0" borderId="79" xfId="87" applyFont="1" applyBorder="1" applyAlignment="1">
      <alignment horizontal="center"/>
    </xf>
    <xf numFmtId="0" fontId="149" fillId="8" borderId="55" xfId="87" applyFont="1" applyFill="1" applyBorder="1" applyAlignment="1">
      <alignment horizontal="center" vertical="center" wrapText="1"/>
    </xf>
    <xf numFmtId="0" fontId="149" fillId="8" borderId="4" xfId="87" applyFont="1" applyFill="1" applyBorder="1" applyAlignment="1">
      <alignment horizontal="center" vertical="center" wrapText="1"/>
    </xf>
    <xf numFmtId="0" fontId="149" fillId="8" borderId="55" xfId="87" applyFont="1" applyFill="1" applyBorder="1" applyAlignment="1">
      <alignment horizontal="center" vertical="center"/>
    </xf>
    <xf numFmtId="0" fontId="149" fillId="8" borderId="4" xfId="87" applyFont="1" applyFill="1" applyBorder="1" applyAlignment="1">
      <alignment horizontal="center" vertical="center"/>
    </xf>
    <xf numFmtId="43" fontId="149" fillId="0" borderId="55" xfId="37" applyFont="1" applyFill="1" applyBorder="1" applyAlignment="1" applyProtection="1">
      <alignment horizontal="center" vertical="center" wrapText="1"/>
    </xf>
    <xf numFmtId="43" fontId="149" fillId="0" borderId="19" xfId="37" applyFont="1" applyFill="1" applyBorder="1" applyAlignment="1" applyProtection="1">
      <alignment horizontal="center" vertical="center" wrapText="1"/>
    </xf>
    <xf numFmtId="43" fontId="149" fillId="8" borderId="106" xfId="55" applyFont="1" applyFill="1" applyBorder="1" applyAlignment="1" applyProtection="1">
      <alignment horizontal="center" vertical="center" wrapText="1"/>
    </xf>
    <xf numFmtId="165" fontId="78" fillId="0" borderId="0" xfId="17" applyFont="1" applyFill="1" applyBorder="1" applyAlignment="1">
      <alignment horizontal="center" vertical="top"/>
    </xf>
    <xf numFmtId="0" fontId="195" fillId="0" borderId="0" xfId="87" applyFont="1" applyAlignment="1">
      <alignment horizontal="center"/>
    </xf>
    <xf numFmtId="49" fontId="177" fillId="8" borderId="0" xfId="87" applyNumberFormat="1" applyFont="1" applyFill="1" applyAlignment="1">
      <alignment horizontal="center" vertical="center"/>
    </xf>
    <xf numFmtId="43" fontId="95" fillId="8" borderId="0" xfId="55" applyFont="1" applyFill="1" applyBorder="1" applyAlignment="1" applyProtection="1">
      <alignment horizontal="center" vertical="center"/>
    </xf>
    <xf numFmtId="43" fontId="78" fillId="0" borderId="55" xfId="37" applyFont="1" applyBorder="1" applyAlignment="1">
      <alignment horizontal="center" vertical="center" wrapText="1"/>
    </xf>
    <xf numFmtId="43" fontId="78" fillId="0" borderId="10" xfId="37" applyFont="1" applyBorder="1" applyAlignment="1">
      <alignment horizontal="center" vertical="center" wrapText="1"/>
    </xf>
    <xf numFmtId="43" fontId="78" fillId="0" borderId="4" xfId="37" applyFont="1" applyBorder="1" applyAlignment="1">
      <alignment horizontal="center" vertical="center" wrapText="1"/>
    </xf>
    <xf numFmtId="43" fontId="78" fillId="0" borderId="94" xfId="37" applyFont="1" applyBorder="1" applyAlignment="1">
      <alignment horizontal="center" vertical="center" wrapText="1"/>
    </xf>
    <xf numFmtId="43" fontId="78" fillId="0" borderId="72" xfId="37" applyFont="1" applyBorder="1" applyAlignment="1">
      <alignment horizontal="center" vertical="center" wrapText="1"/>
    </xf>
    <xf numFmtId="43" fontId="78" fillId="0" borderId="58" xfId="37" applyFont="1" applyBorder="1" applyAlignment="1">
      <alignment horizontal="center" vertical="center" wrapText="1"/>
    </xf>
    <xf numFmtId="43" fontId="78" fillId="0" borderId="9" xfId="37" applyFont="1" applyBorder="1" applyAlignment="1">
      <alignment horizontal="center" vertical="center" wrapText="1"/>
    </xf>
    <xf numFmtId="43" fontId="78" fillId="0" borderId="25" xfId="37" applyFont="1" applyBorder="1" applyAlignment="1">
      <alignment horizontal="center" vertical="center" wrapText="1"/>
    </xf>
    <xf numFmtId="43" fontId="78" fillId="0" borderId="54" xfId="37" applyFont="1" applyBorder="1" applyAlignment="1">
      <alignment horizontal="center" vertical="center" wrapText="1"/>
    </xf>
    <xf numFmtId="0" fontId="78" fillId="0" borderId="55" xfId="10" applyFont="1" applyBorder="1" applyAlignment="1">
      <alignment horizontal="center" vertical="center"/>
    </xf>
    <xf numFmtId="0" fontId="78" fillId="0" borderId="10" xfId="10" applyFont="1" applyBorder="1" applyAlignment="1">
      <alignment horizontal="center" vertical="center"/>
    </xf>
    <xf numFmtId="0" fontId="78" fillId="0" borderId="4" xfId="10" applyFont="1" applyBorder="1" applyAlignment="1">
      <alignment horizontal="center" vertical="center"/>
    </xf>
    <xf numFmtId="0" fontId="78" fillId="0" borderId="69" xfId="10" applyFont="1" applyBorder="1" applyAlignment="1">
      <alignment horizontal="center" vertical="center"/>
    </xf>
    <xf numFmtId="0" fontId="78" fillId="0" borderId="16" xfId="10" applyFont="1" applyBorder="1" applyAlignment="1">
      <alignment horizontal="center" vertical="center"/>
    </xf>
    <xf numFmtId="0" fontId="109" fillId="0" borderId="0" xfId="10" applyFont="1" applyAlignment="1">
      <alignment horizontal="center"/>
    </xf>
    <xf numFmtId="0" fontId="78" fillId="0" borderId="12" xfId="10" applyFont="1" applyBorder="1" applyAlignment="1">
      <alignment horizontal="center" vertical="center"/>
    </xf>
    <xf numFmtId="0" fontId="78" fillId="0" borderId="52" xfId="10" applyFont="1" applyBorder="1" applyAlignment="1">
      <alignment horizontal="center" vertical="center"/>
    </xf>
    <xf numFmtId="0" fontId="88" fillId="0" borderId="69" xfId="10" applyFont="1" applyBorder="1" applyAlignment="1">
      <alignment horizontal="center" vertical="center" wrapText="1"/>
    </xf>
    <xf numFmtId="0" fontId="88" fillId="0" borderId="16" xfId="10" applyFont="1" applyBorder="1" applyAlignment="1">
      <alignment horizontal="center" vertical="center" wrapText="1"/>
    </xf>
    <xf numFmtId="0" fontId="88" fillId="0" borderId="52" xfId="10" applyFont="1" applyBorder="1" applyAlignment="1">
      <alignment horizontal="center" vertical="center" wrapText="1"/>
    </xf>
    <xf numFmtId="0" fontId="88" fillId="0" borderId="55" xfId="10" applyFont="1" applyBorder="1" applyAlignment="1">
      <alignment horizontal="center" wrapText="1"/>
    </xf>
    <xf numFmtId="0" fontId="88" fillId="0" borderId="10" xfId="10" applyFont="1" applyBorder="1" applyAlignment="1">
      <alignment horizontal="center" wrapText="1"/>
    </xf>
    <xf numFmtId="0" fontId="88" fillId="0" borderId="4" xfId="10" applyFont="1" applyBorder="1" applyAlignment="1">
      <alignment horizontal="center" wrapText="1"/>
    </xf>
    <xf numFmtId="43" fontId="78" fillId="0" borderId="55" xfId="37" applyFont="1" applyBorder="1" applyAlignment="1">
      <alignment horizontal="center" vertical="center"/>
    </xf>
    <xf numFmtId="43" fontId="78" fillId="0" borderId="10" xfId="37" applyFont="1" applyBorder="1" applyAlignment="1">
      <alignment horizontal="center" vertical="center"/>
    </xf>
    <xf numFmtId="43" fontId="78" fillId="0" borderId="4" xfId="37" applyFont="1" applyBorder="1" applyAlignment="1">
      <alignment horizontal="center" vertical="center"/>
    </xf>
    <xf numFmtId="43" fontId="115" fillId="0" borderId="55" xfId="37" applyFont="1" applyBorder="1" applyAlignment="1">
      <alignment horizontal="center" vertical="center"/>
    </xf>
    <xf numFmtId="43" fontId="115" fillId="0" borderId="10" xfId="37" applyFont="1" applyBorder="1" applyAlignment="1">
      <alignment horizontal="center" vertical="center"/>
    </xf>
    <xf numFmtId="43" fontId="115" fillId="0" borderId="4" xfId="37" applyFont="1" applyBorder="1" applyAlignment="1">
      <alignment horizontal="center" vertical="center"/>
    </xf>
    <xf numFmtId="49" fontId="78" fillId="0" borderId="55" xfId="37" applyNumberFormat="1" applyFont="1" applyBorder="1" applyAlignment="1">
      <alignment horizontal="center" vertical="center" wrapText="1"/>
    </xf>
    <xf numFmtId="49" fontId="78" fillId="0" borderId="10" xfId="37" applyNumberFormat="1" applyFont="1" applyBorder="1" applyAlignment="1">
      <alignment horizontal="center" vertical="center" wrapText="1"/>
    </xf>
    <xf numFmtId="49" fontId="78" fillId="0" borderId="4" xfId="37" applyNumberFormat="1" applyFont="1" applyBorder="1" applyAlignment="1">
      <alignment horizontal="center" vertical="center" wrapText="1"/>
    </xf>
    <xf numFmtId="43" fontId="78" fillId="0" borderId="94" xfId="37" applyFont="1" applyBorder="1" applyAlignment="1">
      <alignment horizontal="center" vertical="center"/>
    </xf>
    <xf numFmtId="43" fontId="78" fillId="0" borderId="72" xfId="37" applyFont="1" applyBorder="1" applyAlignment="1">
      <alignment horizontal="center" vertical="center"/>
    </xf>
    <xf numFmtId="43" fontId="78" fillId="0" borderId="58" xfId="37" applyFont="1" applyBorder="1" applyAlignment="1">
      <alignment horizontal="center" vertical="center"/>
    </xf>
    <xf numFmtId="43" fontId="78" fillId="0" borderId="9" xfId="37" applyFont="1" applyBorder="1" applyAlignment="1">
      <alignment horizontal="center" vertical="center"/>
    </xf>
    <xf numFmtId="43" fontId="78" fillId="0" borderId="25" xfId="37" applyFont="1" applyBorder="1" applyAlignment="1">
      <alignment horizontal="center" vertical="center"/>
    </xf>
    <xf numFmtId="43" fontId="78" fillId="0" borderId="54" xfId="37" applyFont="1" applyBorder="1" applyAlignment="1">
      <alignment horizontal="center" vertical="center"/>
    </xf>
    <xf numFmtId="0" fontId="153" fillId="0" borderId="0" xfId="125" applyFont="1" applyAlignment="1">
      <alignment horizontal="center"/>
    </xf>
    <xf numFmtId="0" fontId="153" fillId="0" borderId="3" xfId="125" applyFont="1" applyBorder="1" applyAlignment="1">
      <alignment horizontal="center" vertical="center"/>
    </xf>
    <xf numFmtId="0" fontId="153" fillId="0" borderId="55" xfId="125" applyFont="1" applyBorder="1" applyAlignment="1">
      <alignment horizontal="center" vertical="center"/>
    </xf>
    <xf numFmtId="0" fontId="153" fillId="0" borderId="10" xfId="125" applyFont="1" applyBorder="1" applyAlignment="1">
      <alignment horizontal="center" vertical="center"/>
    </xf>
    <xf numFmtId="0" fontId="153" fillId="0" borderId="4" xfId="125" applyFont="1" applyBorder="1" applyAlignment="1">
      <alignment horizontal="center" vertical="center"/>
    </xf>
    <xf numFmtId="43" fontId="153" fillId="0" borderId="80" xfId="37" applyFont="1" applyBorder="1" applyAlignment="1">
      <alignment horizontal="center" vertical="center"/>
    </xf>
    <xf numFmtId="43" fontId="153" fillId="0" borderId="2" xfId="37" applyFont="1" applyBorder="1" applyAlignment="1">
      <alignment horizontal="center" vertical="center"/>
    </xf>
    <xf numFmtId="43" fontId="153" fillId="0" borderId="71" xfId="37" applyFont="1" applyBorder="1" applyAlignment="1">
      <alignment horizontal="center" vertical="center"/>
    </xf>
    <xf numFmtId="43" fontId="153" fillId="0" borderId="3" xfId="37" applyFont="1" applyBorder="1" applyAlignment="1">
      <alignment horizontal="center" vertical="center" wrapText="1"/>
    </xf>
    <xf numFmtId="43" fontId="153" fillId="0" borderId="3" xfId="37" applyFont="1" applyBorder="1" applyAlignment="1">
      <alignment horizontal="center" vertical="center"/>
    </xf>
    <xf numFmtId="0" fontId="88" fillId="0" borderId="3" xfId="125" applyFont="1" applyBorder="1" applyAlignment="1">
      <alignment horizontal="center" vertical="center" wrapText="1"/>
    </xf>
    <xf numFmtId="0" fontId="88" fillId="0" borderId="3" xfId="125" applyFont="1" applyBorder="1" applyAlignment="1">
      <alignment horizontal="center" vertical="center"/>
    </xf>
    <xf numFmtId="43" fontId="172" fillId="0" borderId="55" xfId="37" applyFont="1" applyBorder="1" applyAlignment="1">
      <alignment horizontal="center" vertical="center" wrapText="1"/>
    </xf>
    <xf numFmtId="43" fontId="172" fillId="0" borderId="4" xfId="37" applyFont="1" applyBorder="1" applyAlignment="1">
      <alignment horizontal="center" vertical="center" wrapText="1"/>
    </xf>
    <xf numFmtId="43" fontId="153" fillId="0" borderId="55" xfId="37" applyFont="1" applyBorder="1" applyAlignment="1">
      <alignment horizontal="center" vertical="center"/>
    </xf>
    <xf numFmtId="43" fontId="153" fillId="0" borderId="4" xfId="37" applyFont="1" applyBorder="1" applyAlignment="1">
      <alignment horizontal="center" vertical="center"/>
    </xf>
    <xf numFmtId="49" fontId="149" fillId="0" borderId="55" xfId="37" applyNumberFormat="1" applyFont="1" applyBorder="1" applyAlignment="1">
      <alignment horizontal="center" vertical="center" wrapText="1"/>
    </xf>
    <xf numFmtId="49" fontId="149" fillId="0" borderId="10" xfId="37" applyNumberFormat="1" applyFont="1" applyBorder="1" applyAlignment="1">
      <alignment horizontal="center" vertical="center" wrapText="1"/>
    </xf>
    <xf numFmtId="49" fontId="149" fillId="0" borderId="4" xfId="37" applyNumberFormat="1" applyFont="1" applyBorder="1" applyAlignment="1">
      <alignment horizontal="center" vertical="center" wrapText="1"/>
    </xf>
    <xf numFmtId="43" fontId="149" fillId="0" borderId="94" xfId="37" applyFont="1" applyBorder="1" applyAlignment="1">
      <alignment horizontal="center" vertical="center" wrapText="1"/>
    </xf>
    <xf numFmtId="43" fontId="149" fillId="0" borderId="72" xfId="37" applyFont="1" applyBorder="1" applyAlignment="1">
      <alignment horizontal="center" vertical="center" wrapText="1"/>
    </xf>
    <xf numFmtId="43" fontId="149" fillId="0" borderId="58" xfId="37" applyFont="1" applyBorder="1" applyAlignment="1">
      <alignment horizontal="center" vertical="center" wrapText="1"/>
    </xf>
    <xf numFmtId="43" fontId="149" fillId="0" borderId="9" xfId="37" applyFont="1" applyBorder="1" applyAlignment="1">
      <alignment horizontal="center" vertical="center" wrapText="1"/>
    </xf>
    <xf numFmtId="43" fontId="149" fillId="0" borderId="25" xfId="37" applyFont="1" applyBorder="1" applyAlignment="1">
      <alignment horizontal="center" vertical="center" wrapText="1"/>
    </xf>
    <xf numFmtId="43" fontId="149" fillId="0" borderId="54" xfId="37" applyFont="1" applyBorder="1" applyAlignment="1">
      <alignment horizontal="center" vertical="center" wrapText="1"/>
    </xf>
    <xf numFmtId="0" fontId="149" fillId="0" borderId="55" xfId="10" applyFont="1" applyBorder="1" applyAlignment="1">
      <alignment horizontal="center" vertical="center"/>
    </xf>
    <xf numFmtId="0" fontId="149" fillId="0" borderId="10" xfId="10" applyFont="1" applyBorder="1" applyAlignment="1">
      <alignment horizontal="center" vertical="center"/>
    </xf>
    <xf numFmtId="0" fontId="149" fillId="0" borderId="4" xfId="10" applyFont="1" applyBorder="1" applyAlignment="1">
      <alignment horizontal="center" vertical="center"/>
    </xf>
    <xf numFmtId="0" fontId="153" fillId="0" borderId="0" xfId="10" applyFont="1" applyAlignment="1">
      <alignment horizontal="center"/>
    </xf>
    <xf numFmtId="0" fontId="153" fillId="0" borderId="55" xfId="10" applyFont="1" applyBorder="1" applyAlignment="1">
      <alignment horizontal="center" vertical="center" wrapText="1"/>
    </xf>
    <xf numFmtId="0" fontId="153" fillId="0" borderId="10" xfId="10" applyFont="1" applyBorder="1" applyAlignment="1">
      <alignment horizontal="center" vertical="center" wrapText="1"/>
    </xf>
    <xf numFmtId="0" fontId="153" fillId="0" borderId="4" xfId="10" applyFont="1" applyBorder="1" applyAlignment="1">
      <alignment horizontal="center" vertical="center" wrapText="1"/>
    </xf>
    <xf numFmtId="43" fontId="149" fillId="0" borderId="55" xfId="37" applyFont="1" applyFill="1" applyBorder="1" applyAlignment="1">
      <alignment horizontal="center" vertical="center"/>
    </xf>
    <xf numFmtId="43" fontId="149" fillId="0" borderId="10" xfId="37" applyFont="1" applyFill="1" applyBorder="1" applyAlignment="1">
      <alignment horizontal="center" vertical="center"/>
    </xf>
    <xf numFmtId="43" fontId="149" fillId="0" borderId="4" xfId="37" applyFont="1" applyFill="1" applyBorder="1" applyAlignment="1">
      <alignment horizontal="center" vertical="center"/>
    </xf>
    <xf numFmtId="49" fontId="241" fillId="0" borderId="55" xfId="37" applyNumberFormat="1" applyFont="1" applyFill="1" applyBorder="1" applyAlignment="1">
      <alignment horizontal="center" vertical="center" wrapText="1"/>
    </xf>
    <xf numFmtId="49" fontId="241" fillId="0" borderId="10" xfId="37" applyNumberFormat="1" applyFont="1" applyFill="1" applyBorder="1" applyAlignment="1">
      <alignment horizontal="center" vertical="center" wrapText="1"/>
    </xf>
    <xf numFmtId="49" fontId="241" fillId="0" borderId="4" xfId="37" applyNumberFormat="1" applyFont="1" applyFill="1" applyBorder="1" applyAlignment="1">
      <alignment horizontal="center" vertical="center" wrapText="1"/>
    </xf>
    <xf numFmtId="43" fontId="172" fillId="0" borderId="55" xfId="37" applyFont="1" applyBorder="1" applyAlignment="1">
      <alignment horizontal="center" vertical="center"/>
    </xf>
    <xf numFmtId="43" fontId="172" fillId="0" borderId="10" xfId="37" applyFont="1" applyBorder="1" applyAlignment="1">
      <alignment horizontal="center" vertical="center"/>
    </xf>
    <xf numFmtId="43" fontId="172" fillId="0" borderId="4" xfId="37" applyFont="1" applyBorder="1" applyAlignment="1">
      <alignment horizontal="center" vertical="center"/>
    </xf>
    <xf numFmtId="43" fontId="145" fillId="8" borderId="55" xfId="37" applyFont="1" applyFill="1" applyBorder="1" applyAlignment="1" applyProtection="1">
      <alignment horizontal="center" vertical="center"/>
    </xf>
    <xf numFmtId="43" fontId="145" fillId="8" borderId="10" xfId="37" applyFont="1" applyFill="1" applyBorder="1" applyAlignment="1" applyProtection="1">
      <alignment horizontal="center" vertical="center"/>
    </xf>
    <xf numFmtId="43" fontId="145" fillId="8" borderId="4" xfId="37" applyFont="1" applyFill="1" applyBorder="1" applyAlignment="1" applyProtection="1">
      <alignment horizontal="center" vertical="center"/>
    </xf>
    <xf numFmtId="0" fontId="145" fillId="8" borderId="55" xfId="27" applyFont="1" applyFill="1" applyBorder="1" applyAlignment="1">
      <alignment horizontal="center" vertical="center" wrapText="1"/>
    </xf>
    <xf numFmtId="0" fontId="145" fillId="8" borderId="10" xfId="27" applyFont="1" applyFill="1" applyBorder="1" applyAlignment="1">
      <alignment horizontal="center" vertical="center" wrapText="1"/>
    </xf>
    <xf numFmtId="0" fontId="145" fillId="8" borderId="4" xfId="27" applyFont="1" applyFill="1" applyBorder="1" applyAlignment="1">
      <alignment horizontal="center" vertical="center" wrapText="1"/>
    </xf>
    <xf numFmtId="0" fontId="177" fillId="8" borderId="0" xfId="27" applyFont="1" applyFill="1" applyAlignment="1">
      <alignment horizontal="center"/>
    </xf>
    <xf numFmtId="0" fontId="145" fillId="8" borderId="55" xfId="27" applyFont="1" applyFill="1" applyBorder="1" applyAlignment="1">
      <alignment horizontal="center" vertical="center"/>
    </xf>
    <xf numFmtId="0" fontId="145" fillId="8" borderId="10" xfId="27" applyFont="1" applyFill="1" applyBorder="1" applyAlignment="1">
      <alignment horizontal="center" vertical="center"/>
    </xf>
    <xf numFmtId="0" fontId="145" fillId="8" borderId="4" xfId="27" applyFont="1" applyFill="1" applyBorder="1" applyAlignment="1">
      <alignment horizontal="center" vertical="center"/>
    </xf>
    <xf numFmtId="43" fontId="145" fillId="8" borderId="55" xfId="37" applyFont="1" applyFill="1" applyBorder="1" applyAlignment="1" applyProtection="1">
      <alignment horizontal="center" vertical="center" wrapText="1"/>
    </xf>
    <xf numFmtId="43" fontId="145" fillId="8" borderId="10" xfId="37" applyFont="1" applyFill="1" applyBorder="1" applyAlignment="1" applyProtection="1">
      <alignment horizontal="center" vertical="center" wrapText="1"/>
    </xf>
    <xf numFmtId="43" fontId="145" fillId="8" borderId="4" xfId="37" applyFont="1" applyFill="1" applyBorder="1" applyAlignment="1" applyProtection="1">
      <alignment horizontal="center" vertical="center" wrapText="1"/>
    </xf>
    <xf numFmtId="43" fontId="145" fillId="8" borderId="94" xfId="37" applyFont="1" applyFill="1" applyBorder="1" applyAlignment="1" applyProtection="1">
      <alignment horizontal="center" vertical="center"/>
    </xf>
    <xf numFmtId="43" fontId="145" fillId="8" borderId="72" xfId="37" applyFont="1" applyFill="1" applyBorder="1" applyAlignment="1" applyProtection="1">
      <alignment horizontal="center" vertical="center"/>
    </xf>
    <xf numFmtId="43" fontId="145" fillId="8" borderId="25" xfId="37" applyFont="1" applyFill="1" applyBorder="1" applyAlignment="1" applyProtection="1">
      <alignment horizontal="center" vertical="center"/>
    </xf>
    <xf numFmtId="43" fontId="145" fillId="8" borderId="54" xfId="37" applyFont="1" applyFill="1" applyBorder="1" applyAlignment="1" applyProtection="1">
      <alignment horizontal="center" vertical="center"/>
    </xf>
    <xf numFmtId="0" fontId="149" fillId="8" borderId="55" xfId="27" applyFont="1" applyFill="1" applyBorder="1" applyAlignment="1">
      <alignment horizontal="center" vertical="center" wrapText="1"/>
    </xf>
    <xf numFmtId="0" fontId="149" fillId="8" borderId="10" xfId="27" applyFont="1" applyFill="1" applyBorder="1" applyAlignment="1">
      <alignment horizontal="center" vertical="center" wrapText="1"/>
    </xf>
    <xf numFmtId="0" fontId="149" fillId="8" borderId="4" xfId="27" applyFont="1" applyFill="1" applyBorder="1" applyAlignment="1">
      <alignment horizontal="center" vertical="center" wrapText="1"/>
    </xf>
    <xf numFmtId="0" fontId="152" fillId="8" borderId="106" xfId="27" applyFont="1" applyFill="1" applyBorder="1" applyAlignment="1">
      <alignment horizontal="center" vertical="center"/>
    </xf>
    <xf numFmtId="0" fontId="152" fillId="8" borderId="153" xfId="27" applyFont="1" applyFill="1" applyBorder="1" applyAlignment="1">
      <alignment horizontal="center" vertical="center"/>
    </xf>
    <xf numFmtId="0" fontId="149" fillId="8" borderId="55" xfId="27" applyFont="1" applyFill="1" applyBorder="1" applyAlignment="1">
      <alignment horizontal="center" vertical="center"/>
    </xf>
    <xf numFmtId="0" fontId="149" fillId="8" borderId="10" xfId="27" applyFont="1" applyFill="1" applyBorder="1" applyAlignment="1">
      <alignment horizontal="center" vertical="center"/>
    </xf>
    <xf numFmtId="0" fontId="149" fillId="8" borderId="4" xfId="27" applyFont="1" applyFill="1" applyBorder="1" applyAlignment="1">
      <alignment horizontal="center" vertical="center"/>
    </xf>
    <xf numFmtId="43" fontId="149" fillId="8" borderId="55" xfId="37" applyFont="1" applyFill="1" applyBorder="1" applyAlignment="1" applyProtection="1">
      <alignment horizontal="center" vertical="center" wrapText="1"/>
    </xf>
    <xf numFmtId="43" fontId="149" fillId="8" borderId="10" xfId="37" applyFont="1" applyFill="1" applyBorder="1" applyAlignment="1" applyProtection="1">
      <alignment horizontal="center" vertical="center" wrapText="1"/>
    </xf>
    <xf numFmtId="43" fontId="149" fillId="8" borderId="4" xfId="37" applyFont="1" applyFill="1" applyBorder="1" applyAlignment="1" applyProtection="1">
      <alignment horizontal="center" vertical="center" wrapText="1"/>
    </xf>
    <xf numFmtId="43" fontId="149" fillId="8" borderId="94" xfId="37" applyFont="1" applyFill="1" applyBorder="1" applyAlignment="1" applyProtection="1">
      <alignment horizontal="center" vertical="center"/>
    </xf>
    <xf numFmtId="43" fontId="149" fillId="8" borderId="72" xfId="37" applyFont="1" applyFill="1" applyBorder="1" applyAlignment="1" applyProtection="1">
      <alignment horizontal="center" vertical="center"/>
    </xf>
    <xf numFmtId="43" fontId="149" fillId="8" borderId="25" xfId="37" applyFont="1" applyFill="1" applyBorder="1" applyAlignment="1" applyProtection="1">
      <alignment horizontal="center" vertical="center"/>
    </xf>
    <xf numFmtId="43" fontId="149" fillId="8" borderId="54" xfId="37" applyFont="1" applyFill="1" applyBorder="1" applyAlignment="1" applyProtection="1">
      <alignment horizontal="center" vertical="center"/>
    </xf>
    <xf numFmtId="43" fontId="149" fillId="8" borderId="55" xfId="37" applyFont="1" applyFill="1" applyBorder="1" applyAlignment="1" applyProtection="1">
      <alignment horizontal="center" vertical="center"/>
    </xf>
    <xf numFmtId="43" fontId="149" fillId="8" borderId="4" xfId="37" applyFont="1" applyFill="1" applyBorder="1" applyAlignment="1" applyProtection="1">
      <alignment horizontal="center" vertical="center"/>
    </xf>
    <xf numFmtId="43" fontId="149" fillId="8" borderId="10" xfId="37" applyFont="1" applyFill="1" applyBorder="1" applyAlignment="1" applyProtection="1">
      <alignment horizontal="center" vertical="center"/>
    </xf>
    <xf numFmtId="43" fontId="149" fillId="8" borderId="55" xfId="302" applyFont="1" applyFill="1" applyBorder="1" applyAlignment="1" applyProtection="1">
      <alignment horizontal="center" vertical="center" wrapText="1"/>
    </xf>
    <xf numFmtId="43" fontId="149" fillId="8" borderId="4" xfId="302" applyFont="1" applyFill="1" applyBorder="1" applyAlignment="1" applyProtection="1">
      <alignment horizontal="center" vertical="center" wrapText="1"/>
    </xf>
    <xf numFmtId="0" fontId="145" fillId="8" borderId="0" xfId="27" applyFont="1" applyFill="1" applyAlignment="1">
      <alignment horizontal="center"/>
    </xf>
    <xf numFmtId="43" fontId="149" fillId="8" borderId="55" xfId="302" applyFont="1" applyFill="1" applyBorder="1" applyAlignment="1" applyProtection="1">
      <alignment horizontal="center" vertical="center"/>
    </xf>
    <xf numFmtId="43" fontId="149" fillId="8" borderId="4" xfId="302" applyFont="1" applyFill="1" applyBorder="1" applyAlignment="1" applyProtection="1">
      <alignment horizontal="center" vertical="center"/>
    </xf>
    <xf numFmtId="43" fontId="149" fillId="8" borderId="80" xfId="302" applyFont="1" applyFill="1" applyBorder="1" applyAlignment="1" applyProtection="1">
      <alignment horizontal="center" vertical="center"/>
    </xf>
    <xf numFmtId="43" fontId="149" fillId="8" borderId="71" xfId="302" applyFont="1" applyFill="1" applyBorder="1" applyAlignment="1" applyProtection="1">
      <alignment horizontal="center" vertical="center"/>
    </xf>
    <xf numFmtId="43" fontId="149" fillId="8" borderId="80" xfId="302" applyFont="1" applyFill="1" applyBorder="1" applyAlignment="1" applyProtection="1">
      <alignment horizontal="center" vertical="center" wrapText="1"/>
    </xf>
    <xf numFmtId="0" fontId="78" fillId="8" borderId="55" xfId="0" applyFont="1" applyFill="1" applyBorder="1" applyAlignment="1">
      <alignment horizontal="center" vertical="center" wrapText="1"/>
    </xf>
    <xf numFmtId="0" fontId="78" fillId="8" borderId="4" xfId="0" applyFont="1" applyFill="1" applyBorder="1" applyAlignment="1">
      <alignment horizontal="center" vertical="center" wrapText="1"/>
    </xf>
    <xf numFmtId="0" fontId="116" fillId="0" borderId="0" xfId="0" applyFont="1" applyAlignment="1">
      <alignment horizontal="center"/>
    </xf>
    <xf numFmtId="0" fontId="78" fillId="8" borderId="0" xfId="0" applyFont="1" applyFill="1" applyAlignment="1">
      <alignment horizontal="center"/>
    </xf>
    <xf numFmtId="0" fontId="78" fillId="8" borderId="55" xfId="0" applyFont="1" applyFill="1" applyBorder="1" applyAlignment="1">
      <alignment horizontal="center" vertical="center"/>
    </xf>
    <xf numFmtId="0" fontId="78" fillId="8" borderId="4" xfId="0" applyFont="1" applyFill="1" applyBorder="1" applyAlignment="1">
      <alignment horizontal="center" vertical="center"/>
    </xf>
    <xf numFmtId="165" fontId="88" fillId="8" borderId="55" xfId="3" applyFont="1" applyFill="1" applyBorder="1" applyAlignment="1" applyProtection="1">
      <alignment horizontal="center" vertical="top" wrapText="1"/>
    </xf>
    <xf numFmtId="165" fontId="88" fillId="8" borderId="4" xfId="3" applyFont="1" applyFill="1" applyBorder="1" applyAlignment="1" applyProtection="1">
      <alignment horizontal="center" vertical="top"/>
    </xf>
    <xf numFmtId="165" fontId="78" fillId="0" borderId="55" xfId="3" applyFont="1" applyBorder="1" applyAlignment="1">
      <alignment horizontal="center" vertical="center"/>
    </xf>
    <xf numFmtId="165" fontId="78" fillId="0" borderId="4" xfId="3" applyFont="1" applyBorder="1" applyAlignment="1">
      <alignment horizontal="center" vertical="center"/>
    </xf>
    <xf numFmtId="165" fontId="78" fillId="8" borderId="55" xfId="3" applyFont="1" applyFill="1" applyBorder="1" applyAlignment="1" applyProtection="1">
      <alignment horizontal="center" vertical="center"/>
    </xf>
    <xf numFmtId="165" fontId="78" fillId="8" borderId="4" xfId="3" applyFont="1" applyFill="1" applyBorder="1" applyAlignment="1" applyProtection="1">
      <alignment horizontal="center" vertical="center"/>
    </xf>
    <xf numFmtId="165" fontId="78" fillId="8" borderId="98" xfId="3" applyFont="1" applyFill="1" applyBorder="1" applyAlignment="1" applyProtection="1">
      <alignment horizontal="center" vertical="center" wrapText="1"/>
    </xf>
    <xf numFmtId="165" fontId="78" fillId="8" borderId="100" xfId="3" applyFont="1" applyFill="1" applyBorder="1" applyAlignment="1" applyProtection="1">
      <alignment horizontal="center" vertical="center" wrapText="1"/>
    </xf>
    <xf numFmtId="165" fontId="78" fillId="8" borderId="99" xfId="3" applyFont="1" applyFill="1" applyBorder="1" applyAlignment="1" applyProtection="1">
      <alignment horizontal="center" vertical="center" wrapText="1"/>
    </xf>
    <xf numFmtId="165" fontId="78" fillId="8" borderId="101" xfId="3" applyFont="1" applyFill="1" applyBorder="1" applyAlignment="1" applyProtection="1">
      <alignment horizontal="center" vertical="center" wrapText="1"/>
    </xf>
    <xf numFmtId="165" fontId="78" fillId="8" borderId="55" xfId="3" applyFont="1" applyFill="1" applyBorder="1" applyAlignment="1" applyProtection="1">
      <alignment horizontal="center" vertical="center" wrapText="1"/>
    </xf>
    <xf numFmtId="165" fontId="78" fillId="8" borderId="4" xfId="3" applyFont="1" applyFill="1" applyBorder="1" applyAlignment="1" applyProtection="1">
      <alignment horizontal="center" vertical="center" wrapText="1"/>
    </xf>
    <xf numFmtId="165" fontId="94" fillId="0" borderId="94" xfId="3" applyFont="1" applyBorder="1" applyAlignment="1">
      <alignment horizontal="center" vertical="center"/>
    </xf>
    <xf numFmtId="165" fontId="94" fillId="0" borderId="87" xfId="3" applyFont="1" applyBorder="1" applyAlignment="1">
      <alignment horizontal="center" vertical="center"/>
    </xf>
    <xf numFmtId="165" fontId="94" fillId="0" borderId="72" xfId="3" applyFont="1" applyBorder="1" applyAlignment="1">
      <alignment horizontal="center" vertical="center"/>
    </xf>
    <xf numFmtId="165" fontId="94" fillId="0" borderId="25" xfId="3" applyFont="1" applyBorder="1" applyAlignment="1">
      <alignment horizontal="center" vertical="center"/>
    </xf>
    <xf numFmtId="165" fontId="94" fillId="0" borderId="79" xfId="3" applyFont="1" applyBorder="1" applyAlignment="1">
      <alignment horizontal="center" vertical="center"/>
    </xf>
    <xf numFmtId="165" fontId="94" fillId="0" borderId="54" xfId="3" applyFont="1" applyBorder="1" applyAlignment="1">
      <alignment horizontal="center" vertical="center"/>
    </xf>
    <xf numFmtId="165" fontId="102" fillId="0" borderId="0" xfId="3" applyFont="1" applyFill="1" applyAlignment="1">
      <alignment horizontal="right"/>
    </xf>
    <xf numFmtId="0" fontId="94" fillId="4" borderId="92" xfId="0" applyFont="1" applyFill="1" applyBorder="1" applyAlignment="1">
      <alignment horizontal="center"/>
    </xf>
    <xf numFmtId="0" fontId="94" fillId="4" borderId="75" xfId="0" applyFont="1" applyFill="1" applyBorder="1" applyAlignment="1">
      <alignment horizontal="center"/>
    </xf>
    <xf numFmtId="0" fontId="94" fillId="4" borderId="93" xfId="0" applyFont="1" applyFill="1" applyBorder="1" applyAlignment="1">
      <alignment horizontal="center"/>
    </xf>
    <xf numFmtId="0" fontId="94" fillId="0" borderId="22" xfId="0" applyFont="1" applyBorder="1" applyAlignment="1">
      <alignment horizontal="center" vertical="center"/>
    </xf>
    <xf numFmtId="0" fontId="94" fillId="0" borderId="58" xfId="0" applyFont="1" applyBorder="1" applyAlignment="1">
      <alignment horizontal="center" vertical="center"/>
    </xf>
    <xf numFmtId="0" fontId="94" fillId="0" borderId="55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/>
    </xf>
    <xf numFmtId="0" fontId="102" fillId="0" borderId="0" xfId="0" applyFont="1" applyAlignment="1">
      <alignment horizontal="center"/>
    </xf>
    <xf numFmtId="0" fontId="102" fillId="0" borderId="0" xfId="0" applyFont="1" applyAlignment="1">
      <alignment horizontal="center" vertical="center"/>
    </xf>
    <xf numFmtId="165" fontId="94" fillId="0" borderId="80" xfId="3" applyFont="1" applyBorder="1" applyAlignment="1">
      <alignment horizontal="center" vertical="center" wrapText="1"/>
    </xf>
    <xf numFmtId="165" fontId="94" fillId="0" borderId="2" xfId="3" applyFont="1" applyBorder="1" applyAlignment="1">
      <alignment horizontal="center" vertical="center" wrapText="1"/>
    </xf>
    <xf numFmtId="165" fontId="94" fillId="0" borderId="71" xfId="3" applyFont="1" applyBorder="1" applyAlignment="1">
      <alignment horizontal="center" vertical="center" wrapText="1"/>
    </xf>
    <xf numFmtId="165" fontId="94" fillId="0" borderId="55" xfId="3" applyFont="1" applyBorder="1" applyAlignment="1">
      <alignment horizontal="center" vertical="center"/>
    </xf>
    <xf numFmtId="165" fontId="94" fillId="0" borderId="4" xfId="3" applyFont="1" applyBorder="1" applyAlignment="1">
      <alignment horizontal="center" vertical="center"/>
    </xf>
    <xf numFmtId="165" fontId="94" fillId="0" borderId="3" xfId="3" applyFont="1" applyBorder="1" applyAlignment="1">
      <alignment horizontal="center" vertical="center" wrapText="1"/>
    </xf>
    <xf numFmtId="0" fontId="94" fillId="0" borderId="55" xfId="0" applyFont="1" applyBorder="1" applyAlignment="1">
      <alignment horizontal="center" vertical="center"/>
    </xf>
    <xf numFmtId="0" fontId="94" fillId="0" borderId="0" xfId="0" applyFont="1" applyAlignment="1">
      <alignment horizontal="center"/>
    </xf>
    <xf numFmtId="0" fontId="94" fillId="0" borderId="0" xfId="0" applyFont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/>
    </xf>
    <xf numFmtId="165" fontId="80" fillId="0" borderId="59" xfId="3" applyFont="1" applyBorder="1" applyAlignment="1">
      <alignment horizontal="center" vertical="center"/>
    </xf>
    <xf numFmtId="165" fontId="80" fillId="0" borderId="10" xfId="3" applyFont="1" applyBorder="1" applyAlignment="1">
      <alignment horizontal="center" vertical="center"/>
    </xf>
    <xf numFmtId="165" fontId="80" fillId="0" borderId="59" xfId="3" applyFont="1" applyBorder="1" applyAlignment="1">
      <alignment horizontal="center" vertical="center" wrapText="1"/>
    </xf>
    <xf numFmtId="165" fontId="80" fillId="0" borderId="82" xfId="3" applyFont="1" applyBorder="1" applyAlignment="1">
      <alignment horizontal="center" vertical="center" wrapText="1"/>
    </xf>
    <xf numFmtId="165" fontId="80" fillId="0" borderId="84" xfId="3" applyFont="1" applyBorder="1" applyAlignment="1">
      <alignment horizontal="center" vertical="center" wrapText="1"/>
    </xf>
    <xf numFmtId="165" fontId="80" fillId="0" borderId="85" xfId="3" applyFont="1" applyBorder="1" applyAlignment="1">
      <alignment horizontal="center" vertical="center" wrapText="1"/>
    </xf>
    <xf numFmtId="165" fontId="80" fillId="0" borderId="86" xfId="3" applyFont="1" applyBorder="1" applyAlignment="1">
      <alignment horizontal="center" vertical="center" wrapText="1"/>
    </xf>
    <xf numFmtId="0" fontId="81" fillId="0" borderId="3" xfId="0" applyFont="1" applyBorder="1" applyAlignment="1">
      <alignment horizontal="center" vertical="center"/>
    </xf>
    <xf numFmtId="0" fontId="81" fillId="0" borderId="55" xfId="0" applyFont="1" applyBorder="1" applyAlignment="1">
      <alignment horizontal="center" vertical="center" wrapText="1"/>
    </xf>
    <xf numFmtId="0" fontId="81" fillId="0" borderId="4" xfId="0" applyFont="1" applyBorder="1" applyAlignment="1">
      <alignment horizontal="center" vertical="center" wrapText="1"/>
    </xf>
    <xf numFmtId="165" fontId="81" fillId="0" borderId="55" xfId="3" applyFont="1" applyBorder="1" applyAlignment="1">
      <alignment horizontal="center" vertical="center" wrapText="1"/>
    </xf>
    <xf numFmtId="165" fontId="81" fillId="0" borderId="4" xfId="3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94" fillId="4" borderId="83" xfId="0" applyFont="1" applyFill="1" applyBorder="1" applyAlignment="1">
      <alignment horizontal="center"/>
    </xf>
    <xf numFmtId="0" fontId="94" fillId="4" borderId="74" xfId="0" applyFont="1" applyFill="1" applyBorder="1" applyAlignment="1">
      <alignment horizontal="center"/>
    </xf>
    <xf numFmtId="0" fontId="94" fillId="0" borderId="59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165" fontId="94" fillId="0" borderId="84" xfId="3" applyFont="1" applyBorder="1" applyAlignment="1">
      <alignment horizontal="center" vertical="center" wrapText="1"/>
    </xf>
    <xf numFmtId="165" fontId="94" fillId="0" borderId="85" xfId="3" applyFont="1" applyBorder="1" applyAlignment="1">
      <alignment horizontal="center" vertical="center" wrapText="1"/>
    </xf>
    <xf numFmtId="165" fontId="94" fillId="0" borderId="86" xfId="3" applyFont="1" applyBorder="1" applyAlignment="1">
      <alignment horizontal="center" vertical="center" wrapText="1"/>
    </xf>
    <xf numFmtId="165" fontId="94" fillId="0" borderId="84" xfId="3" applyFont="1" applyBorder="1" applyAlignment="1">
      <alignment horizontal="center" vertical="center"/>
    </xf>
    <xf numFmtId="165" fontId="94" fillId="0" borderId="85" xfId="3" applyFont="1" applyBorder="1" applyAlignment="1">
      <alignment horizontal="center" vertical="center"/>
    </xf>
    <xf numFmtId="165" fontId="94" fillId="0" borderId="86" xfId="3" applyFont="1" applyBorder="1" applyAlignment="1">
      <alignment horizontal="center" vertical="center"/>
    </xf>
    <xf numFmtId="165" fontId="94" fillId="0" borderId="84" xfId="3" applyFont="1" applyFill="1" applyBorder="1" applyAlignment="1">
      <alignment horizontal="center" vertical="center"/>
    </xf>
    <xf numFmtId="165" fontId="94" fillId="0" borderId="85" xfId="3" applyFont="1" applyFill="1" applyBorder="1" applyAlignment="1">
      <alignment horizontal="center" vertical="center"/>
    </xf>
    <xf numFmtId="165" fontId="94" fillId="0" borderId="86" xfId="3" applyFont="1" applyFill="1" applyBorder="1" applyAlignment="1">
      <alignment horizontal="center" vertical="center"/>
    </xf>
    <xf numFmtId="165" fontId="94" fillId="0" borderId="59" xfId="3" applyFont="1" applyBorder="1" applyAlignment="1">
      <alignment horizontal="center" vertical="center"/>
    </xf>
    <xf numFmtId="165" fontId="94" fillId="0" borderId="10" xfId="3" applyFont="1" applyBorder="1" applyAlignment="1">
      <alignment horizontal="center" vertical="center"/>
    </xf>
    <xf numFmtId="0" fontId="87" fillId="0" borderId="3" xfId="0" applyFont="1" applyBorder="1" applyAlignment="1">
      <alignment horizontal="center" vertical="center"/>
    </xf>
    <xf numFmtId="0" fontId="87" fillId="0" borderId="80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87" fillId="0" borderId="71" xfId="0" applyFont="1" applyBorder="1" applyAlignment="1">
      <alignment horizontal="center"/>
    </xf>
    <xf numFmtId="0" fontId="87" fillId="0" borderId="3" xfId="0" applyFont="1" applyBorder="1" applyAlignment="1">
      <alignment horizontal="center"/>
    </xf>
    <xf numFmtId="0" fontId="78" fillId="0" borderId="55" xfId="0" applyFont="1" applyBorder="1" applyAlignment="1">
      <alignment horizontal="center" wrapText="1"/>
    </xf>
    <xf numFmtId="0" fontId="78" fillId="0" borderId="4" xfId="0" applyFont="1" applyBorder="1" applyAlignment="1">
      <alignment horizontal="center" wrapText="1"/>
    </xf>
    <xf numFmtId="0" fontId="78" fillId="0" borderId="55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8" fillId="0" borderId="3" xfId="0" applyFont="1" applyBorder="1" applyAlignment="1">
      <alignment horizontal="center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center" vertical="center" wrapText="1"/>
    </xf>
    <xf numFmtId="165" fontId="148" fillId="0" borderId="3" xfId="3" applyFont="1" applyBorder="1" applyAlignment="1">
      <alignment vertical="center"/>
    </xf>
    <xf numFmtId="43" fontId="118" fillId="0" borderId="0" xfId="0" applyNumberFormat="1" applyFont="1" applyAlignment="1">
      <alignment vertical="center"/>
    </xf>
    <xf numFmtId="165" fontId="180" fillId="0" borderId="3" xfId="3" applyFont="1" applyBorder="1" applyAlignment="1">
      <alignment horizontal="center" vertical="center"/>
    </xf>
    <xf numFmtId="165" fontId="180" fillId="0" borderId="3" xfId="3" applyFont="1" applyBorder="1" applyAlignment="1">
      <alignment vertical="center"/>
    </xf>
    <xf numFmtId="175" fontId="180" fillId="6" borderId="3" xfId="3" applyNumberFormat="1" applyFont="1" applyFill="1" applyBorder="1" applyAlignment="1">
      <alignment horizontal="center" vertical="center"/>
    </xf>
    <xf numFmtId="175" fontId="180" fillId="14" borderId="3" xfId="3" applyNumberFormat="1" applyFont="1" applyFill="1" applyBorder="1" applyAlignment="1">
      <alignment horizontal="center" vertical="center"/>
    </xf>
    <xf numFmtId="169" fontId="180" fillId="0" borderId="3" xfId="3" applyNumberFormat="1" applyFont="1" applyFill="1" applyBorder="1" applyAlignment="1">
      <alignment horizontal="center" vertical="center"/>
    </xf>
    <xf numFmtId="0" fontId="221" fillId="0" borderId="3" xfId="0" applyFont="1" applyBorder="1" applyAlignment="1">
      <alignment horizontal="left" vertical="center"/>
    </xf>
    <xf numFmtId="165" fontId="244" fillId="0" borderId="3" xfId="3" applyFont="1" applyFill="1" applyBorder="1" applyAlignment="1">
      <alignment horizontal="center" vertical="center"/>
    </xf>
    <xf numFmtId="165" fontId="244" fillId="0" borderId="3" xfId="3" applyFont="1" applyFill="1" applyBorder="1" applyAlignment="1">
      <alignment vertical="center"/>
    </xf>
    <xf numFmtId="0" fontId="245" fillId="0" borderId="58" xfId="0" applyFont="1" applyBorder="1" applyAlignment="1">
      <alignment vertical="center"/>
    </xf>
    <xf numFmtId="0" fontId="245" fillId="0" borderId="0" xfId="0" applyFont="1" applyAlignment="1">
      <alignment vertical="center"/>
    </xf>
    <xf numFmtId="0" fontId="245" fillId="0" borderId="39" xfId="0" applyFont="1" applyBorder="1" applyAlignment="1">
      <alignment vertical="center"/>
    </xf>
    <xf numFmtId="0" fontId="148" fillId="39" borderId="3" xfId="0" applyFont="1" applyFill="1" applyBorder="1" applyAlignment="1">
      <alignment vertical="center" wrapText="1"/>
    </xf>
    <xf numFmtId="165" fontId="180" fillId="39" borderId="3" xfId="3" applyFont="1" applyFill="1" applyBorder="1" applyAlignment="1">
      <alignment horizontal="center" vertical="center"/>
    </xf>
    <xf numFmtId="165" fontId="180" fillId="39" borderId="3" xfId="3" applyFont="1" applyFill="1" applyBorder="1" applyAlignment="1">
      <alignment vertical="center"/>
    </xf>
    <xf numFmtId="165" fontId="180" fillId="0" borderId="69" xfId="3" applyFont="1" applyFill="1" applyBorder="1" applyAlignment="1">
      <alignment horizontal="center" vertical="center"/>
    </xf>
    <xf numFmtId="165" fontId="180" fillId="0" borderId="55" xfId="3" applyFont="1" applyFill="1" applyBorder="1" applyAlignment="1">
      <alignment horizontal="center" vertical="center"/>
    </xf>
    <xf numFmtId="165" fontId="180" fillId="0" borderId="10" xfId="3" applyFont="1" applyFill="1" applyBorder="1" applyAlignment="1">
      <alignment horizontal="center" vertical="center"/>
    </xf>
    <xf numFmtId="0" fontId="221" fillId="0" borderId="0" xfId="0" applyFont="1" applyAlignment="1">
      <alignment horizontal="left" vertical="center"/>
    </xf>
    <xf numFmtId="165" fontId="221" fillId="0" borderId="0" xfId="3" applyFont="1" applyFill="1" applyBorder="1" applyAlignment="1">
      <alignment horizontal="center" vertical="center"/>
    </xf>
    <xf numFmtId="165" fontId="221" fillId="0" borderId="0" xfId="3" applyFont="1" applyFill="1" applyBorder="1" applyAlignment="1">
      <alignment vertical="center"/>
    </xf>
    <xf numFmtId="165" fontId="244" fillId="0" borderId="87" xfId="3" applyFont="1" applyFill="1" applyBorder="1" applyAlignment="1">
      <alignment horizontal="center" vertical="center"/>
    </xf>
    <xf numFmtId="0" fontId="246" fillId="0" borderId="0" xfId="0" applyFont="1" applyAlignment="1">
      <alignment horizontal="left"/>
    </xf>
    <xf numFmtId="165" fontId="246" fillId="0" borderId="0" xfId="3" applyFont="1" applyAlignment="1">
      <alignment vertical="center"/>
    </xf>
    <xf numFmtId="165" fontId="246" fillId="0" borderId="0" xfId="3" applyFont="1"/>
    <xf numFmtId="165" fontId="221" fillId="0" borderId="0" xfId="3" applyFont="1" applyFill="1" applyAlignment="1">
      <alignment horizontal="center" vertical="center"/>
    </xf>
    <xf numFmtId="165" fontId="221" fillId="0" borderId="0" xfId="3" applyFont="1"/>
    <xf numFmtId="165" fontId="221" fillId="0" borderId="0" xfId="3" applyFont="1" applyAlignment="1">
      <alignment horizontal="center" vertical="center"/>
    </xf>
    <xf numFmtId="0" fontId="245" fillId="0" borderId="0" xfId="0" applyFont="1"/>
    <xf numFmtId="0" fontId="247" fillId="0" borderId="0" xfId="0" applyFont="1" applyAlignment="1">
      <alignment horizontal="left" vertical="center"/>
    </xf>
    <xf numFmtId="0" fontId="247" fillId="0" borderId="0" xfId="0" applyFont="1" applyAlignment="1">
      <alignment horizontal="right" vertical="center"/>
    </xf>
    <xf numFmtId="165" fontId="247" fillId="0" borderId="0" xfId="3" applyFont="1" applyAlignment="1">
      <alignment horizontal="center" vertical="center"/>
    </xf>
    <xf numFmtId="0" fontId="247" fillId="0" borderId="0" xfId="0" applyFont="1" applyAlignment="1">
      <alignment horizontal="left"/>
    </xf>
    <xf numFmtId="0" fontId="247" fillId="0" borderId="0" xfId="0" applyFont="1" applyAlignment="1">
      <alignment horizontal="right"/>
    </xf>
    <xf numFmtId="0" fontId="247" fillId="0" borderId="0" xfId="0" applyFont="1"/>
    <xf numFmtId="165" fontId="247" fillId="0" borderId="0" xfId="3" applyFont="1" applyAlignment="1">
      <alignment vertical="center"/>
    </xf>
    <xf numFmtId="165" fontId="247" fillId="0" borderId="0" xfId="3" applyFont="1"/>
    <xf numFmtId="0" fontId="248" fillId="0" borderId="0" xfId="0" applyFont="1"/>
    <xf numFmtId="0" fontId="249" fillId="0" borderId="0" xfId="0" applyFont="1" applyAlignment="1">
      <alignment horizontal="left" vertical="top"/>
    </xf>
    <xf numFmtId="0" fontId="221" fillId="0" borderId="0" xfId="0" applyFont="1"/>
    <xf numFmtId="165" fontId="221" fillId="0" borderId="0" xfId="3" applyFont="1" applyAlignment="1">
      <alignment vertical="center"/>
    </xf>
    <xf numFmtId="0" fontId="174" fillId="0" borderId="0" xfId="0" applyFont="1" applyAlignment="1">
      <alignment horizontal="left"/>
    </xf>
    <xf numFmtId="165" fontId="174" fillId="0" borderId="0" xfId="3" applyFont="1" applyFill="1" applyAlignment="1">
      <alignment horizontal="center" vertical="center"/>
    </xf>
    <xf numFmtId="165" fontId="174" fillId="0" borderId="0" xfId="3" applyFont="1"/>
    <xf numFmtId="165" fontId="174" fillId="0" borderId="0" xfId="3" applyFont="1" applyAlignment="1">
      <alignment horizontal="center" vertical="center"/>
    </xf>
    <xf numFmtId="165" fontId="156" fillId="0" borderId="0" xfId="3" applyFont="1" applyAlignment="1">
      <alignment vertical="center"/>
    </xf>
    <xf numFmtId="165" fontId="156" fillId="0" borderId="0" xfId="3" applyFont="1"/>
    <xf numFmtId="165" fontId="156" fillId="0" borderId="0" xfId="3" applyFont="1" applyFill="1" applyAlignment="1">
      <alignment horizontal="center" vertical="center"/>
    </xf>
    <xf numFmtId="165" fontId="156" fillId="0" borderId="0" xfId="3" applyFont="1" applyAlignment="1">
      <alignment horizontal="center" vertical="center"/>
    </xf>
    <xf numFmtId="165" fontId="148" fillId="0" borderId="0" xfId="3" applyFont="1" applyAlignment="1">
      <alignment vertical="center"/>
    </xf>
    <xf numFmtId="165" fontId="148" fillId="0" borderId="0" xfId="3" applyFont="1" applyFill="1" applyAlignment="1">
      <alignment horizontal="center" vertical="center"/>
    </xf>
    <xf numFmtId="0" fontId="187" fillId="8" borderId="14" xfId="183" applyFont="1" applyFill="1" applyBorder="1" applyAlignment="1">
      <alignment horizontal="center"/>
    </xf>
    <xf numFmtId="0" fontId="154" fillId="8" borderId="14" xfId="183" applyFont="1" applyFill="1" applyBorder="1" applyAlignment="1">
      <alignment horizontal="center"/>
    </xf>
    <xf numFmtId="0" fontId="154" fillId="0" borderId="14" xfId="183" applyFont="1" applyBorder="1" applyAlignment="1">
      <alignment wrapText="1" shrinkToFit="1"/>
    </xf>
    <xf numFmtId="165" fontId="154" fillId="0" borderId="118" xfId="185" applyFont="1" applyBorder="1" applyAlignment="1">
      <alignment wrapText="1"/>
    </xf>
    <xf numFmtId="2" fontId="154" fillId="8" borderId="14" xfId="185" applyNumberFormat="1" applyFont="1" applyFill="1" applyBorder="1" applyAlignment="1" applyProtection="1">
      <alignment horizontal="center" shrinkToFit="1"/>
    </xf>
    <xf numFmtId="1" fontId="154" fillId="8" borderId="119" xfId="185" applyNumberFormat="1" applyFont="1" applyFill="1" applyBorder="1" applyAlignment="1" applyProtection="1">
      <alignment horizontal="center" shrinkToFit="1"/>
    </xf>
    <xf numFmtId="165" fontId="154" fillId="0" borderId="122" xfId="185" applyFont="1" applyBorder="1" applyAlignment="1">
      <alignment wrapText="1"/>
    </xf>
    <xf numFmtId="165" fontId="154" fillId="8" borderId="14" xfId="185" applyFont="1" applyFill="1" applyBorder="1" applyAlignment="1" applyProtection="1">
      <alignment horizontal="center" shrinkToFit="1"/>
    </xf>
    <xf numFmtId="165" fontId="154" fillId="8" borderId="118" xfId="185" applyFont="1" applyFill="1" applyBorder="1" applyAlignment="1" applyProtection="1">
      <alignment horizontal="center" shrinkToFit="1"/>
    </xf>
    <xf numFmtId="165" fontId="154" fillId="0" borderId="119" xfId="185" applyFont="1" applyBorder="1" applyAlignment="1">
      <alignment horizontal="center" shrinkToFit="1"/>
    </xf>
    <xf numFmtId="165" fontId="154" fillId="0" borderId="136" xfId="185" applyFont="1" applyBorder="1" applyAlignment="1">
      <alignment wrapText="1"/>
    </xf>
    <xf numFmtId="2" fontId="154" fillId="8" borderId="136" xfId="185" applyNumberFormat="1" applyFont="1" applyFill="1" applyBorder="1" applyAlignment="1" applyProtection="1">
      <alignment horizontal="center" shrinkToFit="1"/>
    </xf>
    <xf numFmtId="165" fontId="154" fillId="8" borderId="136" xfId="185" applyFont="1" applyFill="1" applyBorder="1" applyAlignment="1"/>
    <xf numFmtId="43" fontId="154" fillId="8" borderId="136" xfId="183" applyNumberFormat="1" applyFont="1" applyFill="1" applyBorder="1"/>
    <xf numFmtId="0" fontId="154" fillId="8" borderId="136" xfId="183" applyFont="1" applyFill="1" applyBorder="1"/>
    <xf numFmtId="165" fontId="154" fillId="8" borderId="136" xfId="185" applyFont="1" applyFill="1" applyBorder="1"/>
    <xf numFmtId="165" fontId="154" fillId="8" borderId="137" xfId="185" applyFont="1" applyFill="1" applyBorder="1"/>
    <xf numFmtId="165" fontId="154" fillId="8" borderId="14" xfId="185" applyFont="1" applyFill="1" applyBorder="1"/>
    <xf numFmtId="0" fontId="187" fillId="8" borderId="16" xfId="183" applyFont="1" applyFill="1" applyBorder="1" applyAlignment="1">
      <alignment horizontal="center"/>
    </xf>
    <xf numFmtId="0" fontId="182" fillId="0" borderId="110" xfId="183" applyFont="1" applyBorder="1" applyAlignment="1">
      <alignment vertical="center" shrinkToFit="1"/>
    </xf>
    <xf numFmtId="165" fontId="215" fillId="8" borderId="144" xfId="185" applyFont="1" applyFill="1" applyBorder="1" applyAlignment="1"/>
    <xf numFmtId="165" fontId="215" fillId="8" borderId="34" xfId="185" applyFont="1" applyFill="1" applyBorder="1" applyAlignment="1"/>
    <xf numFmtId="0" fontId="187" fillId="8" borderId="34" xfId="183" applyFont="1" applyFill="1" applyBorder="1" applyAlignment="1">
      <alignment horizontal="center"/>
    </xf>
    <xf numFmtId="0" fontId="154" fillId="8" borderId="34" xfId="183" applyFont="1" applyFill="1" applyBorder="1" applyAlignment="1">
      <alignment horizontal="center"/>
    </xf>
    <xf numFmtId="0" fontId="154" fillId="0" borderId="36" xfId="183" applyFont="1" applyBorder="1" applyAlignment="1">
      <alignment wrapText="1" shrinkToFit="1"/>
    </xf>
    <xf numFmtId="165" fontId="154" fillId="0" borderId="16" xfId="185" applyFont="1" applyBorder="1" applyAlignment="1">
      <alignment wrapText="1"/>
    </xf>
    <xf numFmtId="165" fontId="154" fillId="0" borderId="36" xfId="185" applyFont="1" applyBorder="1" applyAlignment="1">
      <alignment wrapText="1"/>
    </xf>
    <xf numFmtId="2" fontId="154" fillId="8" borderId="34" xfId="185" applyNumberFormat="1" applyFont="1" applyFill="1" applyBorder="1" applyAlignment="1" applyProtection="1">
      <alignment horizontal="center" shrinkToFit="1"/>
    </xf>
    <xf numFmtId="1" fontId="154" fillId="8" borderId="120" xfId="185" applyNumberFormat="1" applyFont="1" applyFill="1" applyBorder="1" applyAlignment="1" applyProtection="1">
      <alignment horizontal="center" shrinkToFit="1"/>
    </xf>
    <xf numFmtId="165" fontId="154" fillId="0" borderId="108" xfId="185" applyFont="1" applyBorder="1" applyAlignment="1">
      <alignment horizontal="center" shrinkToFit="1"/>
    </xf>
    <xf numFmtId="165" fontId="154" fillId="8" borderId="34" xfId="185" applyFont="1" applyFill="1" applyBorder="1" applyAlignment="1" applyProtection="1">
      <alignment horizontal="center" shrinkToFit="1"/>
    </xf>
    <xf numFmtId="165" fontId="154" fillId="8" borderId="16" xfId="185" applyFont="1" applyFill="1" applyBorder="1" applyAlignment="1" applyProtection="1">
      <alignment horizontal="center" shrinkToFit="1"/>
    </xf>
    <xf numFmtId="165" fontId="154" fillId="8" borderId="36" xfId="185" applyFont="1" applyFill="1" applyBorder="1" applyAlignment="1" applyProtection="1">
      <alignment horizontal="center" shrinkToFit="1"/>
    </xf>
    <xf numFmtId="165" fontId="154" fillId="0" borderId="120" xfId="185" applyFont="1" applyBorder="1" applyAlignment="1">
      <alignment wrapText="1"/>
    </xf>
    <xf numFmtId="165" fontId="154" fillId="0" borderId="142" xfId="185" applyFont="1" applyBorder="1" applyAlignment="1">
      <alignment wrapText="1"/>
    </xf>
    <xf numFmtId="2" fontId="154" fillId="8" borderId="142" xfId="185" applyNumberFormat="1" applyFont="1" applyFill="1" applyBorder="1" applyAlignment="1" applyProtection="1">
      <alignment horizontal="center" shrinkToFit="1"/>
    </xf>
    <xf numFmtId="165" fontId="154" fillId="8" borderId="142" xfId="185" applyFont="1" applyFill="1" applyBorder="1" applyAlignment="1"/>
    <xf numFmtId="43" fontId="154" fillId="8" borderId="142" xfId="183" applyNumberFormat="1" applyFont="1" applyFill="1" applyBorder="1"/>
    <xf numFmtId="43" fontId="154" fillId="8" borderId="147" xfId="183" applyNumberFormat="1" applyFont="1" applyFill="1" applyBorder="1"/>
    <xf numFmtId="0" fontId="154" fillId="8" borderId="132" xfId="183" applyFont="1" applyFill="1" applyBorder="1"/>
    <xf numFmtId="165" fontId="154" fillId="8" borderId="142" xfId="185" applyFont="1" applyFill="1" applyBorder="1"/>
    <xf numFmtId="165" fontId="154" fillId="8" borderId="144" xfId="185" applyFont="1" applyFill="1" applyBorder="1"/>
    <xf numFmtId="165" fontId="154" fillId="8" borderId="34" xfId="185" applyFont="1" applyFill="1" applyBorder="1"/>
    <xf numFmtId="0" fontId="154" fillId="8" borderId="16" xfId="183" applyFont="1" applyFill="1" applyBorder="1" applyAlignment="1">
      <alignment horizontal="center"/>
    </xf>
    <xf numFmtId="0" fontId="154" fillId="8" borderId="110" xfId="183" applyFont="1" applyFill="1" applyBorder="1" applyAlignment="1">
      <alignment shrinkToFit="1"/>
    </xf>
    <xf numFmtId="165" fontId="154" fillId="0" borderId="36" xfId="185" applyFont="1" applyBorder="1" applyAlignment="1">
      <alignment horizontal="center" shrinkToFit="1"/>
    </xf>
    <xf numFmtId="165" fontId="154" fillId="0" borderId="88" xfId="185" applyFont="1" applyBorder="1" applyAlignment="1">
      <alignment horizontal="center" shrinkToFit="1"/>
    </xf>
    <xf numFmtId="2" fontId="154" fillId="8" borderId="16" xfId="185" applyNumberFormat="1" applyFont="1" applyFill="1" applyBorder="1" applyAlignment="1" applyProtection="1">
      <alignment horizontal="center" shrinkToFit="1"/>
    </xf>
    <xf numFmtId="165" fontId="154" fillId="0" borderId="140" xfId="185" applyFont="1" applyBorder="1" applyAlignment="1">
      <alignment horizontal="center" shrinkToFit="1"/>
    </xf>
    <xf numFmtId="165" fontId="154" fillId="0" borderId="141" xfId="185" applyFont="1" applyBorder="1" applyAlignment="1">
      <alignment wrapText="1"/>
    </xf>
    <xf numFmtId="165" fontId="154" fillId="8" borderId="143" xfId="185" applyFont="1" applyFill="1" applyBorder="1" applyAlignment="1"/>
    <xf numFmtId="165" fontId="154" fillId="8" borderId="141" xfId="185" applyFont="1" applyFill="1" applyBorder="1" applyAlignment="1"/>
    <xf numFmtId="43" fontId="154" fillId="8" borderId="141" xfId="183" applyNumberFormat="1" applyFont="1" applyFill="1" applyBorder="1"/>
    <xf numFmtId="43" fontId="154" fillId="8" borderId="131" xfId="183" applyNumberFormat="1" applyFont="1" applyFill="1" applyBorder="1"/>
    <xf numFmtId="165" fontId="154" fillId="8" borderId="141" xfId="185" applyFont="1" applyFill="1" applyBorder="1"/>
    <xf numFmtId="0" fontId="154" fillId="0" borderId="110" xfId="183" applyFont="1" applyBorder="1" applyAlignment="1">
      <alignment wrapText="1" shrinkToFit="1"/>
    </xf>
    <xf numFmtId="165" fontId="154" fillId="0" borderId="140" xfId="185" applyFont="1" applyBorder="1" applyAlignment="1"/>
    <xf numFmtId="43" fontId="154" fillId="8" borderId="132" xfId="183" applyNumberFormat="1" applyFont="1" applyFill="1" applyBorder="1"/>
    <xf numFmtId="0" fontId="154" fillId="8" borderId="110" xfId="183" applyFont="1" applyFill="1" applyBorder="1" applyAlignment="1">
      <alignment wrapText="1" shrinkToFit="1"/>
    </xf>
    <xf numFmtId="165" fontId="154" fillId="0" borderId="140" xfId="185" applyFont="1" applyBorder="1" applyAlignment="1">
      <alignment wrapText="1"/>
    </xf>
    <xf numFmtId="165" fontId="154" fillId="8" borderId="132" xfId="185" applyFont="1" applyFill="1" applyBorder="1" applyAlignment="1"/>
    <xf numFmtId="165" fontId="154" fillId="8" borderId="34" xfId="185" applyFont="1" applyFill="1" applyBorder="1" applyAlignment="1"/>
    <xf numFmtId="165" fontId="221" fillId="0" borderId="36" xfId="185" applyFont="1" applyBorder="1" applyAlignment="1"/>
    <xf numFmtId="165" fontId="75" fillId="8" borderId="34" xfId="185" applyFont="1" applyFill="1" applyBorder="1" applyAlignment="1"/>
    <xf numFmtId="165" fontId="154" fillId="8" borderId="36" xfId="185" applyFont="1" applyFill="1" applyBorder="1" applyAlignment="1"/>
    <xf numFmtId="165" fontId="154" fillId="8" borderId="88" xfId="185" applyFont="1" applyFill="1" applyBorder="1" applyAlignment="1"/>
    <xf numFmtId="165" fontId="154" fillId="8" borderId="140" xfId="185" applyFont="1" applyFill="1" applyBorder="1" applyAlignment="1"/>
    <xf numFmtId="165" fontId="154" fillId="8" borderId="140" xfId="185" applyFont="1" applyFill="1" applyBorder="1" applyAlignment="1">
      <alignment horizontal="center" shrinkToFit="1"/>
    </xf>
    <xf numFmtId="165" fontId="154" fillId="8" borderId="141" xfId="185" applyFont="1" applyFill="1" applyBorder="1" applyAlignment="1">
      <alignment wrapText="1"/>
    </xf>
    <xf numFmtId="165" fontId="215" fillId="0" borderId="39" xfId="185" applyFont="1" applyBorder="1" applyAlignment="1">
      <alignment horizontal="center" shrinkToFit="1"/>
    </xf>
    <xf numFmtId="165" fontId="154" fillId="8" borderId="144" xfId="185" applyFont="1" applyFill="1" applyBorder="1" applyAlignment="1"/>
    <xf numFmtId="0" fontId="154" fillId="8" borderId="12" xfId="183" applyFont="1" applyFill="1" applyBorder="1" applyAlignment="1">
      <alignment horizontal="center"/>
    </xf>
    <xf numFmtId="0" fontId="171" fillId="8" borderId="115" xfId="183" applyFont="1" applyFill="1" applyBorder="1" applyAlignment="1">
      <alignment shrinkToFit="1"/>
    </xf>
    <xf numFmtId="165" fontId="154" fillId="8" borderId="12" xfId="185" applyFont="1" applyFill="1" applyBorder="1" applyAlignment="1">
      <alignment wrapText="1"/>
    </xf>
    <xf numFmtId="165" fontId="154" fillId="8" borderId="12" xfId="185" applyFont="1" applyFill="1" applyBorder="1" applyAlignment="1">
      <alignment horizontal="center" shrinkToFit="1"/>
    </xf>
    <xf numFmtId="2" fontId="154" fillId="8" borderId="12" xfId="185" applyNumberFormat="1" applyFont="1" applyFill="1" applyBorder="1" applyAlignment="1" applyProtection="1">
      <alignment horizontal="center" shrinkToFit="1"/>
    </xf>
    <xf numFmtId="1" fontId="154" fillId="8" borderId="0" xfId="185" applyNumberFormat="1" applyFont="1" applyFill="1" applyBorder="1" applyAlignment="1" applyProtection="1">
      <alignment horizontal="center" shrinkToFit="1"/>
    </xf>
    <xf numFmtId="165" fontId="154" fillId="8" borderId="11" xfId="185" applyFont="1" applyFill="1" applyBorder="1" applyAlignment="1">
      <alignment horizontal="center" shrinkToFit="1"/>
    </xf>
    <xf numFmtId="165" fontId="154" fillId="8" borderId="12" xfId="185" applyFont="1" applyFill="1" applyBorder="1" applyAlignment="1" applyProtection="1">
      <alignment horizontal="center" shrinkToFit="1"/>
    </xf>
    <xf numFmtId="165" fontId="154" fillId="8" borderId="90" xfId="185" applyFont="1" applyFill="1" applyBorder="1" applyAlignment="1"/>
    <xf numFmtId="165" fontId="154" fillId="0" borderId="90" xfId="185" applyFont="1" applyBorder="1" applyAlignment="1">
      <alignment wrapText="1"/>
    </xf>
    <xf numFmtId="2" fontId="154" fillId="8" borderId="90" xfId="185" applyNumberFormat="1" applyFont="1" applyFill="1" applyBorder="1" applyAlignment="1" applyProtection="1">
      <alignment horizontal="center" shrinkToFit="1"/>
    </xf>
    <xf numFmtId="165" fontId="154" fillId="8" borderId="0" xfId="185" applyFont="1" applyFill="1" applyBorder="1" applyAlignment="1"/>
    <xf numFmtId="43" fontId="154" fillId="8" borderId="90" xfId="183" applyNumberFormat="1" applyFont="1" applyFill="1" applyBorder="1"/>
    <xf numFmtId="43" fontId="154" fillId="8" borderId="0" xfId="183" applyNumberFormat="1" applyFont="1" applyFill="1"/>
    <xf numFmtId="165" fontId="154" fillId="8" borderId="90" xfId="185" applyFont="1" applyFill="1" applyBorder="1"/>
    <xf numFmtId="165" fontId="154" fillId="8" borderId="12" xfId="185" applyFont="1" applyFill="1" applyBorder="1"/>
    <xf numFmtId="165" fontId="154" fillId="8" borderId="16" xfId="185" applyFont="1" applyFill="1" applyBorder="1"/>
    <xf numFmtId="165" fontId="75" fillId="8" borderId="12" xfId="185" applyFont="1" applyFill="1" applyBorder="1" applyAlignment="1"/>
    <xf numFmtId="165" fontId="148" fillId="0" borderId="14" xfId="185" applyFont="1" applyFill="1" applyBorder="1" applyAlignment="1">
      <alignment vertical="center"/>
    </xf>
    <xf numFmtId="174" fontId="148" fillId="0" borderId="14" xfId="185" applyNumberFormat="1" applyFont="1" applyFill="1" applyBorder="1" applyAlignment="1" applyProtection="1">
      <alignment horizontal="center" vertical="center"/>
    </xf>
    <xf numFmtId="2" fontId="148" fillId="0" borderId="14" xfId="185" applyNumberFormat="1" applyFont="1" applyFill="1" applyBorder="1" applyAlignment="1" applyProtection="1">
      <alignment horizontal="center"/>
    </xf>
    <xf numFmtId="2" fontId="148" fillId="0" borderId="14" xfId="185" applyNumberFormat="1" applyFont="1" applyFill="1" applyBorder="1" applyAlignment="1">
      <alignment horizontal="center" vertical="center"/>
    </xf>
    <xf numFmtId="165" fontId="148" fillId="0" borderId="14" xfId="185" applyFont="1" applyFill="1" applyBorder="1" applyAlignment="1" applyProtection="1">
      <alignment vertical="center"/>
    </xf>
    <xf numFmtId="173" fontId="75" fillId="0" borderId="9" xfId="185" applyNumberFormat="1" applyFont="1" applyFill="1" applyBorder="1" applyAlignment="1" applyProtection="1">
      <alignment horizontal="center" vertical="center"/>
    </xf>
    <xf numFmtId="173" fontId="75" fillId="0" borderId="88" xfId="185" applyNumberFormat="1" applyFont="1" applyFill="1" applyBorder="1" applyAlignment="1" applyProtection="1">
      <alignment horizontal="center" vertical="center"/>
    </xf>
    <xf numFmtId="0" fontId="221" fillId="0" borderId="16" xfId="183" applyFont="1" applyBorder="1" applyAlignment="1">
      <alignment horizontal="center"/>
    </xf>
    <xf numFmtId="173" fontId="250" fillId="0" borderId="88" xfId="185" applyNumberFormat="1" applyFont="1" applyFill="1" applyBorder="1" applyAlignment="1" applyProtection="1">
      <alignment horizontal="center" vertical="center"/>
    </xf>
    <xf numFmtId="165" fontId="250" fillId="0" borderId="88" xfId="185" applyFont="1" applyFill="1" applyBorder="1" applyAlignment="1" applyProtection="1">
      <alignment horizontal="center" vertical="center"/>
    </xf>
    <xf numFmtId="43" fontId="251" fillId="0" borderId="16" xfId="185" applyNumberFormat="1" applyFont="1" applyFill="1" applyBorder="1" applyAlignment="1">
      <alignment horizontal="center" vertical="center"/>
    </xf>
    <xf numFmtId="165" fontId="250" fillId="0" borderId="16" xfId="185" applyFont="1" applyFill="1" applyBorder="1" applyAlignment="1">
      <alignment vertical="center"/>
    </xf>
    <xf numFmtId="165" fontId="250" fillId="0" borderId="16" xfId="185" applyFont="1" applyFill="1" applyBorder="1" applyAlignment="1">
      <alignment horizontal="center" vertical="center"/>
    </xf>
    <xf numFmtId="165" fontId="250" fillId="0" borderId="110" xfId="185" applyFont="1" applyFill="1" applyBorder="1" applyAlignment="1" applyProtection="1">
      <alignment vertical="center"/>
    </xf>
    <xf numFmtId="165" fontId="250" fillId="0" borderId="89" xfId="185" applyFont="1" applyFill="1" applyBorder="1" applyAlignment="1" applyProtection="1">
      <alignment vertical="center"/>
    </xf>
    <xf numFmtId="165" fontId="250" fillId="0" borderId="89" xfId="185" applyFont="1" applyFill="1" applyBorder="1" applyAlignment="1">
      <alignment vertical="center"/>
    </xf>
    <xf numFmtId="0" fontId="250" fillId="0" borderId="0" xfId="183" applyFont="1"/>
    <xf numFmtId="0" fontId="148" fillId="0" borderId="12" xfId="183" applyFont="1" applyBorder="1" applyAlignment="1">
      <alignment horizontal="center"/>
    </xf>
    <xf numFmtId="0" fontId="221" fillId="0" borderId="16" xfId="183" applyFont="1" applyBorder="1" applyAlignment="1">
      <alignment horizontal="center" vertical="center"/>
    </xf>
    <xf numFmtId="0" fontId="221" fillId="0" borderId="16" xfId="183" applyFont="1" applyBorder="1" applyAlignment="1">
      <alignment vertical="center"/>
    </xf>
    <xf numFmtId="165" fontId="221" fillId="0" borderId="16" xfId="185" applyFont="1" applyFill="1" applyBorder="1" applyAlignment="1">
      <alignment vertical="center"/>
    </xf>
    <xf numFmtId="2" fontId="221" fillId="0" borderId="16" xfId="185" applyNumberFormat="1" applyFont="1" applyFill="1" applyBorder="1" applyAlignment="1" applyProtection="1">
      <alignment horizontal="center" vertical="center"/>
    </xf>
    <xf numFmtId="174" fontId="221" fillId="0" borderId="16" xfId="185" applyNumberFormat="1" applyFont="1" applyFill="1" applyBorder="1" applyAlignment="1" applyProtection="1">
      <alignment horizontal="center" vertical="center"/>
    </xf>
    <xf numFmtId="2" fontId="221" fillId="0" borderId="16" xfId="185" applyNumberFormat="1" applyFont="1" applyFill="1" applyBorder="1" applyAlignment="1" applyProtection="1">
      <alignment horizontal="center"/>
    </xf>
    <xf numFmtId="2" fontId="221" fillId="0" borderId="16" xfId="185" applyNumberFormat="1" applyFont="1" applyFill="1" applyBorder="1" applyAlignment="1">
      <alignment horizontal="center" vertical="center"/>
    </xf>
    <xf numFmtId="165" fontId="221" fillId="0" borderId="16" xfId="185" applyFont="1" applyFill="1" applyBorder="1" applyAlignment="1" applyProtection="1">
      <alignment vertical="center"/>
    </xf>
    <xf numFmtId="2" fontId="75" fillId="0" borderId="88" xfId="185" applyNumberFormat="1" applyFont="1" applyFill="1" applyBorder="1" applyAlignment="1" applyProtection="1">
      <alignment horizontal="center" vertical="center"/>
    </xf>
    <xf numFmtId="165" fontId="250" fillId="0" borderId="16" xfId="185" applyFont="1" applyFill="1" applyBorder="1" applyAlignment="1" applyProtection="1">
      <alignment vertical="center"/>
    </xf>
    <xf numFmtId="165" fontId="75" fillId="0" borderId="88" xfId="185" applyFont="1" applyFill="1" applyBorder="1" applyAlignment="1" applyProtection="1">
      <alignment vertical="center"/>
    </xf>
    <xf numFmtId="0" fontId="148" fillId="0" borderId="87" xfId="183" applyFont="1" applyBorder="1"/>
    <xf numFmtId="174" fontId="151" fillId="8" borderId="0" xfId="185" applyNumberFormat="1" applyFont="1" applyFill="1" applyBorder="1" applyAlignment="1">
      <alignment horizontal="center"/>
    </xf>
    <xf numFmtId="0" fontId="252" fillId="0" borderId="0" xfId="183" applyFont="1" applyAlignment="1">
      <alignment horizontal="center" vertical="center"/>
    </xf>
    <xf numFmtId="0" fontId="252" fillId="0" borderId="0" xfId="183" applyFont="1" applyAlignment="1">
      <alignment horizontal="center"/>
    </xf>
    <xf numFmtId="0" fontId="252" fillId="8" borderId="79" xfId="183" applyFont="1" applyFill="1" applyBorder="1" applyAlignment="1">
      <alignment horizontal="center"/>
    </xf>
    <xf numFmtId="165" fontId="149" fillId="8" borderId="55" xfId="185" applyFont="1" applyFill="1" applyBorder="1" applyAlignment="1" applyProtection="1">
      <alignment horizontal="center" vertical="center" wrapText="1"/>
    </xf>
    <xf numFmtId="0" fontId="149" fillId="8" borderId="3" xfId="183" applyFont="1" applyFill="1" applyBorder="1" applyAlignment="1">
      <alignment horizontal="center" vertical="top" wrapText="1"/>
    </xf>
    <xf numFmtId="2" fontId="149" fillId="7" borderId="121" xfId="185" applyNumberFormat="1" applyFont="1" applyFill="1" applyBorder="1" applyAlignment="1" applyProtection="1">
      <alignment horizontal="center" wrapText="1"/>
    </xf>
    <xf numFmtId="165" fontId="149" fillId="7" borderId="6" xfId="185" applyFont="1" applyFill="1" applyBorder="1" applyAlignment="1" applyProtection="1">
      <alignment horizontal="center"/>
    </xf>
    <xf numFmtId="2" fontId="149" fillId="7" borderId="7" xfId="185" applyNumberFormat="1" applyFont="1" applyFill="1" applyBorder="1" applyAlignment="1" applyProtection="1">
      <alignment horizontal="center" wrapText="1"/>
    </xf>
    <xf numFmtId="2" fontId="78" fillId="7" borderId="7" xfId="185" applyNumberFormat="1" applyFont="1" applyFill="1" applyBorder="1" applyAlignment="1" applyProtection="1">
      <alignment horizontal="center" wrapText="1"/>
    </xf>
    <xf numFmtId="49" fontId="148" fillId="0" borderId="16" xfId="183" applyNumberFormat="1" applyFont="1" applyBorder="1" applyAlignment="1">
      <alignment horizontal="center" vertical="center"/>
    </xf>
    <xf numFmtId="2" fontId="148" fillId="0" borderId="52" xfId="185" applyNumberFormat="1" applyFont="1" applyFill="1" applyBorder="1" applyAlignment="1">
      <alignment horizontal="center"/>
    </xf>
    <xf numFmtId="174" fontId="154" fillId="0" borderId="0" xfId="183" applyNumberFormat="1" applyFont="1" applyAlignment="1">
      <alignment horizontal="center"/>
    </xf>
    <xf numFmtId="2" fontId="156" fillId="8" borderId="0" xfId="185" applyNumberFormat="1" applyFont="1" applyFill="1" applyBorder="1"/>
    <xf numFmtId="174" fontId="156" fillId="8" borderId="0" xfId="185" applyNumberFormat="1" applyFont="1" applyFill="1" applyBorder="1" applyAlignment="1">
      <alignment horizontal="center"/>
    </xf>
    <xf numFmtId="2" fontId="156" fillId="8" borderId="0" xfId="183" applyNumberFormat="1" applyFont="1" applyFill="1"/>
    <xf numFmtId="2" fontId="154" fillId="8" borderId="0" xfId="185" applyNumberFormat="1" applyFont="1" applyFill="1" applyBorder="1"/>
    <xf numFmtId="174" fontId="154" fillId="8" borderId="0" xfId="185" applyNumberFormat="1" applyFont="1" applyFill="1" applyBorder="1" applyAlignment="1">
      <alignment horizontal="center"/>
    </xf>
    <xf numFmtId="2" fontId="154" fillId="0" borderId="0" xfId="185" applyNumberFormat="1" applyFont="1" applyFill="1" applyBorder="1"/>
    <xf numFmtId="174" fontId="154" fillId="0" borderId="0" xfId="185" applyNumberFormat="1" applyFont="1" applyFill="1" applyBorder="1" applyAlignment="1">
      <alignment horizontal="center"/>
    </xf>
    <xf numFmtId="174" fontId="148" fillId="0" borderId="0" xfId="185" applyNumberFormat="1" applyFont="1" applyFill="1" applyBorder="1" applyAlignment="1">
      <alignment horizontal="center"/>
    </xf>
    <xf numFmtId="41" fontId="148" fillId="0" borderId="55" xfId="55" applyNumberFormat="1" applyFont="1" applyFill="1" applyBorder="1" applyAlignment="1" applyProtection="1">
      <alignment horizontal="center"/>
    </xf>
    <xf numFmtId="41" fontId="148" fillId="0" borderId="4" xfId="55" applyNumberFormat="1" applyFont="1" applyFill="1" applyBorder="1" applyAlignment="1">
      <alignment horizontal="center"/>
    </xf>
    <xf numFmtId="41" fontId="148" fillId="0" borderId="52" xfId="55" applyNumberFormat="1" applyFont="1" applyFill="1" applyBorder="1" applyAlignment="1" applyProtection="1">
      <alignment horizontal="center"/>
    </xf>
    <xf numFmtId="43" fontId="199" fillId="20" borderId="94" xfId="55" applyFont="1" applyFill="1" applyBorder="1" applyAlignment="1">
      <alignment horizontal="center" vertical="center" wrapText="1"/>
    </xf>
    <xf numFmtId="43" fontId="199" fillId="20" borderId="72" xfId="55" applyFont="1" applyFill="1" applyBorder="1" applyAlignment="1">
      <alignment horizontal="center" vertical="center" wrapText="1"/>
    </xf>
    <xf numFmtId="43" fontId="199" fillId="20" borderId="55" xfId="55" applyFont="1" applyFill="1" applyBorder="1" applyAlignment="1">
      <alignment horizontal="center" vertical="center"/>
    </xf>
    <xf numFmtId="43" fontId="199" fillId="20" borderId="4" xfId="55" applyFont="1" applyFill="1" applyBorder="1" applyAlignment="1">
      <alignment horizontal="center" vertical="center"/>
    </xf>
    <xf numFmtId="0" fontId="213" fillId="0" borderId="0" xfId="316" applyFont="1" applyAlignment="1">
      <alignment horizontal="center"/>
    </xf>
    <xf numFmtId="0" fontId="235" fillId="0" borderId="0" xfId="316" applyFont="1" applyAlignment="1">
      <alignment horizontal="center"/>
    </xf>
    <xf numFmtId="0" fontId="213" fillId="35" borderId="0" xfId="316" applyFont="1" applyFill="1" applyAlignment="1">
      <alignment horizontal="center"/>
    </xf>
    <xf numFmtId="0" fontId="213" fillId="20" borderId="0" xfId="316" applyFont="1" applyFill="1" applyAlignment="1">
      <alignment horizontal="center"/>
    </xf>
    <xf numFmtId="0" fontId="199" fillId="0" borderId="0" xfId="316" applyFont="1" applyAlignment="1">
      <alignment horizontal="center"/>
    </xf>
    <xf numFmtId="0" fontId="213" fillId="0" borderId="79" xfId="316" applyFont="1" applyBorder="1" applyAlignment="1">
      <alignment horizontal="center"/>
    </xf>
    <xf numFmtId="0" fontId="199" fillId="20" borderId="55" xfId="316" applyFont="1" applyFill="1" applyBorder="1" applyAlignment="1">
      <alignment horizontal="center" vertical="top"/>
    </xf>
    <xf numFmtId="43" fontId="199" fillId="20" borderId="3" xfId="55" applyFont="1" applyFill="1" applyBorder="1" applyAlignment="1">
      <alignment horizontal="center" vertical="center" wrapText="1"/>
    </xf>
    <xf numFmtId="0" fontId="199" fillId="20" borderId="55" xfId="316" applyFont="1" applyFill="1" applyBorder="1" applyAlignment="1">
      <alignment horizontal="center" vertical="center" wrapText="1"/>
    </xf>
    <xf numFmtId="0" fontId="199" fillId="20" borderId="10" xfId="316" applyFont="1" applyFill="1" applyBorder="1" applyAlignment="1">
      <alignment horizontal="center" vertical="top"/>
    </xf>
    <xf numFmtId="43" fontId="199" fillId="20" borderId="10" xfId="55" applyFont="1" applyFill="1" applyBorder="1" applyAlignment="1">
      <alignment horizontal="center" vertical="center"/>
    </xf>
    <xf numFmtId="0" fontId="199" fillId="20" borderId="10" xfId="316" applyFont="1" applyFill="1" applyBorder="1" applyAlignment="1">
      <alignment horizontal="center" vertical="center" wrapText="1"/>
    </xf>
    <xf numFmtId="0" fontId="199" fillId="20" borderId="4" xfId="316" applyFont="1" applyFill="1" applyBorder="1" applyAlignment="1">
      <alignment horizontal="center" vertical="top"/>
    </xf>
    <xf numFmtId="0" fontId="199" fillId="20" borderId="4" xfId="316" applyFont="1" applyFill="1" applyBorder="1" applyAlignment="1">
      <alignment horizontal="center" vertical="center" wrapText="1"/>
    </xf>
    <xf numFmtId="0" fontId="199" fillId="20" borderId="7" xfId="316" applyFont="1" applyFill="1" applyBorder="1" applyAlignment="1">
      <alignment horizontal="center" vertical="center"/>
    </xf>
    <xf numFmtId="0" fontId="199" fillId="21" borderId="32" xfId="316" applyFont="1" applyFill="1" applyBorder="1" applyAlignment="1">
      <alignment horizontal="center" vertical="center"/>
    </xf>
    <xf numFmtId="0" fontId="199" fillId="14" borderId="10" xfId="316" applyFont="1" applyFill="1" applyBorder="1" applyAlignment="1">
      <alignment horizontal="center" vertical="top"/>
    </xf>
    <xf numFmtId="43" fontId="199" fillId="14" borderId="10" xfId="55" applyFont="1" applyFill="1" applyBorder="1" applyAlignment="1">
      <alignment vertical="top"/>
    </xf>
    <xf numFmtId="0" fontId="199" fillId="0" borderId="3" xfId="316" applyFont="1" applyBorder="1" applyAlignment="1">
      <alignment horizontal="center" vertical="center"/>
    </xf>
    <xf numFmtId="0" fontId="199" fillId="0" borderId="3" xfId="316" applyFont="1" applyBorder="1" applyAlignment="1">
      <alignment horizontal="center" vertical="center" wrapText="1"/>
    </xf>
    <xf numFmtId="0" fontId="187" fillId="0" borderId="0" xfId="316" applyFont="1" applyAlignment="1">
      <alignment vertical="center"/>
    </xf>
    <xf numFmtId="0" fontId="199" fillId="0" borderId="3" xfId="316" applyFont="1" applyBorder="1" applyAlignment="1">
      <alignment horizontal="center" vertical="top"/>
    </xf>
    <xf numFmtId="0" fontId="187" fillId="0" borderId="0" xfId="316" applyFont="1" applyAlignment="1">
      <alignment vertical="top"/>
    </xf>
    <xf numFmtId="0" fontId="199" fillId="0" borderId="3" xfId="316" applyFont="1" applyBorder="1" applyAlignment="1">
      <alignment horizontal="center"/>
    </xf>
    <xf numFmtId="0" fontId="189" fillId="0" borderId="3" xfId="316" applyFont="1" applyBorder="1" applyAlignment="1">
      <alignment horizontal="center" vertical="center"/>
    </xf>
    <xf numFmtId="0" fontId="184" fillId="0" borderId="0" xfId="316" applyFont="1" applyAlignment="1">
      <alignment vertical="center"/>
    </xf>
    <xf numFmtId="43" fontId="199" fillId="0" borderId="3" xfId="55" applyFont="1" applyFill="1" applyBorder="1" applyAlignment="1"/>
    <xf numFmtId="0" fontId="199" fillId="40" borderId="3" xfId="316" applyFont="1" applyFill="1" applyBorder="1" applyAlignment="1">
      <alignment horizontal="center" vertical="center"/>
    </xf>
    <xf numFmtId="43" fontId="199" fillId="40" borderId="3" xfId="55" applyFont="1" applyFill="1" applyBorder="1" applyAlignment="1">
      <alignment vertical="center"/>
    </xf>
    <xf numFmtId="43" fontId="199" fillId="0" borderId="0" xfId="55" applyFont="1" applyFill="1" applyBorder="1" applyAlignment="1">
      <alignment vertical="center"/>
    </xf>
    <xf numFmtId="0" fontId="199" fillId="14" borderId="3" xfId="316" applyFont="1" applyFill="1" applyBorder="1" applyAlignment="1">
      <alignment horizontal="center"/>
    </xf>
    <xf numFmtId="43" fontId="199" fillId="14" borderId="3" xfId="55" applyFont="1" applyFill="1" applyBorder="1" applyAlignment="1">
      <alignment vertical="center"/>
    </xf>
    <xf numFmtId="43" fontId="199" fillId="14" borderId="3" xfId="55" applyFont="1" applyFill="1" applyBorder="1" applyAlignment="1"/>
    <xf numFmtId="43" fontId="199" fillId="0" borderId="0" xfId="55" applyFont="1" applyFill="1" applyAlignment="1"/>
    <xf numFmtId="0" fontId="253" fillId="0" borderId="55" xfId="316" applyFont="1" applyBorder="1" applyAlignment="1">
      <alignment horizontal="center" vertical="center"/>
    </xf>
    <xf numFmtId="49" fontId="253" fillId="20" borderId="55" xfId="316" applyNumberFormat="1" applyFont="1" applyFill="1" applyBorder="1" applyAlignment="1">
      <alignment horizontal="center" vertical="center"/>
    </xf>
    <xf numFmtId="0" fontId="253" fillId="20" borderId="55" xfId="316" applyFont="1" applyFill="1" applyBorder="1" applyAlignment="1">
      <alignment horizontal="center" vertical="center"/>
    </xf>
    <xf numFmtId="0" fontId="254" fillId="12" borderId="55" xfId="316" applyFont="1" applyFill="1" applyBorder="1" applyAlignment="1">
      <alignment horizontal="center" vertical="center"/>
    </xf>
    <xf numFmtId="43" fontId="253" fillId="20" borderId="87" xfId="55" applyFont="1" applyFill="1" applyBorder="1" applyAlignment="1">
      <alignment horizontal="center" vertical="center"/>
    </xf>
    <xf numFmtId="43" fontId="253" fillId="20" borderId="72" xfId="55" applyFont="1" applyFill="1" applyBorder="1" applyAlignment="1">
      <alignment horizontal="center" vertical="center"/>
    </xf>
    <xf numFmtId="43" fontId="246" fillId="20" borderId="55" xfId="55" applyFont="1" applyFill="1" applyBorder="1" applyAlignment="1">
      <alignment horizontal="center" vertical="center" wrapText="1"/>
    </xf>
    <xf numFmtId="43" fontId="246" fillId="12" borderId="55" xfId="55" applyFont="1" applyFill="1" applyBorder="1" applyAlignment="1">
      <alignment horizontal="center" vertical="center" wrapText="1"/>
    </xf>
    <xf numFmtId="43" fontId="246" fillId="21" borderId="55" xfId="55" applyFont="1" applyFill="1" applyBorder="1" applyAlignment="1">
      <alignment horizontal="center" vertical="center" wrapText="1"/>
    </xf>
    <xf numFmtId="43" fontId="246" fillId="16" borderId="55" xfId="55" applyFont="1" applyFill="1" applyBorder="1" applyAlignment="1">
      <alignment horizontal="center" vertical="center" wrapText="1"/>
    </xf>
    <xf numFmtId="0" fontId="246" fillId="20" borderId="2" xfId="316" applyFont="1" applyFill="1" applyBorder="1" applyAlignment="1">
      <alignment horizontal="center" vertical="center"/>
    </xf>
    <xf numFmtId="0" fontId="246" fillId="20" borderId="71" xfId="316" applyFont="1" applyFill="1" applyBorder="1" applyAlignment="1">
      <alignment horizontal="center" vertical="center"/>
    </xf>
    <xf numFmtId="0" fontId="253" fillId="0" borderId="10" xfId="316" applyFont="1" applyBorder="1" applyAlignment="1">
      <alignment horizontal="center" vertical="center"/>
    </xf>
    <xf numFmtId="49" fontId="253" fillId="20" borderId="10" xfId="316" applyNumberFormat="1" applyFont="1" applyFill="1" applyBorder="1" applyAlignment="1">
      <alignment horizontal="center" vertical="center"/>
    </xf>
    <xf numFmtId="0" fontId="253" fillId="20" borderId="10" xfId="316" applyFont="1" applyFill="1" applyBorder="1" applyAlignment="1">
      <alignment horizontal="center" vertical="center"/>
    </xf>
    <xf numFmtId="0" fontId="254" fillId="12" borderId="10" xfId="316" applyFont="1" applyFill="1" applyBorder="1" applyAlignment="1">
      <alignment horizontal="center" vertical="center"/>
    </xf>
    <xf numFmtId="43" fontId="253" fillId="20" borderId="0" xfId="55" applyFont="1" applyFill="1" applyBorder="1" applyAlignment="1">
      <alignment horizontal="center" vertical="center"/>
    </xf>
    <xf numFmtId="43" fontId="253" fillId="20" borderId="9" xfId="55" applyFont="1" applyFill="1" applyBorder="1" applyAlignment="1">
      <alignment horizontal="center" vertical="center"/>
    </xf>
    <xf numFmtId="43" fontId="246" fillId="20" borderId="10" xfId="55" applyFont="1" applyFill="1" applyBorder="1" applyAlignment="1">
      <alignment horizontal="center" vertical="center" wrapText="1"/>
    </xf>
    <xf numFmtId="43" fontId="246" fillId="12" borderId="10" xfId="55" applyFont="1" applyFill="1" applyBorder="1" applyAlignment="1">
      <alignment horizontal="center" vertical="center" wrapText="1"/>
    </xf>
    <xf numFmtId="43" fontId="246" fillId="21" borderId="10" xfId="55" applyFont="1" applyFill="1" applyBorder="1" applyAlignment="1">
      <alignment horizontal="center" vertical="center" wrapText="1"/>
    </xf>
    <xf numFmtId="43" fontId="246" fillId="16" borderId="10" xfId="55" applyFont="1" applyFill="1" applyBorder="1" applyAlignment="1">
      <alignment horizontal="center" vertical="center" wrapText="1"/>
    </xf>
    <xf numFmtId="43" fontId="246" fillId="20" borderId="55" xfId="55" applyFont="1" applyFill="1" applyBorder="1" applyAlignment="1">
      <alignment horizontal="center" vertical="center"/>
    </xf>
    <xf numFmtId="0" fontId="253" fillId="20" borderId="4" xfId="316" applyFont="1" applyFill="1" applyBorder="1" applyAlignment="1">
      <alignment horizontal="center" vertical="center"/>
    </xf>
    <xf numFmtId="43" fontId="253" fillId="20" borderId="79" xfId="55" applyFont="1" applyFill="1" applyBorder="1" applyAlignment="1">
      <alignment horizontal="center" vertical="center"/>
    </xf>
    <xf numFmtId="43" fontId="253" fillId="20" borderId="54" xfId="55" applyFont="1" applyFill="1" applyBorder="1" applyAlignment="1">
      <alignment horizontal="center" vertical="center"/>
    </xf>
    <xf numFmtId="43" fontId="246" fillId="20" borderId="10" xfId="55" applyFont="1" applyFill="1" applyBorder="1" applyAlignment="1">
      <alignment horizontal="center" vertical="center"/>
    </xf>
    <xf numFmtId="0" fontId="253" fillId="0" borderId="4" xfId="316" applyFont="1" applyBorder="1" applyAlignment="1">
      <alignment horizontal="center" vertical="center"/>
    </xf>
    <xf numFmtId="49" fontId="253" fillId="20" borderId="4" xfId="316" applyNumberFormat="1" applyFont="1" applyFill="1" applyBorder="1" applyAlignment="1">
      <alignment horizontal="center" vertical="center"/>
    </xf>
    <xf numFmtId="0" fontId="254" fillId="12" borderId="4" xfId="316" applyFont="1" applyFill="1" applyBorder="1" applyAlignment="1">
      <alignment horizontal="center" vertical="center"/>
    </xf>
    <xf numFmtId="43" fontId="253" fillId="20" borderId="3" xfId="55" applyFont="1" applyFill="1" applyBorder="1" applyAlignment="1">
      <alignment horizontal="center" vertical="center"/>
    </xf>
    <xf numFmtId="43" fontId="246" fillId="20" borderId="4" xfId="55" applyFont="1" applyFill="1" applyBorder="1" applyAlignment="1">
      <alignment horizontal="center" vertical="center" wrapText="1"/>
    </xf>
    <xf numFmtId="43" fontId="246" fillId="12" borderId="4" xfId="55" applyFont="1" applyFill="1" applyBorder="1" applyAlignment="1">
      <alignment horizontal="center" vertical="center" wrapText="1"/>
    </xf>
    <xf numFmtId="43" fontId="246" fillId="21" borderId="4" xfId="55" applyFont="1" applyFill="1" applyBorder="1" applyAlignment="1">
      <alignment horizontal="center" vertical="center" wrapText="1"/>
    </xf>
    <xf numFmtId="43" fontId="246" fillId="16" borderId="4" xfId="55" applyFont="1" applyFill="1" applyBorder="1" applyAlignment="1">
      <alignment horizontal="center" vertical="center" wrapText="1"/>
    </xf>
    <xf numFmtId="43" fontId="246" fillId="20" borderId="4" xfId="55" applyFont="1" applyFill="1" applyBorder="1" applyAlignment="1">
      <alignment horizontal="center" vertical="center"/>
    </xf>
    <xf numFmtId="0" fontId="253" fillId="0" borderId="7" xfId="316" applyFont="1" applyBorder="1" applyAlignment="1">
      <alignment horizontal="center" vertical="center"/>
    </xf>
    <xf numFmtId="49" fontId="246" fillId="20" borderId="7" xfId="316" applyNumberFormat="1" applyFont="1" applyFill="1" applyBorder="1" applyAlignment="1">
      <alignment horizontal="center" vertical="center"/>
    </xf>
    <xf numFmtId="0" fontId="246" fillId="20" borderId="7" xfId="316" applyFont="1" applyFill="1" applyBorder="1" applyAlignment="1">
      <alignment horizontal="center" vertical="center"/>
    </xf>
    <xf numFmtId="0" fontId="255" fillId="20" borderId="7" xfId="316" applyFont="1" applyFill="1" applyBorder="1" applyAlignment="1">
      <alignment horizontal="center" vertical="center"/>
    </xf>
    <xf numFmtId="43" fontId="246" fillId="20" borderId="6" xfId="55" applyFont="1" applyFill="1" applyBorder="1" applyAlignment="1">
      <alignment horizontal="center" vertical="center"/>
    </xf>
    <xf numFmtId="43" fontId="246" fillId="20" borderId="7" xfId="55" applyFont="1" applyFill="1" applyBorder="1" applyAlignment="1">
      <alignment horizontal="center" vertical="center"/>
    </xf>
    <xf numFmtId="43" fontId="246" fillId="12" borderId="7" xfId="55" applyFont="1" applyFill="1" applyBorder="1" applyAlignment="1">
      <alignment horizontal="center" vertical="center"/>
    </xf>
    <xf numFmtId="43" fontId="246" fillId="21" borderId="7" xfId="55" applyFont="1" applyFill="1" applyBorder="1" applyAlignment="1">
      <alignment horizontal="center" vertical="center"/>
    </xf>
    <xf numFmtId="43" fontId="246" fillId="16" borderId="7" xfId="55" applyFont="1" applyFill="1" applyBorder="1" applyAlignment="1">
      <alignment horizontal="center" vertical="center"/>
    </xf>
    <xf numFmtId="0" fontId="246" fillId="0" borderId="32" xfId="316" applyFont="1" applyBorder="1" applyAlignment="1">
      <alignment horizontal="left" vertical="center" wrapText="1"/>
    </xf>
    <xf numFmtId="49" fontId="246" fillId="21" borderId="32" xfId="316" applyNumberFormat="1" applyFont="1" applyFill="1" applyBorder="1" applyAlignment="1">
      <alignment horizontal="center" vertical="center" wrapText="1"/>
    </xf>
    <xf numFmtId="0" fontId="246" fillId="21" borderId="32" xfId="316" applyFont="1" applyFill="1" applyBorder="1" applyAlignment="1">
      <alignment horizontal="center" vertical="center" wrapText="1"/>
    </xf>
    <xf numFmtId="0" fontId="255" fillId="21" borderId="32" xfId="316" applyFont="1" applyFill="1" applyBorder="1" applyAlignment="1">
      <alignment horizontal="center" vertical="center" wrapText="1"/>
    </xf>
    <xf numFmtId="43" fontId="246" fillId="21" borderId="42" xfId="55" applyFont="1" applyFill="1" applyBorder="1" applyAlignment="1">
      <alignment vertical="center"/>
    </xf>
    <xf numFmtId="43" fontId="246" fillId="21" borderId="32" xfId="55" applyFont="1" applyFill="1" applyBorder="1" applyAlignment="1">
      <alignment vertical="center"/>
    </xf>
    <xf numFmtId="43" fontId="246" fillId="21" borderId="32" xfId="55" applyFont="1" applyFill="1" applyBorder="1" applyAlignment="1">
      <alignment horizontal="right" vertical="center"/>
    </xf>
    <xf numFmtId="43" fontId="246" fillId="21" borderId="32" xfId="55" applyFont="1" applyFill="1" applyBorder="1" applyAlignment="1">
      <alignment horizontal="center" vertical="center"/>
    </xf>
    <xf numFmtId="0" fontId="246" fillId="14" borderId="10" xfId="316" applyFont="1" applyFill="1" applyBorder="1" applyAlignment="1">
      <alignment horizontal="left" wrapText="1"/>
    </xf>
    <xf numFmtId="49" fontId="246" fillId="14" borderId="10" xfId="316" applyNumberFormat="1" applyFont="1" applyFill="1" applyBorder="1" applyAlignment="1">
      <alignment horizontal="center" vertical="center" wrapText="1"/>
    </xf>
    <xf numFmtId="0" fontId="246" fillId="14" borderId="10" xfId="316" applyFont="1" applyFill="1" applyBorder="1" applyAlignment="1">
      <alignment horizontal="center" vertical="center" wrapText="1"/>
    </xf>
    <xf numFmtId="0" fontId="255" fillId="14" borderId="4" xfId="316" applyFont="1" applyFill="1" applyBorder="1" applyAlignment="1">
      <alignment horizontal="center" vertical="center" wrapText="1"/>
    </xf>
    <xf numFmtId="43" fontId="246" fillId="14" borderId="9" xfId="55" applyFont="1" applyFill="1" applyBorder="1" applyAlignment="1">
      <alignment vertical="center"/>
    </xf>
    <xf numFmtId="43" fontId="246" fillId="14" borderId="10" xfId="55" applyFont="1" applyFill="1" applyBorder="1" applyAlignment="1">
      <alignment horizontal="center" vertical="center"/>
    </xf>
    <xf numFmtId="43" fontId="246" fillId="14" borderId="10" xfId="55" applyFont="1" applyFill="1" applyBorder="1" applyAlignment="1">
      <alignment vertical="center"/>
    </xf>
    <xf numFmtId="43" fontId="246" fillId="14" borderId="10" xfId="55" applyFont="1" applyFill="1" applyBorder="1" applyAlignment="1">
      <alignment horizontal="right" vertical="center"/>
    </xf>
    <xf numFmtId="0" fontId="246" fillId="0" borderId="3" xfId="316" applyFont="1" applyBorder="1" applyAlignment="1">
      <alignment horizontal="left" vertical="center" wrapText="1"/>
    </xf>
    <xf numFmtId="49" fontId="246" fillId="0" borderId="3" xfId="316" applyNumberFormat="1" applyFont="1" applyBorder="1" applyAlignment="1">
      <alignment horizontal="center" vertical="center" wrapText="1"/>
    </xf>
    <xf numFmtId="0" fontId="255" fillId="0" borderId="3" xfId="316" applyFont="1" applyBorder="1" applyAlignment="1">
      <alignment horizontal="center" vertical="center" wrapText="1"/>
    </xf>
    <xf numFmtId="43" fontId="246" fillId="0" borderId="3" xfId="55" applyFont="1" applyFill="1" applyBorder="1" applyAlignment="1">
      <alignment vertical="center"/>
    </xf>
    <xf numFmtId="43" fontId="246" fillId="0" borderId="3" xfId="55" applyFont="1" applyFill="1" applyBorder="1" applyAlignment="1">
      <alignment horizontal="center" vertical="center"/>
    </xf>
    <xf numFmtId="49" fontId="246" fillId="0" borderId="3" xfId="316" applyNumberFormat="1" applyFont="1" applyBorder="1" applyAlignment="1">
      <alignment horizontal="center" vertical="center"/>
    </xf>
    <xf numFmtId="0" fontId="246" fillId="0" borderId="3" xfId="316" applyFont="1" applyBorder="1" applyAlignment="1">
      <alignment horizontal="center" vertical="center"/>
    </xf>
    <xf numFmtId="0" fontId="255" fillId="0" borderId="3" xfId="316" applyFont="1" applyBorder="1" applyAlignment="1">
      <alignment horizontal="center" vertical="center"/>
    </xf>
    <xf numFmtId="43" fontId="246" fillId="0" borderId="3" xfId="55" applyFont="1" applyFill="1" applyBorder="1" applyAlignment="1">
      <alignment horizontal="right" vertical="center"/>
    </xf>
    <xf numFmtId="0" fontId="246" fillId="40" borderId="3" xfId="316" applyFont="1" applyFill="1" applyBorder="1" applyAlignment="1">
      <alignment vertical="center"/>
    </xf>
    <xf numFmtId="49" fontId="246" fillId="40" borderId="3" xfId="316" applyNumberFormat="1" applyFont="1" applyFill="1" applyBorder="1" applyAlignment="1">
      <alignment horizontal="center" vertical="center"/>
    </xf>
    <xf numFmtId="0" fontId="246" fillId="40" borderId="3" xfId="316" applyFont="1" applyFill="1" applyBorder="1" applyAlignment="1">
      <alignment horizontal="center" vertical="center"/>
    </xf>
    <xf numFmtId="0" fontId="255" fillId="40" borderId="3" xfId="316" applyFont="1" applyFill="1" applyBorder="1" applyAlignment="1">
      <alignment horizontal="center" vertical="center"/>
    </xf>
    <xf numFmtId="43" fontId="246" fillId="40" borderId="3" xfId="55" applyFont="1" applyFill="1" applyBorder="1" applyAlignment="1">
      <alignment vertical="center"/>
    </xf>
    <xf numFmtId="0" fontId="246" fillId="0" borderId="3" xfId="316" applyFont="1" applyBorder="1" applyAlignment="1">
      <alignment horizontal="left" wrapText="1"/>
    </xf>
    <xf numFmtId="0" fontId="246" fillId="0" borderId="0" xfId="316" applyFont="1" applyAlignment="1">
      <alignment horizontal="center" vertical="center"/>
    </xf>
    <xf numFmtId="43" fontId="246" fillId="21" borderId="0" xfId="55" applyFont="1" applyFill="1" applyAlignment="1">
      <alignment vertical="center"/>
    </xf>
    <xf numFmtId="43" fontId="246" fillId="12" borderId="0" xfId="55" applyFont="1" applyFill="1" applyAlignment="1">
      <alignment vertical="center"/>
    </xf>
    <xf numFmtId="43" fontId="246" fillId="16" borderId="0" xfId="55" applyFont="1" applyFill="1" applyAlignment="1">
      <alignment horizontal="right" vertical="center"/>
    </xf>
    <xf numFmtId="0" fontId="246" fillId="14" borderId="3" xfId="316" applyFont="1" applyFill="1" applyBorder="1"/>
    <xf numFmtId="49" fontId="246" fillId="14" borderId="3" xfId="316" applyNumberFormat="1" applyFont="1" applyFill="1" applyBorder="1" applyAlignment="1">
      <alignment horizontal="center" vertical="center"/>
    </xf>
    <xf numFmtId="0" fontId="246" fillId="14" borderId="3" xfId="316" applyFont="1" applyFill="1" applyBorder="1" applyAlignment="1">
      <alignment horizontal="center" vertical="center"/>
    </xf>
    <xf numFmtId="0" fontId="255" fillId="14" borderId="3" xfId="316" applyFont="1" applyFill="1" applyBorder="1" applyAlignment="1">
      <alignment horizontal="center" vertical="center"/>
    </xf>
    <xf numFmtId="43" fontId="246" fillId="14" borderId="3" xfId="55" applyFont="1" applyFill="1" applyBorder="1" applyAlignment="1">
      <alignment vertical="center"/>
    </xf>
    <xf numFmtId="43" fontId="246" fillId="14" borderId="3" xfId="55" applyFont="1" applyFill="1" applyBorder="1" applyAlignment="1">
      <alignment horizontal="right" vertical="center"/>
    </xf>
    <xf numFmtId="43" fontId="246" fillId="14" borderId="3" xfId="55" applyFont="1" applyFill="1" applyBorder="1" applyAlignment="1">
      <alignment horizontal="center" vertical="center"/>
    </xf>
    <xf numFmtId="0" fontId="256" fillId="8" borderId="152" xfId="316" applyFont="1" applyFill="1" applyBorder="1" applyAlignment="1">
      <alignment horizontal="left" vertical="center" wrapText="1"/>
    </xf>
    <xf numFmtId="0" fontId="246" fillId="0" borderId="3" xfId="316" applyFont="1" applyBorder="1" applyAlignment="1">
      <alignment vertical="center"/>
    </xf>
    <xf numFmtId="0" fontId="246" fillId="0" borderId="0" xfId="316" applyFont="1"/>
    <xf numFmtId="49" fontId="246" fillId="0" borderId="0" xfId="316" applyNumberFormat="1" applyFont="1" applyAlignment="1">
      <alignment horizontal="center" vertical="center"/>
    </xf>
    <xf numFmtId="0" fontId="255" fillId="0" borderId="0" xfId="316" applyFont="1" applyAlignment="1">
      <alignment horizontal="center" vertical="center"/>
    </xf>
    <xf numFmtId="43" fontId="246" fillId="0" borderId="0" xfId="55" applyFont="1" applyFill="1" applyAlignment="1">
      <alignment vertical="center"/>
    </xf>
    <xf numFmtId="43" fontId="246" fillId="0" borderId="0" xfId="55" applyFont="1" applyFill="1" applyAlignment="1">
      <alignment horizontal="center" vertical="center"/>
    </xf>
    <xf numFmtId="43" fontId="246" fillId="40" borderId="3" xfId="55" applyFont="1" applyFill="1" applyBorder="1" applyAlignment="1">
      <alignment horizontal="right" vertical="center"/>
    </xf>
    <xf numFmtId="43" fontId="246" fillId="40" borderId="3" xfId="55" applyFont="1" applyFill="1" applyBorder="1" applyAlignment="1">
      <alignment horizontal="center" vertical="center"/>
    </xf>
    <xf numFmtId="0" fontId="199" fillId="0" borderId="0" xfId="316" applyFont="1" applyFill="1" applyAlignment="1">
      <alignment horizontal="center"/>
    </xf>
    <xf numFmtId="0" fontId="246" fillId="0" borderId="0" xfId="316" applyFont="1" applyFill="1"/>
    <xf numFmtId="49" fontId="246" fillId="0" borderId="0" xfId="316" applyNumberFormat="1" applyFont="1" applyFill="1" applyAlignment="1">
      <alignment horizontal="center" vertical="center"/>
    </xf>
    <xf numFmtId="0" fontId="246" fillId="0" borderId="0" xfId="316" applyFont="1" applyFill="1" applyAlignment="1">
      <alignment horizontal="center" vertical="center"/>
    </xf>
    <xf numFmtId="0" fontId="255" fillId="0" borderId="0" xfId="316" applyFont="1" applyFill="1" applyAlignment="1">
      <alignment horizontal="center" vertical="center"/>
    </xf>
    <xf numFmtId="43" fontId="246" fillId="0" borderId="0" xfId="55" applyFont="1" applyFill="1" applyAlignment="1">
      <alignment horizontal="right" vertical="center"/>
    </xf>
    <xf numFmtId="43" fontId="149" fillId="0" borderId="55" xfId="55" applyFont="1" applyBorder="1" applyAlignment="1">
      <alignment horizontal="center" vertical="center"/>
    </xf>
    <xf numFmtId="43" fontId="149" fillId="8" borderId="2" xfId="55" applyFont="1" applyFill="1" applyBorder="1" applyAlignment="1" applyProtection="1">
      <alignment horizontal="center" vertical="center"/>
    </xf>
    <xf numFmtId="43" fontId="149" fillId="0" borderId="19" xfId="55" applyFont="1" applyBorder="1" applyAlignment="1">
      <alignment horizontal="center" vertical="center"/>
    </xf>
    <xf numFmtId="43" fontId="149" fillId="8" borderId="54" xfId="55" applyFont="1" applyFill="1" applyBorder="1" applyAlignment="1" applyProtection="1">
      <alignment horizontal="center" vertical="center"/>
    </xf>
    <xf numFmtId="43" fontId="149" fillId="8" borderId="69" xfId="55" applyFont="1" applyFill="1" applyBorder="1" applyAlignment="1" applyProtection="1">
      <alignment horizontal="center" vertical="center" wrapText="1"/>
    </xf>
    <xf numFmtId="43" fontId="149" fillId="8" borderId="34" xfId="55" applyFont="1" applyFill="1" applyBorder="1" applyAlignment="1" applyProtection="1">
      <alignment horizontal="center" vertical="center" wrapText="1"/>
    </xf>
    <xf numFmtId="43" fontId="149" fillId="8" borderId="88" xfId="55" applyFont="1" applyFill="1" applyBorder="1" applyAlignment="1" applyProtection="1">
      <alignment horizontal="center" vertical="center" wrapText="1"/>
    </xf>
    <xf numFmtId="43" fontId="148" fillId="0" borderId="16" xfId="55" applyFont="1" applyBorder="1" applyAlignment="1">
      <alignment vertical="center"/>
    </xf>
    <xf numFmtId="43" fontId="156" fillId="0" borderId="12" xfId="55" applyFont="1" applyBorder="1" applyAlignment="1">
      <alignment vertical="center"/>
    </xf>
    <xf numFmtId="43" fontId="156" fillId="8" borderId="11" xfId="55" applyFont="1" applyFill="1" applyBorder="1" applyAlignment="1" applyProtection="1">
      <alignment horizontal="center" vertical="center"/>
    </xf>
    <xf numFmtId="43" fontId="156" fillId="0" borderId="52" xfId="55" applyFont="1" applyBorder="1" applyAlignment="1">
      <alignment vertical="center"/>
    </xf>
    <xf numFmtId="43" fontId="156" fillId="8" borderId="11" xfId="55" applyFont="1" applyFill="1" applyBorder="1" applyAlignment="1" applyProtection="1">
      <alignment horizontal="right" vertical="center"/>
    </xf>
    <xf numFmtId="43" fontId="257" fillId="8" borderId="0" xfId="87" applyNumberFormat="1" applyFont="1" applyFill="1" applyAlignment="1">
      <alignment horizontal="center" vertical="center"/>
    </xf>
    <xf numFmtId="0" fontId="257" fillId="8" borderId="0" xfId="87" applyFont="1" applyFill="1" applyAlignment="1">
      <alignment horizontal="center" vertical="center"/>
    </xf>
    <xf numFmtId="43" fontId="257" fillId="8" borderId="0" xfId="55" applyFont="1" applyFill="1" applyBorder="1" applyAlignment="1">
      <alignment horizontal="center" vertical="center"/>
    </xf>
    <xf numFmtId="2" fontId="257" fillId="8" borderId="0" xfId="55" applyNumberFormat="1" applyFont="1" applyFill="1" applyBorder="1" applyAlignment="1">
      <alignment horizontal="center" vertical="center"/>
    </xf>
    <xf numFmtId="165" fontId="218" fillId="0" borderId="0" xfId="87" applyNumberFormat="1" applyFont="1"/>
    <xf numFmtId="0" fontId="258" fillId="8" borderId="0" xfId="87" applyFont="1" applyFill="1" applyAlignment="1">
      <alignment vertical="center"/>
    </xf>
    <xf numFmtId="43" fontId="258" fillId="8" borderId="0" xfId="55" applyFont="1" applyFill="1" applyBorder="1" applyAlignment="1">
      <alignment vertical="center"/>
    </xf>
    <xf numFmtId="43" fontId="259" fillId="16" borderId="154" xfId="55" applyFont="1" applyFill="1" applyBorder="1" applyAlignment="1" applyProtection="1">
      <alignment horizontal="center" vertical="center"/>
    </xf>
    <xf numFmtId="43" fontId="259" fillId="16" borderId="154" xfId="55" applyFont="1" applyFill="1" applyBorder="1" applyAlignment="1" applyProtection="1">
      <alignment vertical="center"/>
    </xf>
    <xf numFmtId="43" fontId="221" fillId="8" borderId="0" xfId="55" applyFont="1" applyFill="1" applyBorder="1" applyAlignment="1">
      <alignment vertical="top"/>
    </xf>
    <xf numFmtId="43" fontId="221" fillId="0" borderId="0" xfId="55" applyFont="1" applyBorder="1"/>
    <xf numFmtId="2" fontId="221" fillId="8" borderId="0" xfId="55" applyNumberFormat="1" applyFont="1" applyFill="1" applyBorder="1" applyAlignment="1">
      <alignment horizontal="center" vertical="top"/>
    </xf>
    <xf numFmtId="43" fontId="221" fillId="8" borderId="0" xfId="55" applyFont="1" applyFill="1" applyBorder="1" applyAlignment="1" applyProtection="1">
      <alignment horizontal="center" vertical="center" wrapText="1"/>
    </xf>
    <xf numFmtId="165" fontId="221" fillId="0" borderId="0" xfId="87" applyNumberFormat="1" applyFont="1"/>
    <xf numFmtId="0" fontId="260" fillId="8" borderId="0" xfId="87" applyFont="1" applyFill="1" applyAlignment="1">
      <alignment vertical="top"/>
    </xf>
    <xf numFmtId="0" fontId="260" fillId="8" borderId="0" xfId="87" applyFont="1" applyFill="1"/>
    <xf numFmtId="43" fontId="260" fillId="8" borderId="0" xfId="55" applyFont="1" applyFill="1" applyBorder="1" applyAlignment="1">
      <alignment vertical="top"/>
    </xf>
    <xf numFmtId="43" fontId="259" fillId="11" borderId="4" xfId="55" applyFont="1" applyFill="1" applyBorder="1" applyProtection="1"/>
    <xf numFmtId="165" fontId="258" fillId="36" borderId="4" xfId="87" applyNumberFormat="1" applyFont="1" applyFill="1" applyBorder="1"/>
    <xf numFmtId="165" fontId="258" fillId="37" borderId="4" xfId="87" applyNumberFormat="1" applyFont="1" applyFill="1" applyBorder="1" applyAlignment="1">
      <alignment horizontal="center"/>
    </xf>
    <xf numFmtId="165" fontId="258" fillId="38" borderId="4" xfId="87" applyNumberFormat="1" applyFont="1" applyFill="1" applyBorder="1"/>
    <xf numFmtId="0" fontId="260" fillId="8" borderId="4" xfId="87" applyFont="1" applyFill="1" applyBorder="1"/>
    <xf numFmtId="43" fontId="259" fillId="11" borderId="3" xfId="55" applyFont="1" applyFill="1" applyBorder="1" applyProtection="1"/>
    <xf numFmtId="165" fontId="259" fillId="8" borderId="3" xfId="87" applyNumberFormat="1" applyFont="1" applyFill="1" applyBorder="1"/>
    <xf numFmtId="165" fontId="259" fillId="37" borderId="3" xfId="87" applyNumberFormat="1" applyFont="1" applyFill="1" applyBorder="1" applyAlignment="1">
      <alignment horizontal="center"/>
    </xf>
    <xf numFmtId="43" fontId="259" fillId="37" borderId="3" xfId="55" applyFont="1" applyFill="1" applyBorder="1" applyAlignment="1">
      <alignment horizontal="center"/>
    </xf>
    <xf numFmtId="43" fontId="259" fillId="11" borderId="3" xfId="55" applyFont="1" applyFill="1" applyBorder="1"/>
    <xf numFmtId="43" fontId="259" fillId="8" borderId="3" xfId="87" applyNumberFormat="1" applyFont="1" applyFill="1" applyBorder="1"/>
    <xf numFmtId="43" fontId="259" fillId="11" borderId="4" xfId="55" applyFont="1" applyFill="1" applyBorder="1"/>
    <xf numFmtId="43" fontId="258" fillId="36" borderId="4" xfId="87" applyNumberFormat="1" applyFont="1" applyFill="1" applyBorder="1"/>
    <xf numFmtId="0" fontId="258" fillId="37" borderId="4" xfId="87" applyFont="1" applyFill="1" applyBorder="1" applyAlignment="1">
      <alignment horizontal="center"/>
    </xf>
    <xf numFmtId="43" fontId="259" fillId="8" borderId="0" xfId="55" applyFont="1" applyFill="1" applyBorder="1"/>
    <xf numFmtId="43" fontId="258" fillId="8" borderId="0" xfId="55" applyFont="1" applyFill="1" applyBorder="1"/>
    <xf numFmtId="0" fontId="260" fillId="8" borderId="0" xfId="87" applyFont="1" applyFill="1" applyAlignment="1">
      <alignment horizontal="center"/>
    </xf>
    <xf numFmtId="43" fontId="221" fillId="8" borderId="0" xfId="55" applyFont="1" applyFill="1" applyBorder="1" applyAlignment="1">
      <alignment vertical="center"/>
    </xf>
    <xf numFmtId="43" fontId="221" fillId="0" borderId="0" xfId="55" applyFont="1" applyBorder="1" applyAlignment="1">
      <alignment vertical="center"/>
    </xf>
    <xf numFmtId="2" fontId="221" fillId="8" borderId="0" xfId="55" applyNumberFormat="1" applyFont="1" applyFill="1" applyBorder="1" applyAlignment="1">
      <alignment horizontal="center" vertical="center"/>
    </xf>
    <xf numFmtId="0" fontId="260" fillId="8" borderId="0" xfId="87" applyFont="1" applyFill="1" applyAlignment="1">
      <alignment vertical="center"/>
    </xf>
    <xf numFmtId="43" fontId="260" fillId="8" borderId="0" xfId="55" applyFont="1" applyFill="1" applyBorder="1" applyAlignment="1">
      <alignment vertical="center"/>
    </xf>
    <xf numFmtId="43" fontId="259" fillId="8" borderId="0" xfId="55" applyFont="1" applyFill="1" applyBorder="1" applyAlignment="1">
      <alignment vertical="center"/>
    </xf>
    <xf numFmtId="0" fontId="260" fillId="8" borderId="0" xfId="87" applyFont="1" applyFill="1" applyAlignment="1">
      <alignment horizontal="center" vertical="center"/>
    </xf>
    <xf numFmtId="43" fontId="221" fillId="8" borderId="0" xfId="55" applyFont="1" applyFill="1" applyBorder="1" applyAlignment="1">
      <alignment horizontal="center" vertical="center"/>
    </xf>
    <xf numFmtId="43" fontId="261" fillId="14" borderId="0" xfId="55" applyFont="1" applyFill="1" applyBorder="1"/>
    <xf numFmtId="165" fontId="260" fillId="14" borderId="0" xfId="87" applyNumberFormat="1" applyFont="1" applyFill="1"/>
    <xf numFmtId="43" fontId="259" fillId="8" borderId="0" xfId="55" applyFont="1" applyFill="1" applyBorder="1" applyAlignment="1" applyProtection="1">
      <alignment horizontal="center"/>
    </xf>
    <xf numFmtId="0" fontId="258" fillId="8" borderId="0" xfId="87" applyFont="1" applyFill="1" applyAlignment="1">
      <alignment horizontal="center"/>
    </xf>
    <xf numFmtId="43" fontId="259" fillId="8" borderId="0" xfId="55" applyFont="1" applyFill="1" applyBorder="1" applyProtection="1"/>
    <xf numFmtId="43" fontId="258" fillId="8" borderId="0" xfId="55" applyFont="1" applyFill="1" applyBorder="1" applyProtection="1"/>
    <xf numFmtId="165" fontId="258" fillId="8" borderId="0" xfId="87" applyNumberFormat="1" applyFont="1" applyFill="1" applyAlignment="1">
      <alignment horizontal="center"/>
    </xf>
    <xf numFmtId="165" fontId="258" fillId="8" borderId="0" xfId="87" applyNumberFormat="1" applyFont="1" applyFill="1"/>
    <xf numFmtId="43" fontId="260" fillId="8" borderId="0" xfId="87" applyNumberFormat="1" applyFont="1" applyFill="1"/>
    <xf numFmtId="43" fontId="258" fillId="8" borderId="0" xfId="87" applyNumberFormat="1" applyFont="1" applyFill="1"/>
    <xf numFmtId="43" fontId="258" fillId="8" borderId="0" xfId="87" applyNumberFormat="1" applyFont="1" applyFill="1" applyAlignment="1">
      <alignment horizontal="center"/>
    </xf>
    <xf numFmtId="43" fontId="261" fillId="8" borderId="0" xfId="55" applyFont="1" applyFill="1" applyBorder="1" applyProtection="1"/>
    <xf numFmtId="0" fontId="250" fillId="8" borderId="0" xfId="87" applyFont="1" applyFill="1"/>
    <xf numFmtId="0" fontId="250" fillId="8" borderId="0" xfId="87" applyFont="1" applyFill="1" applyAlignment="1">
      <alignment horizontal="center"/>
    </xf>
    <xf numFmtId="43" fontId="261" fillId="8" borderId="0" xfId="55" applyFont="1" applyFill="1" applyBorder="1"/>
    <xf numFmtId="0" fontId="154" fillId="8" borderId="34" xfId="125" applyFont="1" applyFill="1" applyBorder="1" applyAlignment="1">
      <alignment horizontal="center" vertical="center"/>
    </xf>
    <xf numFmtId="0" fontId="154" fillId="8" borderId="34" xfId="125" applyFont="1" applyFill="1" applyBorder="1" applyAlignment="1">
      <alignment horizontal="left" vertical="center"/>
    </xf>
    <xf numFmtId="43" fontId="155" fillId="0" borderId="34" xfId="37" applyFont="1" applyFill="1" applyBorder="1" applyAlignment="1">
      <alignment vertical="center"/>
    </xf>
    <xf numFmtId="43" fontId="154" fillId="8" borderId="34" xfId="37" applyFont="1" applyFill="1" applyBorder="1" applyAlignment="1">
      <alignment vertical="center"/>
    </xf>
    <xf numFmtId="0" fontId="154" fillId="8" borderId="12" xfId="125" applyFont="1" applyFill="1" applyBorder="1" applyAlignment="1">
      <alignment horizontal="center" vertical="center"/>
    </xf>
    <xf numFmtId="0" fontId="154" fillId="8" borderId="12" xfId="125" applyFont="1" applyFill="1" applyBorder="1" applyAlignment="1">
      <alignment horizontal="left" vertical="center"/>
    </xf>
    <xf numFmtId="43" fontId="154" fillId="0" borderId="12" xfId="37" applyFont="1" applyFill="1" applyBorder="1" applyAlignment="1">
      <alignment vertical="center"/>
    </xf>
    <xf numFmtId="43" fontId="155" fillId="0" borderId="12" xfId="37" applyFont="1" applyFill="1" applyBorder="1" applyAlignment="1">
      <alignment vertical="center"/>
    </xf>
    <xf numFmtId="43" fontId="154" fillId="8" borderId="12" xfId="37" applyFont="1" applyFill="1" applyBorder="1" applyAlignment="1">
      <alignment vertical="center"/>
    </xf>
    <xf numFmtId="0" fontId="194" fillId="8" borderId="0" xfId="125" applyFont="1" applyFill="1" applyAlignment="1">
      <alignment horizontal="center" vertical="center"/>
    </xf>
    <xf numFmtId="0" fontId="153" fillId="0" borderId="0" xfId="10" applyFont="1" applyAlignment="1">
      <alignment horizontal="left"/>
    </xf>
    <xf numFmtId="0" fontId="149" fillId="0" borderId="0" xfId="10" applyFont="1" applyAlignment="1">
      <alignment horizontal="center"/>
    </xf>
    <xf numFmtId="43" fontId="149" fillId="0" borderId="94" xfId="37" applyFont="1" applyFill="1" applyBorder="1" applyAlignment="1">
      <alignment horizontal="center" vertical="center"/>
    </xf>
    <xf numFmtId="43" fontId="149" fillId="0" borderId="72" xfId="37" applyFont="1" applyFill="1" applyBorder="1" applyAlignment="1">
      <alignment horizontal="center" vertical="center"/>
    </xf>
    <xf numFmtId="43" fontId="149" fillId="0" borderId="55" xfId="37" applyFont="1" applyFill="1" applyBorder="1" applyAlignment="1">
      <alignment horizontal="center" vertical="center" wrapText="1"/>
    </xf>
    <xf numFmtId="43" fontId="149" fillId="0" borderId="58" xfId="37" applyFont="1" applyFill="1" applyBorder="1" applyAlignment="1">
      <alignment horizontal="center" vertical="center"/>
    </xf>
    <xf numFmtId="43" fontId="149" fillId="0" borderId="9" xfId="37" applyFont="1" applyFill="1" applyBorder="1" applyAlignment="1">
      <alignment horizontal="center" vertical="center"/>
    </xf>
    <xf numFmtId="43" fontId="149" fillId="0" borderId="10" xfId="37" applyFont="1" applyFill="1" applyBorder="1" applyAlignment="1">
      <alignment horizontal="center" vertical="center" wrapText="1"/>
    </xf>
    <xf numFmtId="43" fontId="149" fillId="0" borderId="25" xfId="37" applyFont="1" applyFill="1" applyBorder="1" applyAlignment="1">
      <alignment horizontal="center" vertical="center"/>
    </xf>
    <xf numFmtId="43" fontId="149" fillId="0" borderId="54" xfId="37" applyFont="1" applyFill="1" applyBorder="1" applyAlignment="1">
      <alignment horizontal="center" vertical="center"/>
    </xf>
    <xf numFmtId="43" fontId="149" fillId="0" borderId="4" xfId="37" applyFont="1" applyFill="1" applyBorder="1" applyAlignment="1">
      <alignment horizontal="center" vertical="center" wrapText="1"/>
    </xf>
    <xf numFmtId="43" fontId="149" fillId="0" borderId="3" xfId="37" applyFont="1" applyFill="1" applyBorder="1" applyAlignment="1">
      <alignment horizontal="center" vertical="center" wrapText="1"/>
    </xf>
    <xf numFmtId="0" fontId="149" fillId="16" borderId="7" xfId="10" applyFont="1" applyFill="1" applyBorder="1" applyAlignment="1">
      <alignment horizontal="center" vertical="center"/>
    </xf>
    <xf numFmtId="43" fontId="149" fillId="16" borderId="7" xfId="37" applyFont="1" applyFill="1" applyBorder="1" applyAlignment="1">
      <alignment horizontal="center"/>
    </xf>
    <xf numFmtId="43" fontId="172" fillId="16" borderId="7" xfId="37" applyFont="1" applyFill="1" applyBorder="1" applyAlignment="1">
      <alignment horizontal="center"/>
    </xf>
    <xf numFmtId="0" fontId="148" fillId="0" borderId="34" xfId="10" applyFont="1" applyBorder="1" applyAlignment="1">
      <alignment horizontal="center"/>
    </xf>
    <xf numFmtId="43" fontId="154" fillId="0" borderId="34" xfId="37" applyFont="1" applyFill="1" applyBorder="1" applyAlignment="1">
      <alignment horizontal="center"/>
    </xf>
    <xf numFmtId="43" fontId="155" fillId="0" borderId="34" xfId="37" applyFont="1" applyFill="1" applyBorder="1" applyAlignment="1">
      <alignment horizontal="center"/>
    </xf>
    <xf numFmtId="43" fontId="154" fillId="0" borderId="34" xfId="10" applyNumberFormat="1" applyFont="1" applyBorder="1" applyAlignment="1">
      <alignment horizontal="center"/>
    </xf>
    <xf numFmtId="0" fontId="154" fillId="0" borderId="34" xfId="10" applyFont="1" applyBorder="1" applyAlignment="1">
      <alignment horizontal="left"/>
    </xf>
    <xf numFmtId="43" fontId="154" fillId="11" borderId="34" xfId="37" applyFont="1" applyFill="1" applyBorder="1" applyAlignment="1">
      <alignment horizontal="center"/>
    </xf>
    <xf numFmtId="43" fontId="155" fillId="35" borderId="34" xfId="37" applyFont="1" applyFill="1" applyBorder="1" applyAlignment="1">
      <alignment horizontal="center"/>
    </xf>
    <xf numFmtId="43" fontId="89" fillId="0" borderId="0" xfId="55" applyFont="1" applyFill="1" applyAlignment="1"/>
    <xf numFmtId="0" fontId="154" fillId="0" borderId="16" xfId="10" applyFont="1" applyBorder="1" applyAlignment="1">
      <alignment horizontal="left"/>
    </xf>
    <xf numFmtId="0" fontId="148" fillId="0" borderId="16" xfId="10" applyFont="1" applyBorder="1" applyAlignment="1">
      <alignment horizontal="center"/>
    </xf>
    <xf numFmtId="43" fontId="154" fillId="0" borderId="16" xfId="37" applyFont="1" applyFill="1" applyBorder="1" applyAlignment="1">
      <alignment horizontal="center"/>
    </xf>
    <xf numFmtId="43" fontId="154" fillId="11" borderId="16" xfId="37" applyFont="1" applyFill="1" applyBorder="1" applyAlignment="1">
      <alignment horizontal="center"/>
    </xf>
    <xf numFmtId="43" fontId="155" fillId="35" borderId="16" xfId="37" applyFont="1" applyFill="1" applyBorder="1" applyAlignment="1">
      <alignment horizontal="center"/>
    </xf>
    <xf numFmtId="43" fontId="154" fillId="0" borderId="110" xfId="37" applyFont="1" applyFill="1" applyBorder="1" applyAlignment="1">
      <alignment horizontal="center"/>
    </xf>
    <xf numFmtId="0" fontId="154" fillId="0" borderId="12" xfId="10" applyFont="1" applyBorder="1" applyAlignment="1">
      <alignment horizontal="center"/>
    </xf>
    <xf numFmtId="0" fontId="154" fillId="0" borderId="12" xfId="10" applyFont="1" applyBorder="1" applyAlignment="1">
      <alignment horizontal="left"/>
    </xf>
    <xf numFmtId="0" fontId="148" fillId="0" borderId="12" xfId="10" applyFont="1" applyBorder="1" applyAlignment="1">
      <alignment horizontal="center"/>
    </xf>
    <xf numFmtId="43" fontId="154" fillId="0" borderId="12" xfId="37" applyFont="1" applyFill="1" applyBorder="1" applyAlignment="1">
      <alignment horizontal="center"/>
    </xf>
    <xf numFmtId="43" fontId="154" fillId="11" borderId="12" xfId="37" applyFont="1" applyFill="1" applyBorder="1" applyAlignment="1">
      <alignment horizontal="center"/>
    </xf>
    <xf numFmtId="43" fontId="155" fillId="35" borderId="12" xfId="37" applyFont="1" applyFill="1" applyBorder="1" applyAlignment="1">
      <alignment horizontal="center"/>
    </xf>
    <xf numFmtId="43" fontId="154" fillId="0" borderId="16" xfId="10" applyNumberFormat="1" applyFont="1" applyBorder="1" applyAlignment="1">
      <alignment horizontal="center"/>
    </xf>
    <xf numFmtId="43" fontId="155" fillId="11" borderId="16" xfId="37" applyFont="1" applyFill="1" applyBorder="1" applyAlignment="1">
      <alignment horizontal="center"/>
    </xf>
    <xf numFmtId="43" fontId="155" fillId="0" borderId="16" xfId="37" applyFont="1" applyFill="1" applyBorder="1" applyAlignment="1">
      <alignment horizontal="center"/>
    </xf>
    <xf numFmtId="43" fontId="148" fillId="0" borderId="34" xfId="37" applyFont="1" applyFill="1" applyBorder="1" applyAlignment="1">
      <alignment horizontal="center"/>
    </xf>
    <xf numFmtId="0" fontId="148" fillId="0" borderId="52" xfId="10" applyFont="1" applyBorder="1" applyAlignment="1">
      <alignment horizontal="center"/>
    </xf>
    <xf numFmtId="43" fontId="155" fillId="0" borderId="52" xfId="37" applyFont="1" applyFill="1" applyBorder="1" applyAlignment="1">
      <alignment horizontal="center"/>
    </xf>
    <xf numFmtId="43" fontId="148" fillId="0" borderId="87" xfId="37" applyFont="1" applyFill="1" applyBorder="1" applyAlignment="1">
      <alignment horizontal="center"/>
    </xf>
    <xf numFmtId="43" fontId="155" fillId="0" borderId="87" xfId="37" applyFont="1" applyFill="1" applyBorder="1" applyAlignment="1">
      <alignment horizontal="center"/>
    </xf>
    <xf numFmtId="43" fontId="148" fillId="0" borderId="0" xfId="37" applyFont="1" applyFill="1" applyAlignment="1">
      <alignment horizontal="center"/>
    </xf>
    <xf numFmtId="43" fontId="155" fillId="0" borderId="0" xfId="37" applyFont="1" applyAlignment="1">
      <alignment horizontal="center"/>
    </xf>
    <xf numFmtId="43" fontId="148" fillId="0" borderId="0" xfId="37" applyFont="1" applyAlignment="1">
      <alignment horizontal="center"/>
    </xf>
    <xf numFmtId="43" fontId="154" fillId="0" borderId="89" xfId="37" applyFont="1" applyFill="1" applyBorder="1" applyAlignment="1">
      <alignment horizontal="center"/>
    </xf>
    <xf numFmtId="43" fontId="154" fillId="0" borderId="34" xfId="10" applyNumberFormat="1" applyFont="1" applyFill="1" applyBorder="1" applyAlignment="1">
      <alignment horizontal="center"/>
    </xf>
    <xf numFmtId="43" fontId="154" fillId="0" borderId="16" xfId="10" applyNumberFormat="1" applyFont="1" applyFill="1" applyBorder="1" applyAlignment="1">
      <alignment horizontal="center"/>
    </xf>
    <xf numFmtId="43" fontId="149" fillId="8" borderId="0" xfId="302" applyFont="1" applyFill="1" applyAlignment="1">
      <alignment horizontal="center"/>
    </xf>
    <xf numFmtId="43" fontId="145" fillId="8" borderId="3" xfId="302" applyFont="1" applyFill="1" applyBorder="1" applyAlignment="1" applyProtection="1">
      <alignment horizontal="center" vertical="center" wrapText="1"/>
    </xf>
    <xf numFmtId="0" fontId="149" fillId="8" borderId="3" xfId="27" applyFont="1" applyFill="1" applyBorder="1" applyAlignment="1">
      <alignment horizontal="center"/>
    </xf>
    <xf numFmtId="0" fontId="149" fillId="8" borderId="3" xfId="27" applyFont="1" applyFill="1" applyBorder="1" applyAlignment="1">
      <alignment wrapText="1"/>
    </xf>
    <xf numFmtId="49" fontId="153" fillId="8" borderId="3" xfId="47" applyNumberFormat="1" applyFont="1" applyFill="1" applyBorder="1" applyAlignment="1">
      <alignment horizontal="center"/>
    </xf>
    <xf numFmtId="43" fontId="149" fillId="8" borderId="3" xfId="37" applyFont="1" applyFill="1" applyBorder="1" applyAlignment="1"/>
    <xf numFmtId="43" fontId="149" fillId="8" borderId="3" xfId="302" applyFont="1" applyFill="1" applyBorder="1" applyAlignment="1">
      <alignment horizontal="center"/>
    </xf>
    <xf numFmtId="0" fontId="148" fillId="8" borderId="69" xfId="27" applyFont="1" applyFill="1" applyBorder="1" applyAlignment="1">
      <alignment horizontal="center"/>
    </xf>
    <xf numFmtId="0" fontId="154" fillId="8" borderId="69" xfId="27" applyFont="1" applyFill="1" applyBorder="1" applyAlignment="1">
      <alignment horizontal="left" wrapText="1"/>
    </xf>
    <xf numFmtId="49" fontId="154" fillId="8" borderId="69" xfId="47" applyNumberFormat="1" applyFont="1" applyFill="1" applyBorder="1" applyAlignment="1">
      <alignment horizontal="center"/>
    </xf>
    <xf numFmtId="43" fontId="154" fillId="8" borderId="69" xfId="37" applyFont="1" applyFill="1" applyBorder="1" applyAlignment="1"/>
    <xf numFmtId="43" fontId="148" fillId="8" borderId="69" xfId="37" applyFont="1" applyFill="1" applyBorder="1" applyAlignment="1"/>
    <xf numFmtId="43" fontId="148" fillId="8" borderId="69" xfId="302" applyFont="1" applyFill="1" applyBorder="1" applyAlignment="1">
      <alignment horizontal="center"/>
    </xf>
    <xf numFmtId="43" fontId="148" fillId="8" borderId="69" xfId="37" applyFont="1" applyFill="1" applyBorder="1" applyAlignment="1">
      <alignment horizontal="center"/>
    </xf>
    <xf numFmtId="43" fontId="154" fillId="8" borderId="69" xfId="37" applyFont="1" applyFill="1" applyBorder="1" applyAlignment="1">
      <alignment horizontal="center"/>
    </xf>
    <xf numFmtId="43" fontId="154" fillId="8" borderId="16" xfId="302" applyFont="1" applyFill="1" applyBorder="1" applyAlignment="1">
      <alignment horizontal="center"/>
    </xf>
    <xf numFmtId="43" fontId="154" fillId="8" borderId="16" xfId="302" applyFont="1" applyFill="1" applyBorder="1" applyAlignment="1">
      <alignment horizontal="center" vertical="top"/>
    </xf>
    <xf numFmtId="43" fontId="148" fillId="8" borderId="16" xfId="302" applyFont="1" applyFill="1" applyBorder="1" applyAlignment="1">
      <alignment horizontal="center" vertical="top"/>
    </xf>
    <xf numFmtId="0" fontId="154" fillId="8" borderId="16" xfId="27" applyFont="1" applyFill="1" applyBorder="1" applyAlignment="1">
      <alignment vertical="top" wrapText="1"/>
    </xf>
    <xf numFmtId="49" fontId="154" fillId="0" borderId="16" xfId="47" applyNumberFormat="1" applyFont="1" applyBorder="1" applyAlignment="1">
      <alignment horizontal="center" vertical="top"/>
    </xf>
    <xf numFmtId="43" fontId="148" fillId="8" borderId="16" xfId="302" applyFont="1" applyFill="1" applyBorder="1" applyAlignment="1">
      <alignment horizontal="center"/>
    </xf>
    <xf numFmtId="43" fontId="148" fillId="8" borderId="12" xfId="302" applyFont="1" applyFill="1" applyBorder="1" applyAlignment="1">
      <alignment horizontal="center" vertical="top"/>
    </xf>
    <xf numFmtId="43" fontId="148" fillId="8" borderId="12" xfId="302" applyFont="1" applyFill="1" applyBorder="1" applyAlignment="1">
      <alignment horizontal="center"/>
    </xf>
    <xf numFmtId="0" fontId="154" fillId="8" borderId="52" xfId="27" quotePrefix="1" applyFont="1" applyFill="1" applyBorder="1" applyAlignment="1">
      <alignment wrapText="1"/>
    </xf>
    <xf numFmtId="49" fontId="154" fillId="0" borderId="52" xfId="47" applyNumberFormat="1" applyFont="1" applyBorder="1" applyAlignment="1">
      <alignment horizontal="center"/>
    </xf>
    <xf numFmtId="43" fontId="154" fillId="8" borderId="52" xfId="37" applyFont="1" applyFill="1" applyBorder="1" applyAlignment="1"/>
    <xf numFmtId="43" fontId="148" fillId="8" borderId="52" xfId="37" applyFont="1" applyFill="1" applyBorder="1" applyAlignment="1">
      <alignment horizontal="center"/>
    </xf>
    <xf numFmtId="43" fontId="148" fillId="8" borderId="52" xfId="302" applyFont="1" applyFill="1" applyBorder="1" applyAlignment="1">
      <alignment horizontal="center"/>
    </xf>
    <xf numFmtId="43" fontId="148" fillId="8" borderId="52" xfId="37" applyFont="1" applyFill="1" applyBorder="1" applyAlignment="1"/>
    <xf numFmtId="49" fontId="156" fillId="8" borderId="0" xfId="27" applyNumberFormat="1" applyFont="1" applyFill="1"/>
    <xf numFmtId="165" fontId="214" fillId="8" borderId="0" xfId="185" applyFont="1" applyFill="1" applyBorder="1" applyAlignment="1"/>
    <xf numFmtId="43" fontId="148" fillId="8" borderId="0" xfId="302" applyFont="1" applyFill="1" applyBorder="1" applyAlignment="1">
      <alignment horizontal="center" wrapText="1"/>
    </xf>
    <xf numFmtId="0" fontId="224" fillId="8" borderId="0" xfId="27" applyFont="1" applyFill="1" applyAlignment="1">
      <alignment vertical="center"/>
    </xf>
    <xf numFmtId="165" fontId="209" fillId="8" borderId="0" xfId="185" applyFont="1" applyFill="1" applyBorder="1" applyAlignment="1" applyProtection="1">
      <alignment vertical="center"/>
    </xf>
    <xf numFmtId="0" fontId="209" fillId="8" borderId="0" xfId="27" applyFont="1" applyFill="1" applyAlignment="1">
      <alignment vertical="center"/>
    </xf>
    <xf numFmtId="43" fontId="209" fillId="8" borderId="0" xfId="192" applyFont="1" applyFill="1" applyBorder="1" applyAlignment="1" applyProtection="1">
      <alignment vertical="center"/>
    </xf>
    <xf numFmtId="0" fontId="150" fillId="8" borderId="129" xfId="27" applyFont="1" applyFill="1" applyBorder="1" applyAlignment="1">
      <alignment horizontal="left" vertical="top" wrapText="1"/>
    </xf>
    <xf numFmtId="0" fontId="150" fillId="8" borderId="16" xfId="27" applyFont="1" applyFill="1" applyBorder="1" applyAlignment="1">
      <alignment horizontal="left" vertical="top" wrapText="1"/>
    </xf>
    <xf numFmtId="0" fontId="227" fillId="8" borderId="12" xfId="27" applyFont="1" applyFill="1" applyBorder="1" applyAlignment="1">
      <alignment horizontal="center" vertical="top"/>
    </xf>
    <xf numFmtId="0" fontId="150" fillId="8" borderId="12" xfId="27" applyFont="1" applyFill="1" applyBorder="1" applyAlignment="1">
      <alignment horizontal="left" vertical="top" wrapText="1"/>
    </xf>
    <xf numFmtId="15" fontId="227" fillId="8" borderId="12" xfId="27" applyNumberFormat="1" applyFont="1" applyFill="1" applyBorder="1" applyAlignment="1">
      <alignment horizontal="center" vertical="top" wrapText="1"/>
    </xf>
    <xf numFmtId="43" fontId="227" fillId="8" borderId="12" xfId="37" applyFont="1" applyFill="1" applyBorder="1" applyAlignment="1" applyProtection="1">
      <alignment horizontal="center" vertical="top"/>
    </xf>
    <xf numFmtId="43" fontId="150" fillId="8" borderId="12" xfId="37" applyFont="1" applyFill="1" applyBorder="1" applyAlignment="1" applyProtection="1">
      <alignment horizontal="center" vertical="top"/>
    </xf>
    <xf numFmtId="43" fontId="211" fillId="8" borderId="0" xfId="27" applyNumberFormat="1" applyFont="1" applyFill="1"/>
    <xf numFmtId="0" fontId="89" fillId="0" borderId="3" xfId="10" applyFont="1" applyBorder="1" applyAlignment="1">
      <alignment horizontal="left" vertical="top"/>
    </xf>
    <xf numFmtId="0" fontId="89" fillId="0" borderId="3" xfId="10" applyFont="1" applyBorder="1" applyAlignment="1">
      <alignment horizontal="center" vertical="center"/>
    </xf>
    <xf numFmtId="0" fontId="89" fillId="0" borderId="3" xfId="33" applyFont="1" applyBorder="1" applyAlignment="1">
      <alignment horizontal="left"/>
    </xf>
    <xf numFmtId="0" fontId="89" fillId="0" borderId="3" xfId="33" applyFont="1" applyBorder="1" applyAlignment="1">
      <alignment horizontal="center"/>
    </xf>
    <xf numFmtId="165" fontId="89" fillId="0" borderId="3" xfId="3" applyFont="1" applyBorder="1" applyAlignment="1">
      <alignment horizontal="center"/>
    </xf>
    <xf numFmtId="43" fontId="89" fillId="0" borderId="3" xfId="37" applyFont="1" applyFill="1" applyBorder="1" applyAlignment="1">
      <alignment horizontal="right"/>
    </xf>
    <xf numFmtId="43" fontId="89" fillId="0" borderId="3" xfId="37" applyFont="1" applyFill="1" applyBorder="1"/>
    <xf numFmtId="165" fontId="89" fillId="0" borderId="3" xfId="3" applyFont="1" applyFill="1" applyBorder="1" applyAlignment="1">
      <alignment horizontal="center"/>
    </xf>
    <xf numFmtId="2" fontId="89" fillId="0" borderId="3" xfId="33" applyNumberFormat="1" applyFont="1" applyBorder="1" applyAlignment="1">
      <alignment horizontal="right"/>
    </xf>
    <xf numFmtId="0" fontId="179" fillId="0" borderId="0" xfId="33" applyFont="1"/>
    <xf numFmtId="0" fontId="179" fillId="0" borderId="0" xfId="33" applyFont="1" applyAlignment="1">
      <alignment horizontal="center"/>
    </xf>
    <xf numFmtId="165" fontId="179" fillId="0" borderId="0" xfId="3" applyFont="1"/>
    <xf numFmtId="0" fontId="147" fillId="0" borderId="3" xfId="33" applyFont="1" applyBorder="1" applyAlignment="1">
      <alignment horizontal="center" vertical="center"/>
    </xf>
    <xf numFmtId="0" fontId="236" fillId="8" borderId="3" xfId="125" applyFont="1" applyFill="1" applyBorder="1" applyAlignment="1">
      <alignment horizontal="left" vertical="center"/>
    </xf>
    <xf numFmtId="0" fontId="236" fillId="8" borderId="3" xfId="125" applyFont="1" applyFill="1" applyBorder="1" applyAlignment="1">
      <alignment horizontal="center" vertical="center"/>
    </xf>
    <xf numFmtId="43" fontId="236" fillId="0" borderId="3" xfId="37" applyFont="1" applyFill="1" applyBorder="1" applyAlignment="1">
      <alignment vertical="center"/>
    </xf>
    <xf numFmtId="43" fontId="236" fillId="0" borderId="3" xfId="37" applyFont="1" applyBorder="1"/>
    <xf numFmtId="0" fontId="236" fillId="0" borderId="3" xfId="33" applyFont="1" applyBorder="1"/>
    <xf numFmtId="0" fontId="236" fillId="0" borderId="3" xfId="33" applyFont="1" applyBorder="1" applyAlignment="1">
      <alignment horizontal="center"/>
    </xf>
    <xf numFmtId="165" fontId="236" fillId="0" borderId="3" xfId="3" applyFont="1" applyBorder="1"/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567\&#3612;&#3621;&#3585;&#3634;&#3619;&#3651;&#3594;&#3657;&#3592;&#3656;&#3634;&#3618;&#3591;&#3610;&#3611;&#3619;&#3632;&#3617;&#3634;&#3603;%202567\&#3585;&#3633;&#3609;&#3618;&#3634;&#3618;&#3609;%2067\15%20&#3585;.&#3618;.%2067\3.%20&#3619;&#3634;&#3618;&#3591;&#3634;&#3609;&#3619;&#3634;&#3618;&#3592;&#3656;&#3634;&#3618;&#3621;&#3591;&#3607;&#3640;&#3609;%2015%20&#3585;.&#3618;.%2067.xlsx" TargetMode="External"/><Relationship Id="rId1" Type="http://schemas.openxmlformats.org/officeDocument/2006/relationships/externalLinkPath" Target="/2567/&#3612;&#3621;&#3585;&#3634;&#3619;&#3651;&#3594;&#3657;&#3592;&#3656;&#3634;&#3618;&#3591;&#3610;&#3611;&#3619;&#3632;&#3617;&#3634;&#3603;%202567/&#3585;&#3633;&#3609;&#3618;&#3634;&#3618;&#3609;%2067/15%20&#3585;.&#3618;.%2067/3.%20&#3619;&#3634;&#3618;&#3591;&#3634;&#3609;&#3619;&#3634;&#3618;&#3592;&#3656;&#3634;&#3618;&#3621;&#3591;&#3607;&#3640;&#3609;%2015%20&#3585;.&#3618;.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cdd.go.th/&#3592;&#3605;&#3640;&#3614;&#3619;/&#3591;&#3634;&#3609;%2062/1.%20&#3648;&#3610;&#3636;&#3585;&#3592;&#3656;&#3634;&#3618;&#3591;&#3610;&#3611;&#3619;&#3632;&#3617;&#3634;&#3603;&#3611;&#3637;%202562/8.%20&#3614;.&#3588;.%2062/15%20&#3614;.&#3588;.%2062/&#3648;&#3610;&#3636;&#3585;&#3592;&#3656;&#3634;&#3618;&#3626;&#3656;&#3591;&#3619;&#362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1;&#3637;%2065\&#3612;&#3621;&#3585;&#3634;&#3619;&#3651;&#3594;&#3657;&#3592;&#3656;&#3634;&#3618;&#3591;&#3610;&#3611;&#3619;&#3632;&#3617;&#3634;&#3603;%20&#3611;&#3637;%20&#3591;&#3610;&#3611;&#3619;&#3632;&#3617;&#3634;&#3603;%202565\&#3585;&#3633;&#3609;&#3618;&#3634;&#3618;&#3609;%2065\&#3626;&#3636;&#3657;&#3609;&#3591;&#3623;&#3604;%2030%20&#3585;&#3633;&#3609;&#3618;&#3634;&#3618;&#3609;%2065\3.&#3619;&#3634;&#3618;&#3591;&#3634;&#3609;&#3591;&#3610;&#3621;&#3591;&#3607;&#3640;&#3609;%20%2030%20&#3585;.&#3618;%20.6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6%20&#3585;&#3618;%2064\4%20&#3591;&#3610;&#3621;&#3591;&#3607;&#3640;&#3609;%2015%20%20&#3585;.&#3618;.64.xlsx%20%20&#3621;&#3656;&#3634;&#3626;&#3640;&#3604;.xlsx%20%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10;&#3636;&#3585;&#3592;&#3656;&#3634;&#3618;&#3619;&#3634;&#3618;&#3627;&#3609;&#3656;&#3623;&#361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cdd.go.th/&#3585;&#3634;&#3619;&#3619;&#3634;&#3618;&#3591;&#3634;&#3609;&#3612;&#3621;&#3649;&#3621;&#3632;&#3591;&#3634;&#3609;&#3611;&#3619;&#3632;&#3594;&#3640;&#3617;&#3611;&#3637;%202560/&#3612;&#3621;&#3585;&#3634;&#3619;&#3648;&#3610;&#3636;&#3585;&#3592;&#3656;&#3634;&#3618;&#3611;&#3619;&#3632;&#3592;&#3635;&#3623;&#3633;&#3609;&#3611;&#3637;60/&#3648;&#3604;&#3639;&#3629;&#3609;%20&#3585;.&#3588;.60/&#3612;&#3621;&#3648;&#3610;&#3636;&#3585;&#3592;&#3656;&#3634;&#3618;&#3623;&#3633;&#3609;%2031.7.60%20-%20Copy/&#3616;&#3634;&#3614;&#3619;&#3623;&#3617;31.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567\&#3612;&#3621;&#3585;&#3634;&#3619;&#3651;&#3594;&#3657;&#3592;&#3656;&#3634;&#3618;&#3591;&#3610;&#3611;&#3619;&#3632;&#3617;&#3634;&#3603;%202567\&#3585;&#3633;&#3609;&#3618;&#3634;&#3618;&#3609;%2067\15%20&#3585;.&#3618;.%2067\1.%20&#3612;&#3621;&#3585;&#3634;&#3619;&#3651;&#3594;&#3657;&#3592;&#3656;&#3634;&#3618;&#3591;&#3610;&#3611;&#3619;&#3632;&#3617;&#3634;&#3603;%20&#3603;%20&#3623;&#3633;&#3609;&#3607;&#3637;&#3656;%2015%20&#3585;.&#3618;.%202567.xlsx" TargetMode="External"/><Relationship Id="rId1" Type="http://schemas.openxmlformats.org/officeDocument/2006/relationships/externalLinkPath" Target="/2567/&#3612;&#3621;&#3585;&#3634;&#3619;&#3651;&#3594;&#3657;&#3592;&#3656;&#3634;&#3618;&#3591;&#3610;&#3611;&#3619;&#3632;&#3617;&#3634;&#3603;%202567/&#3585;&#3633;&#3609;&#3618;&#3634;&#3618;&#3609;%2067/15%20&#3585;.&#3618;.%2067/1.%20&#3612;&#3621;&#3585;&#3634;&#3619;&#3651;&#3594;&#3657;&#3592;&#3656;&#3634;&#3618;&#3591;&#3610;&#3611;&#3619;&#3632;&#3617;&#3634;&#3603;%20&#3603;%20&#3623;&#3633;&#3609;&#3607;&#3637;&#3656;%2015%20&#3585;.&#3618;.%202567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567\&#3612;&#3621;&#3585;&#3634;&#3619;&#3651;&#3594;&#3657;&#3592;&#3656;&#3634;&#3618;&#3591;&#3610;&#3611;&#3619;&#3632;&#3617;&#3634;&#3603;%202567\&#3585;&#3633;&#3609;&#3618;&#3634;&#3618;&#3609;%2067\15%20&#3585;.&#3618;.%2067\2.%20&#3612;&#3621;&#3585;&#3634;&#3619;&#3648;&#3610;&#3636;&#3585;&#3592;&#3656;&#3634;&#3618;&#3619;&#3634;&#3618;&#3627;&#3609;&#3656;&#3623;&#3618;%20.xlsx%2015%20&#3585;.&#3618;.%202567.xlsx" TargetMode="External"/><Relationship Id="rId1" Type="http://schemas.openxmlformats.org/officeDocument/2006/relationships/externalLinkPath" Target="/2567/&#3612;&#3621;&#3585;&#3634;&#3619;&#3651;&#3594;&#3657;&#3592;&#3656;&#3634;&#3618;&#3591;&#3610;&#3611;&#3619;&#3632;&#3617;&#3634;&#3603;%202567/&#3585;&#3633;&#3609;&#3618;&#3634;&#3618;&#3609;%2067/15%20&#3585;.&#3618;.%2067/2.%20&#3612;&#3621;&#3585;&#3634;&#3619;&#3648;&#3610;&#3636;&#3585;&#3592;&#3656;&#3634;&#3618;&#3619;&#3634;&#3618;&#3627;&#3609;&#3656;&#3623;&#3618;%20.xlsx%2015%20&#3585;.&#3618;.%20256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92;&#3605;&#3640;&#3614;&#3619;\&#3591;&#3634;&#3609;%2063\1.%20&#3648;&#3610;&#3636;&#3585;&#3592;&#3656;&#3634;&#3618;&#3591;&#3610;&#3611;&#3619;&#3632;&#3617;&#3634;&#3603;&#3611;&#3637;%202563\12.%20&#3585;.&#3618;.%2063\30%20&#3585;.&#3618;.%2063\2.%20&#3648;&#3610;&#3636;&#3585;&#3592;&#3656;&#3634;&#3618;&#3619;&#3634;&#3618;&#3627;&#3609;&#3656;&#3623;&#3618;%20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FMA46"/>
      <sheetName val="47(จปฐ)"/>
      <sheetName val="ลงทุน-ศพช  (รายการ) (2)"/>
      <sheetName val="งบลงทุน (2)"/>
      <sheetName val="งบลงทุน (สกส)"/>
      <sheetName val="Sheet2"/>
      <sheetName val="ลงทุน-มศพพ ()"/>
      <sheetName val="NFMA47 (จปฐ)"/>
      <sheetName val="เรียงส่วนกลาง"/>
      <sheetName val="เรียงส่วนกลาง (เสนอ)"/>
      <sheetName val="เรียงจังหวัด"/>
      <sheetName val="เรียงจังหวัด (ลำดับ)"/>
      <sheetName val="เรียงศูนย์ศึกษาฯ"/>
      <sheetName val="เรียงศูนย์ศึกษาฯ (เสนอ)"/>
      <sheetName val="สรุปงบลงทุน  (2)"/>
      <sheetName val="สรุปงบลงทุน  (เสนอ)"/>
      <sheetName val="ส่วนกลาง"/>
      <sheetName val="สพจ."/>
      <sheetName val="NFMA46 "/>
      <sheetName val="NFMA47"/>
      <sheetName val="งบลงทุน"/>
      <sheetName val="ลงทุน-ศพช  (รายการ)"/>
      <sheetName val="ลงทุน-ส่วนกลาง  (รายการ) (2)"/>
      <sheetName val="ลงทุน-ส่วนกลาง "/>
      <sheetName val="ลงทุน-ส่วนกลาง  เรีบงลำดับรายก)"/>
      <sheetName val="ลงทุน-ส่วนกลาง  (รายการ)"/>
      <sheetName val="งบลงทุน (จังหวัด)"/>
      <sheetName val="NFMA47 (2)"/>
      <sheetName val="สรุป-จังหวัด (2)"/>
      <sheetName val="สรุป-จังหวัด"/>
      <sheetName val="ลงทุน-ศพช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8">
          <cell r="I18">
            <v>7776033</v>
          </cell>
          <cell r="K18">
            <v>7740141</v>
          </cell>
          <cell r="L18">
            <v>0</v>
          </cell>
        </row>
        <row r="19">
          <cell r="I19">
            <v>739800</v>
          </cell>
          <cell r="K19">
            <v>739800</v>
          </cell>
          <cell r="L19">
            <v>0</v>
          </cell>
        </row>
        <row r="20">
          <cell r="I20">
            <v>739800</v>
          </cell>
          <cell r="K20">
            <v>739800</v>
          </cell>
          <cell r="L20">
            <v>0</v>
          </cell>
        </row>
        <row r="21">
          <cell r="I21">
            <v>739800</v>
          </cell>
          <cell r="K21">
            <v>739800</v>
          </cell>
          <cell r="L21">
            <v>0</v>
          </cell>
        </row>
        <row r="22">
          <cell r="I22">
            <v>739800</v>
          </cell>
          <cell r="K22">
            <v>739800</v>
          </cell>
          <cell r="L22">
            <v>0</v>
          </cell>
        </row>
        <row r="23">
          <cell r="I23">
            <v>739800</v>
          </cell>
          <cell r="K23">
            <v>739800</v>
          </cell>
          <cell r="L23">
            <v>0</v>
          </cell>
        </row>
        <row r="24">
          <cell r="I24">
            <v>739800</v>
          </cell>
          <cell r="K24">
            <v>739800</v>
          </cell>
          <cell r="L24">
            <v>0</v>
          </cell>
        </row>
        <row r="25">
          <cell r="I25">
            <v>739800</v>
          </cell>
          <cell r="K25">
            <v>739800</v>
          </cell>
          <cell r="L25">
            <v>0</v>
          </cell>
        </row>
        <row r="26">
          <cell r="I26">
            <v>739800</v>
          </cell>
          <cell r="K26">
            <v>739800</v>
          </cell>
          <cell r="L26">
            <v>0</v>
          </cell>
        </row>
        <row r="27">
          <cell r="I27">
            <v>739800</v>
          </cell>
          <cell r="K27">
            <v>739800</v>
          </cell>
          <cell r="L27">
            <v>0</v>
          </cell>
        </row>
        <row r="28">
          <cell r="I28">
            <v>739800</v>
          </cell>
          <cell r="K28">
            <v>739800</v>
          </cell>
          <cell r="L28">
            <v>0</v>
          </cell>
        </row>
        <row r="29">
          <cell r="I29">
            <v>739800</v>
          </cell>
          <cell r="K29">
            <v>739800</v>
          </cell>
          <cell r="L29">
            <v>0</v>
          </cell>
        </row>
        <row r="30">
          <cell r="I30">
            <v>739800</v>
          </cell>
          <cell r="K30">
            <v>739800</v>
          </cell>
          <cell r="L30">
            <v>0</v>
          </cell>
        </row>
        <row r="31">
          <cell r="I31">
            <v>739800</v>
          </cell>
          <cell r="K31">
            <v>739800</v>
          </cell>
          <cell r="L31">
            <v>0</v>
          </cell>
        </row>
        <row r="32">
          <cell r="I32">
            <v>739800</v>
          </cell>
          <cell r="K32">
            <v>739800</v>
          </cell>
          <cell r="L32">
            <v>0</v>
          </cell>
        </row>
        <row r="33">
          <cell r="I33">
            <v>739800</v>
          </cell>
          <cell r="K33">
            <v>739800</v>
          </cell>
          <cell r="L33">
            <v>0</v>
          </cell>
        </row>
        <row r="34">
          <cell r="I34">
            <v>739800</v>
          </cell>
          <cell r="K34">
            <v>739800</v>
          </cell>
          <cell r="L34">
            <v>0</v>
          </cell>
        </row>
        <row r="35">
          <cell r="I35">
            <v>739800</v>
          </cell>
          <cell r="K35">
            <v>739800</v>
          </cell>
          <cell r="L35">
            <v>0</v>
          </cell>
        </row>
        <row r="36">
          <cell r="I36">
            <v>739800</v>
          </cell>
          <cell r="K36">
            <v>739800</v>
          </cell>
          <cell r="L36">
            <v>0</v>
          </cell>
        </row>
        <row r="37">
          <cell r="I37">
            <v>739800</v>
          </cell>
          <cell r="K37">
            <v>739800</v>
          </cell>
          <cell r="L37">
            <v>0</v>
          </cell>
        </row>
        <row r="38">
          <cell r="I38">
            <v>739800</v>
          </cell>
          <cell r="K38">
            <v>739800</v>
          </cell>
          <cell r="L38">
            <v>0</v>
          </cell>
        </row>
        <row r="39">
          <cell r="I39">
            <v>739800</v>
          </cell>
          <cell r="K39">
            <v>739800</v>
          </cell>
          <cell r="L39">
            <v>0</v>
          </cell>
        </row>
        <row r="40">
          <cell r="I40">
            <v>739800</v>
          </cell>
          <cell r="K40">
            <v>739800</v>
          </cell>
          <cell r="L40">
            <v>0</v>
          </cell>
        </row>
        <row r="41">
          <cell r="I41">
            <v>739800</v>
          </cell>
          <cell r="K41">
            <v>739800</v>
          </cell>
          <cell r="L41">
            <v>0</v>
          </cell>
        </row>
        <row r="42">
          <cell r="I42">
            <v>739800</v>
          </cell>
          <cell r="K42">
            <v>739800</v>
          </cell>
          <cell r="L42">
            <v>0</v>
          </cell>
        </row>
        <row r="43">
          <cell r="I43">
            <v>739800</v>
          </cell>
          <cell r="K43">
            <v>739800</v>
          </cell>
          <cell r="L43">
            <v>0</v>
          </cell>
        </row>
        <row r="44">
          <cell r="I44">
            <v>1479600</v>
          </cell>
          <cell r="K44">
            <v>1479600</v>
          </cell>
          <cell r="L44">
            <v>0</v>
          </cell>
        </row>
        <row r="45">
          <cell r="I45">
            <v>739800</v>
          </cell>
          <cell r="K45">
            <v>739800</v>
          </cell>
          <cell r="L45">
            <v>0</v>
          </cell>
        </row>
        <row r="46">
          <cell r="I46">
            <v>739800</v>
          </cell>
          <cell r="K46">
            <v>739800</v>
          </cell>
          <cell r="L46">
            <v>0</v>
          </cell>
        </row>
        <row r="47">
          <cell r="I47">
            <v>739800</v>
          </cell>
          <cell r="K47">
            <v>739800</v>
          </cell>
          <cell r="L47">
            <v>0</v>
          </cell>
        </row>
        <row r="48">
          <cell r="I48">
            <v>739800</v>
          </cell>
          <cell r="K48">
            <v>739800</v>
          </cell>
          <cell r="L48">
            <v>0</v>
          </cell>
        </row>
        <row r="49">
          <cell r="I49">
            <v>739800</v>
          </cell>
          <cell r="K49">
            <v>739800</v>
          </cell>
          <cell r="L49">
            <v>0</v>
          </cell>
        </row>
        <row r="50">
          <cell r="I50">
            <v>739800</v>
          </cell>
          <cell r="K50">
            <v>739800</v>
          </cell>
          <cell r="L50">
            <v>0</v>
          </cell>
        </row>
        <row r="51">
          <cell r="I51">
            <v>739800</v>
          </cell>
          <cell r="K51">
            <v>739800</v>
          </cell>
          <cell r="L51">
            <v>0</v>
          </cell>
        </row>
        <row r="52">
          <cell r="I52">
            <v>739800</v>
          </cell>
          <cell r="K52">
            <v>739800</v>
          </cell>
          <cell r="L52">
            <v>0</v>
          </cell>
        </row>
        <row r="53">
          <cell r="I53">
            <v>739800</v>
          </cell>
          <cell r="K53">
            <v>739800</v>
          </cell>
          <cell r="L53">
            <v>0</v>
          </cell>
        </row>
        <row r="54">
          <cell r="I54">
            <v>739800</v>
          </cell>
          <cell r="K54">
            <v>739800</v>
          </cell>
          <cell r="L54">
            <v>0</v>
          </cell>
        </row>
        <row r="55">
          <cell r="I55">
            <v>739800</v>
          </cell>
          <cell r="K55">
            <v>739800</v>
          </cell>
          <cell r="L55">
            <v>0</v>
          </cell>
        </row>
        <row r="56">
          <cell r="I56">
            <v>739800</v>
          </cell>
          <cell r="K56">
            <v>739800</v>
          </cell>
          <cell r="L56">
            <v>0</v>
          </cell>
        </row>
        <row r="57">
          <cell r="I57">
            <v>739800</v>
          </cell>
          <cell r="K57">
            <v>739800</v>
          </cell>
          <cell r="L57">
            <v>0</v>
          </cell>
        </row>
        <row r="58">
          <cell r="I58">
            <v>739800</v>
          </cell>
          <cell r="K58">
            <v>739800</v>
          </cell>
          <cell r="L58">
            <v>0</v>
          </cell>
        </row>
        <row r="59">
          <cell r="I59">
            <v>739800</v>
          </cell>
          <cell r="K59">
            <v>739800</v>
          </cell>
          <cell r="L59">
            <v>0</v>
          </cell>
        </row>
        <row r="60">
          <cell r="I60">
            <v>739800</v>
          </cell>
          <cell r="K60">
            <v>739800</v>
          </cell>
          <cell r="L60">
            <v>0</v>
          </cell>
        </row>
        <row r="61">
          <cell r="I61">
            <v>739800</v>
          </cell>
          <cell r="K61">
            <v>739800</v>
          </cell>
          <cell r="L61">
            <v>0</v>
          </cell>
        </row>
        <row r="62">
          <cell r="I62">
            <v>739800</v>
          </cell>
          <cell r="K62">
            <v>739800</v>
          </cell>
          <cell r="L62">
            <v>0</v>
          </cell>
        </row>
        <row r="63">
          <cell r="I63">
            <v>739800</v>
          </cell>
          <cell r="K63">
            <v>739800</v>
          </cell>
          <cell r="L63">
            <v>0</v>
          </cell>
        </row>
        <row r="64">
          <cell r="I64">
            <v>739800</v>
          </cell>
          <cell r="K64">
            <v>739800</v>
          </cell>
          <cell r="L64">
            <v>0</v>
          </cell>
        </row>
        <row r="65">
          <cell r="I65">
            <v>739800</v>
          </cell>
          <cell r="K65">
            <v>739800</v>
          </cell>
          <cell r="L65">
            <v>0</v>
          </cell>
        </row>
        <row r="66">
          <cell r="I66">
            <v>739800</v>
          </cell>
          <cell r="K66">
            <v>739800</v>
          </cell>
          <cell r="L66">
            <v>0</v>
          </cell>
        </row>
        <row r="67">
          <cell r="I67">
            <v>739800</v>
          </cell>
          <cell r="K67">
            <v>739800</v>
          </cell>
          <cell r="L67">
            <v>0</v>
          </cell>
        </row>
        <row r="68">
          <cell r="I68">
            <v>739800</v>
          </cell>
          <cell r="K68">
            <v>739800</v>
          </cell>
          <cell r="L68">
            <v>0</v>
          </cell>
        </row>
        <row r="69">
          <cell r="I69">
            <v>739800</v>
          </cell>
          <cell r="K69">
            <v>739800</v>
          </cell>
          <cell r="L69">
            <v>0</v>
          </cell>
        </row>
        <row r="70">
          <cell r="I70">
            <v>739800</v>
          </cell>
          <cell r="K70">
            <v>739800</v>
          </cell>
          <cell r="L70">
            <v>0</v>
          </cell>
        </row>
        <row r="71">
          <cell r="I71">
            <v>739800</v>
          </cell>
          <cell r="K71">
            <v>739800</v>
          </cell>
          <cell r="L71">
            <v>0</v>
          </cell>
        </row>
        <row r="72">
          <cell r="I72">
            <v>739800</v>
          </cell>
          <cell r="K72">
            <v>739800</v>
          </cell>
          <cell r="L72">
            <v>0</v>
          </cell>
        </row>
        <row r="73">
          <cell r="I73">
            <v>739800</v>
          </cell>
          <cell r="K73">
            <v>739800</v>
          </cell>
          <cell r="L73">
            <v>0</v>
          </cell>
        </row>
        <row r="74">
          <cell r="I74">
            <v>739800</v>
          </cell>
          <cell r="K74">
            <v>739800</v>
          </cell>
          <cell r="L74">
            <v>0</v>
          </cell>
        </row>
        <row r="75">
          <cell r="I75">
            <v>739800</v>
          </cell>
          <cell r="K75">
            <v>739800</v>
          </cell>
          <cell r="L75">
            <v>0</v>
          </cell>
        </row>
        <row r="76">
          <cell r="I76">
            <v>739800</v>
          </cell>
          <cell r="K76">
            <v>739800</v>
          </cell>
          <cell r="L76">
            <v>0</v>
          </cell>
        </row>
        <row r="77">
          <cell r="I77">
            <v>739800</v>
          </cell>
          <cell r="K77">
            <v>739800</v>
          </cell>
          <cell r="L77">
            <v>0</v>
          </cell>
        </row>
        <row r="78">
          <cell r="I78">
            <v>739800</v>
          </cell>
          <cell r="K78">
            <v>739800</v>
          </cell>
          <cell r="L78">
            <v>0</v>
          </cell>
        </row>
        <row r="79">
          <cell r="I79">
            <v>739800</v>
          </cell>
          <cell r="K79">
            <v>739800</v>
          </cell>
          <cell r="L79">
            <v>0</v>
          </cell>
        </row>
        <row r="80">
          <cell r="I80">
            <v>739800</v>
          </cell>
          <cell r="K80">
            <v>739800</v>
          </cell>
          <cell r="L80">
            <v>0</v>
          </cell>
        </row>
        <row r="81">
          <cell r="I81">
            <v>739800</v>
          </cell>
          <cell r="K81">
            <v>739800</v>
          </cell>
          <cell r="L81">
            <v>0</v>
          </cell>
        </row>
        <row r="82">
          <cell r="I82">
            <v>739800</v>
          </cell>
          <cell r="K82">
            <v>739800</v>
          </cell>
          <cell r="L82">
            <v>0</v>
          </cell>
        </row>
        <row r="83">
          <cell r="I83">
            <v>739800</v>
          </cell>
          <cell r="K83">
            <v>739800</v>
          </cell>
          <cell r="L83">
            <v>0</v>
          </cell>
        </row>
        <row r="84">
          <cell r="I84">
            <v>739800</v>
          </cell>
          <cell r="K84">
            <v>739800</v>
          </cell>
          <cell r="L84">
            <v>0</v>
          </cell>
        </row>
        <row r="85">
          <cell r="I85">
            <v>739800</v>
          </cell>
          <cell r="K85">
            <v>739800</v>
          </cell>
          <cell r="L85">
            <v>0</v>
          </cell>
        </row>
        <row r="86">
          <cell r="I86">
            <v>739800</v>
          </cell>
          <cell r="K86">
            <v>739800</v>
          </cell>
          <cell r="L86">
            <v>0</v>
          </cell>
        </row>
        <row r="87">
          <cell r="I87">
            <v>739800</v>
          </cell>
          <cell r="K87">
            <v>739800</v>
          </cell>
          <cell r="L87">
            <v>0</v>
          </cell>
        </row>
        <row r="88">
          <cell r="I88">
            <v>739800</v>
          </cell>
          <cell r="K88">
            <v>739800</v>
          </cell>
          <cell r="L88">
            <v>0</v>
          </cell>
        </row>
        <row r="89">
          <cell r="I89">
            <v>739800</v>
          </cell>
          <cell r="K89">
            <v>739800</v>
          </cell>
          <cell r="L89">
            <v>0</v>
          </cell>
        </row>
        <row r="90">
          <cell r="I90">
            <v>739800</v>
          </cell>
          <cell r="K90">
            <v>739800</v>
          </cell>
          <cell r="L90">
            <v>0</v>
          </cell>
        </row>
        <row r="91">
          <cell r="I91">
            <v>739800</v>
          </cell>
          <cell r="K91">
            <v>739800</v>
          </cell>
          <cell r="L91">
            <v>0</v>
          </cell>
        </row>
        <row r="92">
          <cell r="I92">
            <v>2219400</v>
          </cell>
          <cell r="K92">
            <v>2219400</v>
          </cell>
          <cell r="L92">
            <v>0</v>
          </cell>
        </row>
        <row r="93">
          <cell r="I93">
            <v>739800</v>
          </cell>
          <cell r="K93">
            <v>739800</v>
          </cell>
          <cell r="L93">
            <v>0</v>
          </cell>
        </row>
        <row r="94">
          <cell r="I94">
            <v>739800</v>
          </cell>
          <cell r="K94">
            <v>739800</v>
          </cell>
          <cell r="L94">
            <v>0</v>
          </cell>
        </row>
        <row r="95">
          <cell r="I95">
            <v>739800</v>
          </cell>
          <cell r="K95">
            <v>739800</v>
          </cell>
          <cell r="L95">
            <v>0</v>
          </cell>
        </row>
        <row r="96">
          <cell r="I96">
            <v>739800</v>
          </cell>
          <cell r="K96">
            <v>739800</v>
          </cell>
          <cell r="L96">
            <v>0</v>
          </cell>
        </row>
        <row r="97">
          <cell r="I97">
            <v>739800</v>
          </cell>
          <cell r="K97">
            <v>739800</v>
          </cell>
          <cell r="L97">
            <v>0</v>
          </cell>
        </row>
        <row r="98">
          <cell r="I98">
            <v>739800</v>
          </cell>
          <cell r="K98">
            <v>739800</v>
          </cell>
          <cell r="L98">
            <v>0</v>
          </cell>
        </row>
        <row r="99">
          <cell r="I99">
            <v>739800</v>
          </cell>
          <cell r="K99">
            <v>739800</v>
          </cell>
          <cell r="L99">
            <v>0</v>
          </cell>
        </row>
        <row r="100">
          <cell r="I100">
            <v>739800</v>
          </cell>
          <cell r="K100">
            <v>739800</v>
          </cell>
          <cell r="L100">
            <v>0</v>
          </cell>
        </row>
        <row r="101">
          <cell r="I101">
            <v>739800</v>
          </cell>
          <cell r="K101">
            <v>739800</v>
          </cell>
          <cell r="L101">
            <v>0</v>
          </cell>
        </row>
        <row r="102">
          <cell r="I102">
            <v>739800</v>
          </cell>
          <cell r="K102">
            <v>739800</v>
          </cell>
          <cell r="L102">
            <v>0</v>
          </cell>
        </row>
        <row r="103">
          <cell r="I103">
            <v>739800</v>
          </cell>
          <cell r="K103">
            <v>739800</v>
          </cell>
          <cell r="L103">
            <v>0</v>
          </cell>
        </row>
        <row r="104">
          <cell r="I104">
            <v>739800</v>
          </cell>
          <cell r="K104">
            <v>739800</v>
          </cell>
          <cell r="L104">
            <v>0</v>
          </cell>
        </row>
        <row r="105">
          <cell r="I105">
            <v>739800</v>
          </cell>
          <cell r="K105">
            <v>739800</v>
          </cell>
          <cell r="L105">
            <v>0</v>
          </cell>
        </row>
        <row r="106">
          <cell r="I106">
            <v>739800</v>
          </cell>
          <cell r="K106">
            <v>739800</v>
          </cell>
          <cell r="L106">
            <v>0</v>
          </cell>
        </row>
        <row r="107">
          <cell r="I107">
            <v>739800</v>
          </cell>
          <cell r="K107">
            <v>739800</v>
          </cell>
          <cell r="L107">
            <v>0</v>
          </cell>
        </row>
        <row r="108">
          <cell r="I108">
            <v>739800</v>
          </cell>
          <cell r="K108">
            <v>739800</v>
          </cell>
          <cell r="L108">
            <v>0</v>
          </cell>
        </row>
        <row r="109">
          <cell r="I109">
            <v>739800</v>
          </cell>
          <cell r="K109">
            <v>739800</v>
          </cell>
          <cell r="L109">
            <v>0</v>
          </cell>
        </row>
        <row r="110">
          <cell r="I110">
            <v>739800</v>
          </cell>
          <cell r="K110">
            <v>739800</v>
          </cell>
          <cell r="L110">
            <v>0</v>
          </cell>
        </row>
        <row r="111">
          <cell r="I111">
            <v>739800</v>
          </cell>
          <cell r="K111">
            <v>739800</v>
          </cell>
          <cell r="L111">
            <v>0</v>
          </cell>
        </row>
        <row r="112">
          <cell r="I112">
            <v>739800</v>
          </cell>
          <cell r="K112">
            <v>739800</v>
          </cell>
          <cell r="L112">
            <v>0</v>
          </cell>
        </row>
        <row r="113">
          <cell r="I113">
            <v>739800</v>
          </cell>
          <cell r="K113">
            <v>739800</v>
          </cell>
          <cell r="L113">
            <v>0</v>
          </cell>
        </row>
        <row r="114">
          <cell r="I114">
            <v>739800</v>
          </cell>
          <cell r="K114">
            <v>739800</v>
          </cell>
          <cell r="L114">
            <v>0</v>
          </cell>
        </row>
        <row r="115">
          <cell r="I115">
            <v>739800</v>
          </cell>
          <cell r="K115">
            <v>739800</v>
          </cell>
          <cell r="L115">
            <v>0</v>
          </cell>
        </row>
        <row r="116">
          <cell r="I116">
            <v>739800</v>
          </cell>
          <cell r="K116">
            <v>739800</v>
          </cell>
          <cell r="L116">
            <v>0</v>
          </cell>
        </row>
        <row r="117">
          <cell r="I117">
            <v>739800</v>
          </cell>
          <cell r="K117">
            <v>739800</v>
          </cell>
          <cell r="L117">
            <v>0</v>
          </cell>
        </row>
        <row r="118">
          <cell r="I118">
            <v>739800</v>
          </cell>
          <cell r="K118">
            <v>739800</v>
          </cell>
          <cell r="L118">
            <v>0</v>
          </cell>
        </row>
        <row r="119">
          <cell r="I119">
            <v>739800</v>
          </cell>
          <cell r="K119">
            <v>739800</v>
          </cell>
          <cell r="L119">
            <v>0</v>
          </cell>
        </row>
        <row r="120">
          <cell r="I120">
            <v>739800</v>
          </cell>
          <cell r="K120">
            <v>739800</v>
          </cell>
          <cell r="L120">
            <v>0</v>
          </cell>
        </row>
        <row r="121">
          <cell r="I121">
            <v>739800</v>
          </cell>
          <cell r="K121">
            <v>739800</v>
          </cell>
          <cell r="L121">
            <v>0</v>
          </cell>
        </row>
        <row r="122">
          <cell r="I122">
            <v>739800</v>
          </cell>
          <cell r="K122">
            <v>739800</v>
          </cell>
          <cell r="L122">
            <v>0</v>
          </cell>
        </row>
        <row r="123">
          <cell r="I123">
            <v>739800</v>
          </cell>
          <cell r="K123">
            <v>739800</v>
          </cell>
          <cell r="L123">
            <v>0</v>
          </cell>
        </row>
        <row r="124">
          <cell r="I124">
            <v>739800</v>
          </cell>
          <cell r="K124">
            <v>739800</v>
          </cell>
          <cell r="L124">
            <v>0</v>
          </cell>
        </row>
        <row r="125">
          <cell r="I125">
            <v>739800</v>
          </cell>
          <cell r="K125">
            <v>739800</v>
          </cell>
          <cell r="L125">
            <v>0</v>
          </cell>
        </row>
        <row r="126">
          <cell r="I126">
            <v>739800</v>
          </cell>
          <cell r="K126">
            <v>739800</v>
          </cell>
          <cell r="L126">
            <v>0</v>
          </cell>
        </row>
        <row r="127">
          <cell r="I127">
            <v>739800</v>
          </cell>
          <cell r="K127">
            <v>739800</v>
          </cell>
          <cell r="L127">
            <v>0</v>
          </cell>
        </row>
        <row r="128">
          <cell r="I128">
            <v>739800</v>
          </cell>
          <cell r="K128">
            <v>739800</v>
          </cell>
          <cell r="L128">
            <v>0</v>
          </cell>
        </row>
        <row r="129">
          <cell r="I129">
            <v>739800</v>
          </cell>
          <cell r="K129">
            <v>739800</v>
          </cell>
          <cell r="L129">
            <v>0</v>
          </cell>
        </row>
        <row r="130">
          <cell r="I130">
            <v>739800</v>
          </cell>
          <cell r="K130">
            <v>739800</v>
          </cell>
          <cell r="L130">
            <v>0</v>
          </cell>
        </row>
        <row r="131">
          <cell r="I131">
            <v>739800</v>
          </cell>
          <cell r="K131">
            <v>739800</v>
          </cell>
          <cell r="L131">
            <v>0</v>
          </cell>
        </row>
        <row r="132">
          <cell r="I132">
            <v>739800</v>
          </cell>
          <cell r="K132">
            <v>739800</v>
          </cell>
          <cell r="L132">
            <v>0</v>
          </cell>
        </row>
        <row r="133">
          <cell r="I133">
            <v>739800</v>
          </cell>
          <cell r="K133">
            <v>739800</v>
          </cell>
          <cell r="L133">
            <v>0</v>
          </cell>
        </row>
        <row r="134">
          <cell r="I134">
            <v>739800</v>
          </cell>
          <cell r="K134">
            <v>739800</v>
          </cell>
          <cell r="L134">
            <v>0</v>
          </cell>
        </row>
        <row r="135">
          <cell r="I135">
            <v>739800</v>
          </cell>
          <cell r="K135">
            <v>739800</v>
          </cell>
          <cell r="L135">
            <v>0</v>
          </cell>
        </row>
        <row r="136">
          <cell r="I136">
            <v>739800</v>
          </cell>
          <cell r="K136">
            <v>739800</v>
          </cell>
          <cell r="L136">
            <v>0</v>
          </cell>
        </row>
        <row r="137">
          <cell r="I137">
            <v>739800</v>
          </cell>
          <cell r="K137">
            <v>739800</v>
          </cell>
          <cell r="L137">
            <v>0</v>
          </cell>
        </row>
        <row r="138">
          <cell r="I138">
            <v>739800</v>
          </cell>
          <cell r="K138">
            <v>739800</v>
          </cell>
          <cell r="L138">
            <v>0</v>
          </cell>
        </row>
        <row r="139">
          <cell r="I139">
            <v>739800</v>
          </cell>
          <cell r="K139">
            <v>739800</v>
          </cell>
          <cell r="L139">
            <v>0</v>
          </cell>
        </row>
        <row r="140">
          <cell r="I140">
            <v>739800</v>
          </cell>
          <cell r="K140">
            <v>739800</v>
          </cell>
          <cell r="L140">
            <v>0</v>
          </cell>
        </row>
        <row r="141">
          <cell r="I141">
            <v>739800</v>
          </cell>
          <cell r="K141">
            <v>739800</v>
          </cell>
          <cell r="L141">
            <v>0</v>
          </cell>
        </row>
        <row r="142">
          <cell r="I142">
            <v>739800</v>
          </cell>
          <cell r="K142">
            <v>739800</v>
          </cell>
          <cell r="L142">
            <v>0</v>
          </cell>
        </row>
        <row r="143">
          <cell r="I143">
            <v>739800</v>
          </cell>
          <cell r="K143">
            <v>739800</v>
          </cell>
          <cell r="L143">
            <v>0</v>
          </cell>
        </row>
        <row r="144">
          <cell r="I144">
            <v>739800</v>
          </cell>
          <cell r="K144">
            <v>739800</v>
          </cell>
          <cell r="L144">
            <v>0</v>
          </cell>
        </row>
        <row r="145">
          <cell r="I145">
            <v>739800</v>
          </cell>
          <cell r="K145">
            <v>739800</v>
          </cell>
          <cell r="L145">
            <v>0</v>
          </cell>
        </row>
        <row r="146">
          <cell r="I146">
            <v>739800</v>
          </cell>
          <cell r="K146">
            <v>739800</v>
          </cell>
          <cell r="L146">
            <v>0</v>
          </cell>
        </row>
        <row r="147">
          <cell r="I147">
            <v>739800</v>
          </cell>
          <cell r="K147">
            <v>739800</v>
          </cell>
          <cell r="L147">
            <v>0</v>
          </cell>
        </row>
        <row r="148">
          <cell r="I148">
            <v>739800</v>
          </cell>
          <cell r="K148">
            <v>739800</v>
          </cell>
          <cell r="L148">
            <v>0</v>
          </cell>
        </row>
        <row r="149">
          <cell r="I149">
            <v>739800</v>
          </cell>
          <cell r="K149">
            <v>739800</v>
          </cell>
          <cell r="L149">
            <v>0</v>
          </cell>
        </row>
        <row r="150">
          <cell r="I150">
            <v>739800</v>
          </cell>
          <cell r="K150">
            <v>739800</v>
          </cell>
          <cell r="L150">
            <v>0</v>
          </cell>
        </row>
        <row r="151">
          <cell r="I151">
            <v>739800</v>
          </cell>
          <cell r="K151">
            <v>739800</v>
          </cell>
          <cell r="L151">
            <v>0</v>
          </cell>
        </row>
        <row r="152">
          <cell r="I152">
            <v>739800</v>
          </cell>
          <cell r="K152">
            <v>739800</v>
          </cell>
          <cell r="L152">
            <v>0</v>
          </cell>
        </row>
        <row r="153">
          <cell r="I153">
            <v>739800</v>
          </cell>
          <cell r="K153">
            <v>739800</v>
          </cell>
          <cell r="L153">
            <v>0</v>
          </cell>
        </row>
        <row r="154">
          <cell r="I154">
            <v>757600</v>
          </cell>
          <cell r="K154">
            <v>739800</v>
          </cell>
          <cell r="L154">
            <v>0</v>
          </cell>
        </row>
        <row r="155">
          <cell r="I155">
            <v>850000</v>
          </cell>
          <cell r="K155">
            <v>739800</v>
          </cell>
          <cell r="L155">
            <v>0</v>
          </cell>
        </row>
        <row r="156">
          <cell r="I156">
            <v>850000</v>
          </cell>
          <cell r="K156">
            <v>739800</v>
          </cell>
          <cell r="L156">
            <v>0</v>
          </cell>
        </row>
        <row r="157">
          <cell r="I157">
            <v>850000</v>
          </cell>
          <cell r="K157">
            <v>739800</v>
          </cell>
          <cell r="L157">
            <v>0</v>
          </cell>
        </row>
        <row r="158">
          <cell r="I158">
            <v>850000</v>
          </cell>
          <cell r="K158">
            <v>739800</v>
          </cell>
          <cell r="L158">
            <v>0</v>
          </cell>
        </row>
        <row r="159">
          <cell r="I159">
            <v>850000</v>
          </cell>
          <cell r="K159">
            <v>739800</v>
          </cell>
          <cell r="L159">
            <v>0</v>
          </cell>
        </row>
        <row r="160">
          <cell r="I160">
            <v>50653200</v>
          </cell>
          <cell r="K160">
            <v>0</v>
          </cell>
          <cell r="L160">
            <v>0</v>
          </cell>
        </row>
        <row r="161">
          <cell r="I161">
            <v>8240000</v>
          </cell>
          <cell r="K161">
            <v>0</v>
          </cell>
          <cell r="L161">
            <v>0</v>
          </cell>
        </row>
        <row r="162">
          <cell r="I162">
            <v>850000</v>
          </cell>
          <cell r="K162">
            <v>739800</v>
          </cell>
          <cell r="L162">
            <v>0</v>
          </cell>
        </row>
        <row r="163">
          <cell r="K163">
            <v>0</v>
          </cell>
          <cell r="L163">
            <v>3095</v>
          </cell>
        </row>
        <row r="164">
          <cell r="K164">
            <v>0</v>
          </cell>
          <cell r="L164">
            <v>0</v>
          </cell>
        </row>
        <row r="165">
          <cell r="I165">
            <v>850000</v>
          </cell>
          <cell r="K165">
            <v>0</v>
          </cell>
          <cell r="L165">
            <v>0</v>
          </cell>
        </row>
        <row r="166">
          <cell r="I166">
            <v>850000</v>
          </cell>
          <cell r="K166">
            <v>0</v>
          </cell>
          <cell r="L166">
            <v>0</v>
          </cell>
        </row>
        <row r="167">
          <cell r="I167">
            <v>850000</v>
          </cell>
          <cell r="K167">
            <v>0</v>
          </cell>
          <cell r="L167">
            <v>0</v>
          </cell>
        </row>
        <row r="168">
          <cell r="I168">
            <v>850000</v>
          </cell>
          <cell r="K168">
            <v>0</v>
          </cell>
          <cell r="L168">
            <v>0</v>
          </cell>
        </row>
        <row r="169">
          <cell r="I169">
            <v>850000</v>
          </cell>
          <cell r="K169">
            <v>0</v>
          </cell>
          <cell r="L169">
            <v>0</v>
          </cell>
        </row>
        <row r="170">
          <cell r="I170">
            <v>850000</v>
          </cell>
          <cell r="K170">
            <v>0</v>
          </cell>
          <cell r="L170">
            <v>0</v>
          </cell>
        </row>
        <row r="171">
          <cell r="I171">
            <v>850000</v>
          </cell>
          <cell r="K171">
            <v>0</v>
          </cell>
          <cell r="L171">
            <v>0</v>
          </cell>
        </row>
        <row r="172">
          <cell r="I172">
            <v>850000</v>
          </cell>
          <cell r="K172">
            <v>0</v>
          </cell>
          <cell r="L172">
            <v>0</v>
          </cell>
        </row>
        <row r="173">
          <cell r="I173">
            <v>850000</v>
          </cell>
          <cell r="K173">
            <v>0</v>
          </cell>
          <cell r="L173">
            <v>0</v>
          </cell>
        </row>
        <row r="174">
          <cell r="I174">
            <v>850000</v>
          </cell>
          <cell r="K174">
            <v>0</v>
          </cell>
          <cell r="L174">
            <v>0</v>
          </cell>
        </row>
        <row r="175">
          <cell r="I175">
            <v>850000</v>
          </cell>
          <cell r="K175">
            <v>0</v>
          </cell>
          <cell r="L175">
            <v>0</v>
          </cell>
        </row>
        <row r="176">
          <cell r="I176">
            <v>850000</v>
          </cell>
          <cell r="K176">
            <v>0</v>
          </cell>
          <cell r="L176">
            <v>0</v>
          </cell>
        </row>
        <row r="177">
          <cell r="I177">
            <v>850000</v>
          </cell>
          <cell r="K177">
            <v>0</v>
          </cell>
          <cell r="L177">
            <v>0</v>
          </cell>
        </row>
        <row r="178">
          <cell r="I178">
            <v>850000</v>
          </cell>
          <cell r="K178">
            <v>0</v>
          </cell>
          <cell r="L178">
            <v>0</v>
          </cell>
        </row>
        <row r="179">
          <cell r="I179">
            <v>850000</v>
          </cell>
          <cell r="K179">
            <v>0</v>
          </cell>
          <cell r="L179">
            <v>0</v>
          </cell>
        </row>
        <row r="180">
          <cell r="I180">
            <v>850000</v>
          </cell>
          <cell r="K180">
            <v>0</v>
          </cell>
          <cell r="L180">
            <v>0</v>
          </cell>
        </row>
        <row r="181">
          <cell r="I181">
            <v>850000</v>
          </cell>
          <cell r="K181">
            <v>0</v>
          </cell>
          <cell r="L181">
            <v>0</v>
          </cell>
        </row>
        <row r="182">
          <cell r="I182">
            <v>850000</v>
          </cell>
          <cell r="K182">
            <v>0</v>
          </cell>
          <cell r="L182">
            <v>0</v>
          </cell>
        </row>
        <row r="183">
          <cell r="I183">
            <v>679500</v>
          </cell>
          <cell r="K183">
            <v>626000</v>
          </cell>
          <cell r="L183">
            <v>53500</v>
          </cell>
        </row>
        <row r="184">
          <cell r="I184">
            <v>710000</v>
          </cell>
          <cell r="K184">
            <v>0</v>
          </cell>
          <cell r="L184">
            <v>710000</v>
          </cell>
        </row>
        <row r="185">
          <cell r="I185">
            <v>559000</v>
          </cell>
          <cell r="K185">
            <v>0</v>
          </cell>
          <cell r="L185">
            <v>523000</v>
          </cell>
        </row>
        <row r="186">
          <cell r="I186">
            <v>672400</v>
          </cell>
          <cell r="K186">
            <v>0</v>
          </cell>
          <cell r="L186">
            <v>672400</v>
          </cell>
        </row>
        <row r="187">
          <cell r="I187">
            <v>1273900</v>
          </cell>
          <cell r="K187">
            <v>0</v>
          </cell>
          <cell r="L187">
            <v>1111400</v>
          </cell>
        </row>
        <row r="188">
          <cell r="I188">
            <v>5762000</v>
          </cell>
          <cell r="K188">
            <v>4006360</v>
          </cell>
          <cell r="L188">
            <v>1407640</v>
          </cell>
        </row>
        <row r="189">
          <cell r="I189">
            <v>360000</v>
          </cell>
          <cell r="K189">
            <v>360000</v>
          </cell>
          <cell r="L189">
            <v>0</v>
          </cell>
        </row>
        <row r="190">
          <cell r="I190">
            <v>2159000</v>
          </cell>
          <cell r="K190">
            <v>0</v>
          </cell>
          <cell r="L190">
            <v>0</v>
          </cell>
        </row>
        <row r="191">
          <cell r="I191">
            <v>3443000</v>
          </cell>
          <cell r="K191">
            <v>2895050</v>
          </cell>
          <cell r="L191">
            <v>0</v>
          </cell>
        </row>
        <row r="192">
          <cell r="K192">
            <v>0</v>
          </cell>
          <cell r="L192">
            <v>978000</v>
          </cell>
        </row>
        <row r="193">
          <cell r="I193">
            <v>480000</v>
          </cell>
          <cell r="K193">
            <v>0</v>
          </cell>
          <cell r="L193">
            <v>480000</v>
          </cell>
        </row>
        <row r="194">
          <cell r="I194">
            <v>299000</v>
          </cell>
          <cell r="K194">
            <v>0</v>
          </cell>
          <cell r="L194">
            <v>299000</v>
          </cell>
        </row>
        <row r="195">
          <cell r="I195">
            <v>129000</v>
          </cell>
          <cell r="K195">
            <v>0</v>
          </cell>
          <cell r="L195">
            <v>129000</v>
          </cell>
        </row>
        <row r="196">
          <cell r="I196">
            <v>262000</v>
          </cell>
          <cell r="K196">
            <v>262000</v>
          </cell>
          <cell r="L196">
            <v>0</v>
          </cell>
        </row>
        <row r="197">
          <cell r="I197">
            <v>476500</v>
          </cell>
          <cell r="K197">
            <v>0</v>
          </cell>
          <cell r="L197">
            <v>476500</v>
          </cell>
        </row>
        <row r="198">
          <cell r="I198">
            <v>497000</v>
          </cell>
          <cell r="K198">
            <v>0</v>
          </cell>
          <cell r="L198">
            <v>497000</v>
          </cell>
        </row>
        <row r="199">
          <cell r="I199">
            <v>192000</v>
          </cell>
          <cell r="K199">
            <v>192000</v>
          </cell>
          <cell r="L199">
            <v>0</v>
          </cell>
        </row>
        <row r="200">
          <cell r="I200">
            <v>1986100</v>
          </cell>
          <cell r="K200">
            <v>1969999</v>
          </cell>
          <cell r="L200">
            <v>0</v>
          </cell>
        </row>
        <row r="201">
          <cell r="I201">
            <v>109000</v>
          </cell>
          <cell r="K201">
            <v>0</v>
          </cell>
          <cell r="L201">
            <v>109000</v>
          </cell>
        </row>
        <row r="202">
          <cell r="I202">
            <v>197000</v>
          </cell>
          <cell r="K202">
            <v>0</v>
          </cell>
          <cell r="L202">
            <v>197000</v>
          </cell>
        </row>
        <row r="203">
          <cell r="K203">
            <v>208992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I205">
            <v>3654000</v>
          </cell>
          <cell r="K205">
            <v>3654000</v>
          </cell>
          <cell r="L205">
            <v>0</v>
          </cell>
        </row>
        <row r="206">
          <cell r="K206">
            <v>2995000</v>
          </cell>
          <cell r="L206">
            <v>0</v>
          </cell>
        </row>
        <row r="207">
          <cell r="I207">
            <v>526000</v>
          </cell>
          <cell r="K207">
            <v>490000</v>
          </cell>
          <cell r="L207">
            <v>0</v>
          </cell>
        </row>
        <row r="208">
          <cell r="I208">
            <v>622000</v>
          </cell>
          <cell r="K208">
            <v>0</v>
          </cell>
          <cell r="L208">
            <v>582499</v>
          </cell>
        </row>
        <row r="209">
          <cell r="I209">
            <v>244000</v>
          </cell>
          <cell r="K209">
            <v>0</v>
          </cell>
          <cell r="L209">
            <v>244000</v>
          </cell>
        </row>
        <row r="210">
          <cell r="I210">
            <v>172000</v>
          </cell>
          <cell r="K210">
            <v>0</v>
          </cell>
          <cell r="L210">
            <v>172000</v>
          </cell>
        </row>
        <row r="211">
          <cell r="I211">
            <v>2774800</v>
          </cell>
          <cell r="K211">
            <v>2750000</v>
          </cell>
          <cell r="L211">
            <v>0</v>
          </cell>
        </row>
        <row r="212">
          <cell r="I212">
            <v>1482000</v>
          </cell>
          <cell r="K212">
            <v>0</v>
          </cell>
          <cell r="L212">
            <v>1296000</v>
          </cell>
        </row>
        <row r="213">
          <cell r="I213">
            <v>1000000</v>
          </cell>
          <cell r="K213">
            <v>689440</v>
          </cell>
          <cell r="L213">
            <v>0</v>
          </cell>
        </row>
        <row r="214">
          <cell r="I214">
            <v>4424000</v>
          </cell>
          <cell r="K214">
            <v>4115000</v>
          </cell>
          <cell r="L214">
            <v>0</v>
          </cell>
        </row>
        <row r="215">
          <cell r="I215">
            <v>966000</v>
          </cell>
          <cell r="K215">
            <v>900000</v>
          </cell>
          <cell r="L215">
            <v>0</v>
          </cell>
        </row>
        <row r="216">
          <cell r="I216">
            <v>146000</v>
          </cell>
          <cell r="K216">
            <v>146000</v>
          </cell>
          <cell r="L216">
            <v>0</v>
          </cell>
        </row>
        <row r="217">
          <cell r="I217">
            <v>147000</v>
          </cell>
          <cell r="K217">
            <v>147000</v>
          </cell>
          <cell r="L217">
            <v>0</v>
          </cell>
        </row>
        <row r="218">
          <cell r="I218">
            <v>380000</v>
          </cell>
          <cell r="K218">
            <v>380000</v>
          </cell>
          <cell r="L218">
            <v>0</v>
          </cell>
        </row>
        <row r="219">
          <cell r="I219">
            <v>483900</v>
          </cell>
          <cell r="K219">
            <v>0</v>
          </cell>
          <cell r="L219">
            <v>483900</v>
          </cell>
        </row>
        <row r="220">
          <cell r="I220">
            <v>211000</v>
          </cell>
          <cell r="K220">
            <v>0</v>
          </cell>
          <cell r="L220">
            <v>211000</v>
          </cell>
        </row>
        <row r="221">
          <cell r="I221">
            <v>140000</v>
          </cell>
          <cell r="K221">
            <v>0</v>
          </cell>
          <cell r="L221">
            <v>140000</v>
          </cell>
        </row>
        <row r="222">
          <cell r="I222">
            <v>499000</v>
          </cell>
          <cell r="K222">
            <v>499000</v>
          </cell>
          <cell r="L222">
            <v>0</v>
          </cell>
        </row>
        <row r="223">
          <cell r="I223">
            <v>350000</v>
          </cell>
          <cell r="K223">
            <v>0</v>
          </cell>
          <cell r="L223">
            <v>350000</v>
          </cell>
        </row>
        <row r="224">
          <cell r="K224">
            <v>553000</v>
          </cell>
          <cell r="L224">
            <v>0</v>
          </cell>
        </row>
        <row r="225">
          <cell r="I225">
            <v>473000</v>
          </cell>
          <cell r="K225">
            <v>0</v>
          </cell>
          <cell r="L225">
            <v>473000</v>
          </cell>
        </row>
        <row r="226">
          <cell r="I226">
            <v>141900</v>
          </cell>
          <cell r="K226">
            <v>0</v>
          </cell>
          <cell r="L226">
            <v>141900</v>
          </cell>
        </row>
        <row r="227">
          <cell r="K227">
            <v>0</v>
          </cell>
          <cell r="L227">
            <v>183660</v>
          </cell>
        </row>
        <row r="228">
          <cell r="I228">
            <v>122000</v>
          </cell>
          <cell r="K228">
            <v>0</v>
          </cell>
          <cell r="L228">
            <v>122000</v>
          </cell>
        </row>
        <row r="229">
          <cell r="I229">
            <v>157400</v>
          </cell>
          <cell r="K229">
            <v>0</v>
          </cell>
          <cell r="L229">
            <v>157400</v>
          </cell>
        </row>
        <row r="230">
          <cell r="I230">
            <v>212000</v>
          </cell>
          <cell r="K230">
            <v>0</v>
          </cell>
          <cell r="L230">
            <v>212000</v>
          </cell>
        </row>
        <row r="231">
          <cell r="I231">
            <v>92800</v>
          </cell>
          <cell r="K231">
            <v>0</v>
          </cell>
          <cell r="L231">
            <v>92800</v>
          </cell>
        </row>
        <row r="232">
          <cell r="I232">
            <v>155400</v>
          </cell>
          <cell r="K232">
            <v>0</v>
          </cell>
          <cell r="L232">
            <v>0</v>
          </cell>
        </row>
        <row r="233">
          <cell r="I233">
            <v>846000</v>
          </cell>
          <cell r="K233">
            <v>780000</v>
          </cell>
          <cell r="L233">
            <v>0</v>
          </cell>
        </row>
        <row r="234">
          <cell r="I234">
            <v>415400</v>
          </cell>
          <cell r="K234">
            <v>0</v>
          </cell>
          <cell r="L234">
            <v>408400</v>
          </cell>
        </row>
        <row r="235">
          <cell r="I235">
            <v>252000</v>
          </cell>
          <cell r="K235">
            <v>252000</v>
          </cell>
          <cell r="L235">
            <v>0</v>
          </cell>
        </row>
        <row r="236">
          <cell r="I236">
            <v>510800</v>
          </cell>
          <cell r="K236">
            <v>474000</v>
          </cell>
          <cell r="L236">
            <v>0</v>
          </cell>
        </row>
        <row r="237">
          <cell r="I237">
            <v>329000</v>
          </cell>
          <cell r="K237">
            <v>0</v>
          </cell>
          <cell r="L237">
            <v>329000</v>
          </cell>
        </row>
        <row r="238">
          <cell r="I238">
            <v>479000</v>
          </cell>
          <cell r="K238">
            <v>479000</v>
          </cell>
          <cell r="L238">
            <v>0</v>
          </cell>
        </row>
        <row r="239">
          <cell r="I239">
            <v>265000</v>
          </cell>
          <cell r="K239">
            <v>0</v>
          </cell>
          <cell r="L239">
            <v>265000</v>
          </cell>
        </row>
        <row r="240">
          <cell r="I240">
            <v>334000</v>
          </cell>
          <cell r="K240">
            <v>0</v>
          </cell>
          <cell r="L240">
            <v>334000</v>
          </cell>
        </row>
        <row r="241">
          <cell r="I241">
            <v>183000</v>
          </cell>
          <cell r="K241">
            <v>183000</v>
          </cell>
          <cell r="L241">
            <v>0</v>
          </cell>
        </row>
        <row r="242">
          <cell r="I242">
            <v>131000</v>
          </cell>
          <cell r="K242">
            <v>131000</v>
          </cell>
          <cell r="L242">
            <v>0</v>
          </cell>
        </row>
        <row r="243">
          <cell r="I243">
            <v>186000</v>
          </cell>
          <cell r="K243">
            <v>160000</v>
          </cell>
          <cell r="L243">
            <v>0</v>
          </cell>
        </row>
        <row r="244">
          <cell r="I244">
            <v>144000</v>
          </cell>
          <cell r="K244">
            <v>144000</v>
          </cell>
          <cell r="L244">
            <v>0</v>
          </cell>
        </row>
        <row r="245">
          <cell r="I245">
            <v>499000</v>
          </cell>
          <cell r="K245">
            <v>499000</v>
          </cell>
          <cell r="L245">
            <v>0</v>
          </cell>
        </row>
        <row r="246">
          <cell r="K246">
            <v>0</v>
          </cell>
          <cell r="L246">
            <v>0</v>
          </cell>
        </row>
        <row r="247">
          <cell r="I247">
            <v>499000</v>
          </cell>
          <cell r="K247">
            <v>499000</v>
          </cell>
          <cell r="L247">
            <v>0</v>
          </cell>
        </row>
        <row r="248">
          <cell r="I248">
            <v>447000</v>
          </cell>
          <cell r="K248">
            <v>447000</v>
          </cell>
          <cell r="L248">
            <v>0</v>
          </cell>
        </row>
        <row r="249">
          <cell r="I249">
            <v>513900</v>
          </cell>
          <cell r="K249">
            <v>0</v>
          </cell>
          <cell r="L249">
            <v>432000</v>
          </cell>
        </row>
        <row r="250">
          <cell r="I250">
            <v>498000</v>
          </cell>
          <cell r="K250">
            <v>498000</v>
          </cell>
          <cell r="L250">
            <v>0</v>
          </cell>
        </row>
        <row r="251">
          <cell r="K251">
            <v>584000</v>
          </cell>
          <cell r="L251">
            <v>0</v>
          </cell>
        </row>
        <row r="252">
          <cell r="I252">
            <v>1620000</v>
          </cell>
          <cell r="K252">
            <v>1379500</v>
          </cell>
          <cell r="L252">
            <v>0</v>
          </cell>
        </row>
        <row r="253">
          <cell r="I253">
            <v>459000</v>
          </cell>
          <cell r="K253">
            <v>459000</v>
          </cell>
          <cell r="L253">
            <v>0</v>
          </cell>
        </row>
        <row r="254">
          <cell r="I254">
            <v>354000</v>
          </cell>
          <cell r="K254">
            <v>0</v>
          </cell>
          <cell r="L254">
            <v>354000</v>
          </cell>
        </row>
        <row r="255">
          <cell r="I255">
            <v>1031000</v>
          </cell>
          <cell r="K255">
            <v>940000</v>
          </cell>
          <cell r="L255">
            <v>0</v>
          </cell>
        </row>
        <row r="256">
          <cell r="I256">
            <v>198000</v>
          </cell>
          <cell r="K256">
            <v>0</v>
          </cell>
          <cell r="L256">
            <v>198000</v>
          </cell>
        </row>
        <row r="257">
          <cell r="E257" t="str">
            <v>ปรับปรุงศูนย์ศึกษาและพัฒนาชุมชนยะลา (ปรับปรุงอาคาร 200 ปี)</v>
          </cell>
          <cell r="I257">
            <v>248000</v>
          </cell>
          <cell r="K257">
            <v>0</v>
          </cell>
          <cell r="L257">
            <v>248000</v>
          </cell>
        </row>
        <row r="258">
          <cell r="K258">
            <v>72000</v>
          </cell>
          <cell r="L258">
            <v>640000</v>
          </cell>
        </row>
        <row r="259">
          <cell r="K259">
            <v>0</v>
          </cell>
          <cell r="L259">
            <v>50405</v>
          </cell>
        </row>
        <row r="260">
          <cell r="I260">
            <v>991700</v>
          </cell>
          <cell r="K260">
            <v>985000</v>
          </cell>
          <cell r="L260">
            <v>0</v>
          </cell>
        </row>
        <row r="261">
          <cell r="I261">
            <v>908000</v>
          </cell>
          <cell r="K261">
            <v>885000</v>
          </cell>
          <cell r="L261">
            <v>0</v>
          </cell>
        </row>
        <row r="267">
          <cell r="I267">
            <v>1500000</v>
          </cell>
          <cell r="K267">
            <v>0</v>
          </cell>
          <cell r="L267">
            <v>0</v>
          </cell>
        </row>
        <row r="268">
          <cell r="I268">
            <v>1500000</v>
          </cell>
          <cell r="K268">
            <v>0</v>
          </cell>
          <cell r="L268">
            <v>0</v>
          </cell>
        </row>
        <row r="269">
          <cell r="I269">
            <v>1500000</v>
          </cell>
          <cell r="K269">
            <v>0</v>
          </cell>
          <cell r="L269">
            <v>0</v>
          </cell>
        </row>
        <row r="270">
          <cell r="I270">
            <v>104000</v>
          </cell>
          <cell r="K270">
            <v>104000</v>
          </cell>
          <cell r="L270">
            <v>0</v>
          </cell>
        </row>
        <row r="272">
          <cell r="I272">
            <v>104000</v>
          </cell>
          <cell r="K272">
            <v>104000</v>
          </cell>
          <cell r="L272">
            <v>0</v>
          </cell>
        </row>
        <row r="274">
          <cell r="I274">
            <v>104000</v>
          </cell>
          <cell r="K274">
            <v>0</v>
          </cell>
          <cell r="L274">
            <v>75050.36</v>
          </cell>
        </row>
        <row r="276">
          <cell r="I276">
            <v>104000</v>
          </cell>
          <cell r="K276">
            <v>96300</v>
          </cell>
          <cell r="L276">
            <v>0</v>
          </cell>
        </row>
        <row r="277">
          <cell r="I277">
            <v>104000</v>
          </cell>
          <cell r="K277">
            <v>0</v>
          </cell>
          <cell r="L277">
            <v>103987.13</v>
          </cell>
        </row>
        <row r="278">
          <cell r="I278">
            <v>416000</v>
          </cell>
          <cell r="K278">
            <v>0</v>
          </cell>
          <cell r="L278">
            <v>416000</v>
          </cell>
        </row>
        <row r="280">
          <cell r="I280">
            <v>95000</v>
          </cell>
          <cell r="K280">
            <v>0</v>
          </cell>
          <cell r="L280">
            <v>0</v>
          </cell>
        </row>
        <row r="281">
          <cell r="I281">
            <v>101672</v>
          </cell>
          <cell r="K281">
            <v>97094</v>
          </cell>
          <cell r="L281">
            <v>0</v>
          </cell>
        </row>
        <row r="282">
          <cell r="I282">
            <v>199000</v>
          </cell>
          <cell r="K282">
            <v>0</v>
          </cell>
          <cell r="L282">
            <v>154000</v>
          </cell>
        </row>
        <row r="283">
          <cell r="I283">
            <v>624000</v>
          </cell>
          <cell r="K283">
            <v>0</v>
          </cell>
          <cell r="L283">
            <v>598500</v>
          </cell>
        </row>
        <row r="284">
          <cell r="I284">
            <v>95000</v>
          </cell>
          <cell r="K284">
            <v>81050</v>
          </cell>
          <cell r="L284">
            <v>0</v>
          </cell>
        </row>
        <row r="285">
          <cell r="I285">
            <v>203273</v>
          </cell>
          <cell r="K285">
            <v>0</v>
          </cell>
          <cell r="L285">
            <v>203273</v>
          </cell>
        </row>
        <row r="286">
          <cell r="I286">
            <v>304800</v>
          </cell>
          <cell r="K286">
            <v>203200</v>
          </cell>
          <cell r="L286">
            <v>101600</v>
          </cell>
        </row>
        <row r="288">
          <cell r="I288">
            <v>812800</v>
          </cell>
          <cell r="K288">
            <v>0</v>
          </cell>
          <cell r="L288">
            <v>781803</v>
          </cell>
        </row>
        <row r="289">
          <cell r="I289">
            <v>98700</v>
          </cell>
          <cell r="K289">
            <v>98700</v>
          </cell>
          <cell r="L289">
            <v>0</v>
          </cell>
        </row>
        <row r="290">
          <cell r="I290">
            <v>312000</v>
          </cell>
          <cell r="K290">
            <v>0</v>
          </cell>
          <cell r="L290">
            <v>0</v>
          </cell>
        </row>
        <row r="291">
          <cell r="I291">
            <v>95000</v>
          </cell>
          <cell r="K291">
            <v>0</v>
          </cell>
          <cell r="L291">
            <v>94855</v>
          </cell>
        </row>
        <row r="292">
          <cell r="I292">
            <v>199000</v>
          </cell>
          <cell r="K292">
            <v>0</v>
          </cell>
          <cell r="L292">
            <v>169000</v>
          </cell>
        </row>
        <row r="293">
          <cell r="I293">
            <v>208000</v>
          </cell>
          <cell r="K293">
            <v>0</v>
          </cell>
          <cell r="L293">
            <v>104000</v>
          </cell>
        </row>
        <row r="294">
          <cell r="I294">
            <v>104000</v>
          </cell>
          <cell r="K294">
            <v>0</v>
          </cell>
          <cell r="L294">
            <v>0</v>
          </cell>
        </row>
        <row r="295">
          <cell r="I295">
            <v>104000</v>
          </cell>
          <cell r="K295">
            <v>0</v>
          </cell>
          <cell r="L295">
            <v>42830</v>
          </cell>
        </row>
        <row r="296">
          <cell r="I296">
            <v>104000</v>
          </cell>
          <cell r="K296">
            <v>0</v>
          </cell>
          <cell r="L296">
            <v>104000</v>
          </cell>
        </row>
        <row r="297">
          <cell r="I297">
            <v>104000</v>
          </cell>
          <cell r="K297">
            <v>104000</v>
          </cell>
          <cell r="L297">
            <v>0</v>
          </cell>
        </row>
        <row r="298">
          <cell r="I298">
            <v>104000</v>
          </cell>
          <cell r="K298">
            <v>0</v>
          </cell>
          <cell r="L298">
            <v>0</v>
          </cell>
        </row>
        <row r="299">
          <cell r="I299">
            <v>312000</v>
          </cell>
          <cell r="K299">
            <v>0</v>
          </cell>
          <cell r="L299">
            <v>312000</v>
          </cell>
        </row>
        <row r="300">
          <cell r="I300">
            <v>208000</v>
          </cell>
          <cell r="K300">
            <v>0</v>
          </cell>
          <cell r="L300">
            <v>208000</v>
          </cell>
        </row>
        <row r="301">
          <cell r="I301">
            <v>104000</v>
          </cell>
          <cell r="K301">
            <v>0</v>
          </cell>
          <cell r="L301">
            <v>89079.63</v>
          </cell>
        </row>
        <row r="302">
          <cell r="I302">
            <v>312000</v>
          </cell>
          <cell r="K302">
            <v>0</v>
          </cell>
          <cell r="L302">
            <v>312000</v>
          </cell>
        </row>
        <row r="303">
          <cell r="I303">
            <v>416000</v>
          </cell>
          <cell r="K303">
            <v>0</v>
          </cell>
          <cell r="L303">
            <v>406719.05</v>
          </cell>
        </row>
        <row r="304">
          <cell r="I304">
            <v>104000</v>
          </cell>
          <cell r="K304">
            <v>0</v>
          </cell>
          <cell r="L304">
            <v>104000</v>
          </cell>
        </row>
        <row r="305">
          <cell r="I305">
            <v>104000</v>
          </cell>
          <cell r="K305">
            <v>0</v>
          </cell>
          <cell r="L305">
            <v>96317</v>
          </cell>
        </row>
        <row r="306">
          <cell r="I306">
            <v>104000</v>
          </cell>
          <cell r="K306">
            <v>0</v>
          </cell>
          <cell r="L306">
            <v>81241.600000000006</v>
          </cell>
        </row>
        <row r="307">
          <cell r="I307">
            <v>104000</v>
          </cell>
          <cell r="K307">
            <v>0</v>
          </cell>
          <cell r="L307">
            <v>104000</v>
          </cell>
        </row>
        <row r="308">
          <cell r="I308">
            <v>104000</v>
          </cell>
          <cell r="K308">
            <v>0</v>
          </cell>
          <cell r="L308">
            <v>104000</v>
          </cell>
        </row>
        <row r="309">
          <cell r="I309">
            <v>208000</v>
          </cell>
          <cell r="K309">
            <v>0</v>
          </cell>
          <cell r="L309">
            <v>208000</v>
          </cell>
        </row>
        <row r="310">
          <cell r="I310">
            <v>104000</v>
          </cell>
          <cell r="K310">
            <v>0</v>
          </cell>
          <cell r="L310">
            <v>104000</v>
          </cell>
        </row>
        <row r="311">
          <cell r="I311">
            <v>104000</v>
          </cell>
          <cell r="K311">
            <v>104000</v>
          </cell>
          <cell r="L311">
            <v>0</v>
          </cell>
        </row>
        <row r="312">
          <cell r="I312">
            <v>104000</v>
          </cell>
          <cell r="K312">
            <v>0</v>
          </cell>
          <cell r="L312">
            <v>104000</v>
          </cell>
        </row>
        <row r="313">
          <cell r="I313">
            <v>104000</v>
          </cell>
          <cell r="K313">
            <v>104000</v>
          </cell>
          <cell r="L313">
            <v>0</v>
          </cell>
        </row>
        <row r="314">
          <cell r="I314">
            <v>208000</v>
          </cell>
          <cell r="K314">
            <v>0</v>
          </cell>
          <cell r="L314">
            <v>208000</v>
          </cell>
        </row>
        <row r="315">
          <cell r="I315">
            <v>104000</v>
          </cell>
          <cell r="K315">
            <v>0</v>
          </cell>
          <cell r="L315">
            <v>104000</v>
          </cell>
        </row>
        <row r="317">
          <cell r="I317">
            <v>104000</v>
          </cell>
          <cell r="K317">
            <v>0</v>
          </cell>
          <cell r="L317">
            <v>86847</v>
          </cell>
        </row>
        <row r="318">
          <cell r="I318">
            <v>104000</v>
          </cell>
          <cell r="K318">
            <v>0</v>
          </cell>
          <cell r="L318">
            <v>104000</v>
          </cell>
        </row>
        <row r="319">
          <cell r="I319">
            <v>208000</v>
          </cell>
          <cell r="K319">
            <v>118866</v>
          </cell>
          <cell r="L319">
            <v>0</v>
          </cell>
        </row>
        <row r="320">
          <cell r="I320">
            <v>104000</v>
          </cell>
          <cell r="K320">
            <v>75832</v>
          </cell>
          <cell r="L320">
            <v>0</v>
          </cell>
        </row>
        <row r="322">
          <cell r="I322">
            <v>104000</v>
          </cell>
          <cell r="K322">
            <v>104000</v>
          </cell>
          <cell r="L322">
            <v>0</v>
          </cell>
        </row>
        <row r="323">
          <cell r="I323">
            <v>104000</v>
          </cell>
          <cell r="K323">
            <v>0</v>
          </cell>
          <cell r="L323">
            <v>104000</v>
          </cell>
        </row>
        <row r="324">
          <cell r="I324">
            <v>104000</v>
          </cell>
          <cell r="K324">
            <v>48252</v>
          </cell>
          <cell r="L324">
            <v>0</v>
          </cell>
        </row>
        <row r="325">
          <cell r="I325">
            <v>104000</v>
          </cell>
          <cell r="K325">
            <v>0</v>
          </cell>
          <cell r="L325">
            <v>0</v>
          </cell>
        </row>
        <row r="326">
          <cell r="I326">
            <v>416000</v>
          </cell>
          <cell r="K326">
            <v>0</v>
          </cell>
          <cell r="L326">
            <v>380400</v>
          </cell>
        </row>
        <row r="328">
          <cell r="I328">
            <v>104000</v>
          </cell>
          <cell r="K328">
            <v>0</v>
          </cell>
          <cell r="L328">
            <v>104000</v>
          </cell>
        </row>
        <row r="329">
          <cell r="I329">
            <v>520000</v>
          </cell>
          <cell r="K329">
            <v>520000</v>
          </cell>
          <cell r="L329">
            <v>0</v>
          </cell>
        </row>
        <row r="330">
          <cell r="I330">
            <v>208000</v>
          </cell>
          <cell r="K330">
            <v>0</v>
          </cell>
          <cell r="L330">
            <v>207800</v>
          </cell>
        </row>
        <row r="331">
          <cell r="I331">
            <v>104000</v>
          </cell>
          <cell r="K331">
            <v>104000</v>
          </cell>
          <cell r="L331">
            <v>0</v>
          </cell>
        </row>
        <row r="332">
          <cell r="I332">
            <v>208000</v>
          </cell>
          <cell r="K332">
            <v>167200</v>
          </cell>
          <cell r="L332">
            <v>0</v>
          </cell>
        </row>
        <row r="333">
          <cell r="I333">
            <v>104000</v>
          </cell>
          <cell r="K333">
            <v>0</v>
          </cell>
          <cell r="L333">
            <v>104000</v>
          </cell>
        </row>
        <row r="334">
          <cell r="I334">
            <v>416000</v>
          </cell>
          <cell r="K334">
            <v>0</v>
          </cell>
          <cell r="L334">
            <v>312000</v>
          </cell>
        </row>
        <row r="335">
          <cell r="I335">
            <v>104000</v>
          </cell>
          <cell r="K335">
            <v>0</v>
          </cell>
          <cell r="L335">
            <v>104000</v>
          </cell>
        </row>
        <row r="336">
          <cell r="I336">
            <v>104000</v>
          </cell>
          <cell r="K336">
            <v>0</v>
          </cell>
          <cell r="L336">
            <v>104000</v>
          </cell>
        </row>
        <row r="337">
          <cell r="I337">
            <v>312000</v>
          </cell>
          <cell r="K337">
            <v>173200</v>
          </cell>
          <cell r="L337">
            <v>104000</v>
          </cell>
        </row>
        <row r="338">
          <cell r="I338">
            <v>104000</v>
          </cell>
          <cell r="K338">
            <v>0</v>
          </cell>
          <cell r="L338">
            <v>104000</v>
          </cell>
        </row>
        <row r="339">
          <cell r="I339">
            <v>104000</v>
          </cell>
          <cell r="K339">
            <v>104000</v>
          </cell>
          <cell r="L339">
            <v>0</v>
          </cell>
        </row>
        <row r="340">
          <cell r="I340">
            <v>416000</v>
          </cell>
          <cell r="K340">
            <v>416000</v>
          </cell>
          <cell r="L340">
            <v>0</v>
          </cell>
        </row>
        <row r="341">
          <cell r="I341">
            <v>416000</v>
          </cell>
          <cell r="K341">
            <v>104000</v>
          </cell>
          <cell r="L341">
            <v>312000</v>
          </cell>
        </row>
        <row r="342">
          <cell r="I342">
            <v>104000</v>
          </cell>
          <cell r="K342">
            <v>0</v>
          </cell>
          <cell r="L342">
            <v>104000</v>
          </cell>
        </row>
        <row r="343">
          <cell r="I343">
            <v>520000</v>
          </cell>
          <cell r="K343">
            <v>0</v>
          </cell>
          <cell r="L343">
            <v>520000</v>
          </cell>
        </row>
        <row r="344">
          <cell r="I344">
            <v>416000</v>
          </cell>
          <cell r="K344">
            <v>416000</v>
          </cell>
          <cell r="L344">
            <v>0</v>
          </cell>
        </row>
        <row r="345">
          <cell r="I345">
            <v>104000</v>
          </cell>
          <cell r="K345">
            <v>0</v>
          </cell>
          <cell r="L345">
            <v>104000</v>
          </cell>
        </row>
        <row r="347">
          <cell r="I347">
            <v>208000</v>
          </cell>
          <cell r="K347">
            <v>0</v>
          </cell>
          <cell r="L347">
            <v>173204.22</v>
          </cell>
        </row>
        <row r="348">
          <cell r="I348">
            <v>208000</v>
          </cell>
          <cell r="K348">
            <v>0</v>
          </cell>
          <cell r="L348">
            <v>208000</v>
          </cell>
        </row>
        <row r="349">
          <cell r="I349">
            <v>312000</v>
          </cell>
          <cell r="K349">
            <v>312000</v>
          </cell>
          <cell r="L349">
            <v>0</v>
          </cell>
        </row>
        <row r="350">
          <cell r="I350">
            <v>104000</v>
          </cell>
          <cell r="K350">
            <v>0</v>
          </cell>
          <cell r="L350">
            <v>104000</v>
          </cell>
        </row>
        <row r="351">
          <cell r="I351">
            <v>104000</v>
          </cell>
          <cell r="K351">
            <v>104000</v>
          </cell>
          <cell r="L351">
            <v>0</v>
          </cell>
        </row>
        <row r="352">
          <cell r="I352">
            <v>208000</v>
          </cell>
          <cell r="K352">
            <v>208000</v>
          </cell>
          <cell r="L352">
            <v>0</v>
          </cell>
        </row>
        <row r="353">
          <cell r="I353">
            <v>208000</v>
          </cell>
          <cell r="K353">
            <v>208000</v>
          </cell>
          <cell r="L353">
            <v>0</v>
          </cell>
        </row>
        <row r="354">
          <cell r="I354">
            <v>104000</v>
          </cell>
          <cell r="K354">
            <v>104000</v>
          </cell>
          <cell r="L354">
            <v>0</v>
          </cell>
        </row>
        <row r="355">
          <cell r="I355">
            <v>104000</v>
          </cell>
          <cell r="K355">
            <v>0</v>
          </cell>
          <cell r="L355">
            <v>98500</v>
          </cell>
        </row>
        <row r="358">
          <cell r="I358">
            <v>104000</v>
          </cell>
          <cell r="K358">
            <v>0</v>
          </cell>
          <cell r="L358">
            <v>104000</v>
          </cell>
        </row>
        <row r="359">
          <cell r="I359">
            <v>208000</v>
          </cell>
          <cell r="K359">
            <v>61500</v>
          </cell>
          <cell r="L359">
            <v>104000</v>
          </cell>
        </row>
        <row r="360">
          <cell r="I360">
            <v>104000</v>
          </cell>
          <cell r="K360">
            <v>93200</v>
          </cell>
          <cell r="L360">
            <v>0</v>
          </cell>
        </row>
        <row r="361">
          <cell r="I361">
            <v>104000</v>
          </cell>
          <cell r="K361">
            <v>104000</v>
          </cell>
          <cell r="L361">
            <v>0</v>
          </cell>
        </row>
        <row r="362">
          <cell r="I362">
            <v>104000</v>
          </cell>
          <cell r="K362">
            <v>84200</v>
          </cell>
          <cell r="L362">
            <v>0</v>
          </cell>
        </row>
        <row r="364">
          <cell r="I364">
            <v>104000</v>
          </cell>
          <cell r="K364">
            <v>0</v>
          </cell>
          <cell r="L364">
            <v>77450.259999999995</v>
          </cell>
        </row>
        <row r="365">
          <cell r="I365">
            <v>832000</v>
          </cell>
          <cell r="K365">
            <v>0</v>
          </cell>
          <cell r="L365">
            <v>661630</v>
          </cell>
        </row>
        <row r="366">
          <cell r="I366">
            <v>416000</v>
          </cell>
          <cell r="K366">
            <v>208000</v>
          </cell>
          <cell r="L366">
            <v>208000</v>
          </cell>
        </row>
        <row r="367">
          <cell r="I367">
            <v>520000</v>
          </cell>
          <cell r="K367">
            <v>416000</v>
          </cell>
          <cell r="L367">
            <v>104000</v>
          </cell>
        </row>
        <row r="368">
          <cell r="I368">
            <v>208000</v>
          </cell>
          <cell r="K368">
            <v>208000</v>
          </cell>
          <cell r="L368">
            <v>0</v>
          </cell>
        </row>
        <row r="369">
          <cell r="I369">
            <v>208000</v>
          </cell>
          <cell r="K369">
            <v>104000</v>
          </cell>
          <cell r="L369">
            <v>104000</v>
          </cell>
        </row>
        <row r="370">
          <cell r="I370">
            <v>312000</v>
          </cell>
          <cell r="K370">
            <v>208000</v>
          </cell>
          <cell r="L370">
            <v>104000</v>
          </cell>
        </row>
        <row r="371">
          <cell r="I371">
            <v>624000</v>
          </cell>
          <cell r="K371">
            <v>312000</v>
          </cell>
          <cell r="L371">
            <v>312000</v>
          </cell>
        </row>
        <row r="372">
          <cell r="I372">
            <v>416000</v>
          </cell>
          <cell r="K372">
            <v>0</v>
          </cell>
          <cell r="L372">
            <v>416000</v>
          </cell>
        </row>
        <row r="373">
          <cell r="I373">
            <v>208000</v>
          </cell>
          <cell r="K373">
            <v>0</v>
          </cell>
          <cell r="L373">
            <v>173300</v>
          </cell>
        </row>
        <row r="374">
          <cell r="I374">
            <v>104000</v>
          </cell>
          <cell r="K374">
            <v>0</v>
          </cell>
          <cell r="L374">
            <v>104000</v>
          </cell>
        </row>
        <row r="375">
          <cell r="I375">
            <v>208000</v>
          </cell>
          <cell r="K375">
            <v>0</v>
          </cell>
          <cell r="L375">
            <v>187800</v>
          </cell>
        </row>
        <row r="376">
          <cell r="I376">
            <v>104000</v>
          </cell>
          <cell r="K376">
            <v>0</v>
          </cell>
          <cell r="L376">
            <v>104000</v>
          </cell>
        </row>
        <row r="377">
          <cell r="I377">
            <v>208000</v>
          </cell>
          <cell r="K377">
            <v>0</v>
          </cell>
          <cell r="L377">
            <v>111900</v>
          </cell>
        </row>
        <row r="378">
          <cell r="I378">
            <v>104000</v>
          </cell>
          <cell r="K378">
            <v>0</v>
          </cell>
          <cell r="L378">
            <v>102042.66</v>
          </cell>
        </row>
        <row r="379">
          <cell r="I379">
            <v>104000</v>
          </cell>
          <cell r="K379">
            <v>0</v>
          </cell>
          <cell r="L379">
            <v>93700</v>
          </cell>
        </row>
        <row r="380">
          <cell r="I380">
            <v>104000</v>
          </cell>
          <cell r="K380">
            <v>0</v>
          </cell>
          <cell r="L380">
            <v>104000</v>
          </cell>
        </row>
        <row r="381">
          <cell r="I381">
            <v>104000</v>
          </cell>
          <cell r="K381">
            <v>0</v>
          </cell>
          <cell r="L381">
            <v>104000</v>
          </cell>
        </row>
        <row r="384">
          <cell r="I384">
            <v>208000</v>
          </cell>
          <cell r="K384">
            <v>208000</v>
          </cell>
          <cell r="L384">
            <v>0</v>
          </cell>
        </row>
        <row r="385">
          <cell r="I385">
            <v>104000</v>
          </cell>
          <cell r="K385">
            <v>104000</v>
          </cell>
          <cell r="L385">
            <v>0</v>
          </cell>
        </row>
        <row r="386">
          <cell r="I386">
            <v>208000</v>
          </cell>
          <cell r="K386">
            <v>208000</v>
          </cell>
          <cell r="L386">
            <v>0</v>
          </cell>
        </row>
        <row r="387">
          <cell r="I387">
            <v>104000</v>
          </cell>
          <cell r="K387">
            <v>0</v>
          </cell>
          <cell r="L387">
            <v>0</v>
          </cell>
        </row>
        <row r="389">
          <cell r="I389">
            <v>104000</v>
          </cell>
          <cell r="K389">
            <v>0</v>
          </cell>
          <cell r="L389">
            <v>86390</v>
          </cell>
        </row>
        <row r="390">
          <cell r="K390">
            <v>0</v>
          </cell>
          <cell r="L390">
            <v>67705</v>
          </cell>
        </row>
        <row r="391">
          <cell r="I391">
            <v>104000</v>
          </cell>
          <cell r="K391">
            <v>104000</v>
          </cell>
          <cell r="L391">
            <v>0</v>
          </cell>
        </row>
        <row r="392">
          <cell r="I392">
            <v>104000</v>
          </cell>
          <cell r="K392">
            <v>104000</v>
          </cell>
          <cell r="L392">
            <v>0</v>
          </cell>
        </row>
        <row r="393">
          <cell r="I393">
            <v>104000</v>
          </cell>
          <cell r="K393">
            <v>104000</v>
          </cell>
          <cell r="L393">
            <v>0</v>
          </cell>
        </row>
        <row r="394">
          <cell r="I394">
            <v>208000</v>
          </cell>
          <cell r="K394">
            <v>197500</v>
          </cell>
          <cell r="L394">
            <v>0</v>
          </cell>
        </row>
        <row r="395">
          <cell r="I395">
            <v>104000</v>
          </cell>
          <cell r="K395">
            <v>104000</v>
          </cell>
          <cell r="L395">
            <v>0</v>
          </cell>
        </row>
        <row r="396">
          <cell r="I396">
            <v>104000</v>
          </cell>
          <cell r="K396">
            <v>0</v>
          </cell>
          <cell r="L396">
            <v>0</v>
          </cell>
        </row>
        <row r="397">
          <cell r="I397">
            <v>104000</v>
          </cell>
          <cell r="K397">
            <v>0</v>
          </cell>
          <cell r="L397">
            <v>104000</v>
          </cell>
        </row>
        <row r="398">
          <cell r="I398">
            <v>104000</v>
          </cell>
          <cell r="K398">
            <v>0</v>
          </cell>
          <cell r="L398">
            <v>83720</v>
          </cell>
        </row>
        <row r="399">
          <cell r="I399">
            <v>208000</v>
          </cell>
          <cell r="K399">
            <v>0</v>
          </cell>
          <cell r="L399">
            <v>0</v>
          </cell>
        </row>
        <row r="400">
          <cell r="I400">
            <v>104000</v>
          </cell>
          <cell r="K400">
            <v>104000</v>
          </cell>
          <cell r="L400">
            <v>0</v>
          </cell>
        </row>
        <row r="402">
          <cell r="I402">
            <v>104000</v>
          </cell>
          <cell r="K402">
            <v>0</v>
          </cell>
          <cell r="L402">
            <v>104000</v>
          </cell>
        </row>
        <row r="403">
          <cell r="I403">
            <v>104000</v>
          </cell>
          <cell r="K403">
            <v>0</v>
          </cell>
          <cell r="L403">
            <v>39350</v>
          </cell>
        </row>
        <row r="404">
          <cell r="I404">
            <v>208000</v>
          </cell>
          <cell r="K404">
            <v>0</v>
          </cell>
          <cell r="L404">
            <v>187966</v>
          </cell>
        </row>
        <row r="405">
          <cell r="I405">
            <v>208000</v>
          </cell>
          <cell r="K405">
            <v>0</v>
          </cell>
          <cell r="L405">
            <v>208000</v>
          </cell>
        </row>
        <row r="406">
          <cell r="I406">
            <v>728000</v>
          </cell>
          <cell r="K406">
            <v>0</v>
          </cell>
          <cell r="L406">
            <v>705350.65</v>
          </cell>
        </row>
        <row r="407">
          <cell r="K407">
            <v>0</v>
          </cell>
          <cell r="L407">
            <v>77481.48</v>
          </cell>
        </row>
        <row r="408">
          <cell r="I408">
            <v>312000</v>
          </cell>
          <cell r="K408">
            <v>0</v>
          </cell>
          <cell r="L408">
            <v>281500</v>
          </cell>
        </row>
        <row r="409">
          <cell r="I409">
            <v>208000</v>
          </cell>
          <cell r="K409">
            <v>0</v>
          </cell>
          <cell r="L409">
            <v>186043.32</v>
          </cell>
        </row>
        <row r="410">
          <cell r="I410">
            <v>208000</v>
          </cell>
          <cell r="K410">
            <v>0</v>
          </cell>
          <cell r="L410">
            <v>193499.68</v>
          </cell>
        </row>
        <row r="411">
          <cell r="I411">
            <v>104000</v>
          </cell>
          <cell r="K411">
            <v>0</v>
          </cell>
          <cell r="L411">
            <v>79580.240000000005</v>
          </cell>
        </row>
        <row r="412">
          <cell r="I412">
            <v>104000</v>
          </cell>
          <cell r="K412">
            <v>0</v>
          </cell>
          <cell r="L412">
            <v>104000</v>
          </cell>
        </row>
        <row r="413">
          <cell r="I413">
            <v>104000</v>
          </cell>
          <cell r="K413">
            <v>0</v>
          </cell>
          <cell r="L413">
            <v>99614</v>
          </cell>
        </row>
        <row r="414">
          <cell r="I414">
            <v>104000</v>
          </cell>
          <cell r="K414">
            <v>104000</v>
          </cell>
          <cell r="L414">
            <v>0</v>
          </cell>
        </row>
        <row r="415">
          <cell r="I415">
            <v>104000</v>
          </cell>
          <cell r="K415">
            <v>67100</v>
          </cell>
          <cell r="L415">
            <v>0</v>
          </cell>
        </row>
        <row r="416">
          <cell r="I416">
            <v>728000</v>
          </cell>
          <cell r="K416">
            <v>728000</v>
          </cell>
          <cell r="L416">
            <v>0</v>
          </cell>
        </row>
        <row r="418">
          <cell r="I418">
            <v>104000</v>
          </cell>
          <cell r="K418">
            <v>104000</v>
          </cell>
          <cell r="L418">
            <v>0</v>
          </cell>
        </row>
        <row r="419">
          <cell r="I419">
            <v>208000</v>
          </cell>
          <cell r="K419">
            <v>0</v>
          </cell>
          <cell r="L419">
            <v>165960</v>
          </cell>
        </row>
        <row r="420">
          <cell r="I420">
            <v>208000</v>
          </cell>
          <cell r="K420">
            <v>0</v>
          </cell>
          <cell r="L420">
            <v>208000</v>
          </cell>
        </row>
        <row r="421">
          <cell r="I421">
            <v>104000</v>
          </cell>
          <cell r="K421">
            <v>104000</v>
          </cell>
          <cell r="L421">
            <v>0</v>
          </cell>
        </row>
        <row r="422">
          <cell r="I422">
            <v>104000</v>
          </cell>
          <cell r="K422">
            <v>0</v>
          </cell>
          <cell r="L422">
            <v>85260</v>
          </cell>
        </row>
        <row r="423">
          <cell r="I423">
            <v>208000</v>
          </cell>
          <cell r="K423">
            <v>0</v>
          </cell>
          <cell r="L423">
            <v>104000</v>
          </cell>
        </row>
        <row r="424">
          <cell r="I424">
            <v>312000</v>
          </cell>
          <cell r="K424">
            <v>0</v>
          </cell>
          <cell r="L424">
            <v>312000</v>
          </cell>
        </row>
        <row r="425">
          <cell r="I425">
            <v>624000</v>
          </cell>
          <cell r="K425">
            <v>0</v>
          </cell>
          <cell r="L425">
            <v>624000</v>
          </cell>
        </row>
        <row r="426">
          <cell r="I426">
            <v>104000</v>
          </cell>
          <cell r="K426">
            <v>0</v>
          </cell>
          <cell r="L426">
            <v>104000</v>
          </cell>
        </row>
        <row r="427">
          <cell r="I427">
            <v>208000</v>
          </cell>
          <cell r="K427">
            <v>208000</v>
          </cell>
          <cell r="L427">
            <v>0</v>
          </cell>
        </row>
        <row r="428">
          <cell r="I428">
            <v>416000</v>
          </cell>
          <cell r="K428">
            <v>312000</v>
          </cell>
          <cell r="L428">
            <v>104000</v>
          </cell>
        </row>
        <row r="429">
          <cell r="I429">
            <v>104000</v>
          </cell>
          <cell r="K429">
            <v>0</v>
          </cell>
          <cell r="L429">
            <v>104000</v>
          </cell>
        </row>
        <row r="430">
          <cell r="I430">
            <v>104000</v>
          </cell>
          <cell r="K430">
            <v>0</v>
          </cell>
          <cell r="L430">
            <v>81600</v>
          </cell>
        </row>
        <row r="431">
          <cell r="I431">
            <v>104000</v>
          </cell>
          <cell r="K431">
            <v>0</v>
          </cell>
          <cell r="L431">
            <v>104000</v>
          </cell>
        </row>
        <row r="432">
          <cell r="I432">
            <v>104000</v>
          </cell>
          <cell r="K432">
            <v>0</v>
          </cell>
          <cell r="L432">
            <v>104000</v>
          </cell>
        </row>
        <row r="434">
          <cell r="I434">
            <v>104000</v>
          </cell>
          <cell r="K434">
            <v>43800</v>
          </cell>
          <cell r="L434">
            <v>0</v>
          </cell>
        </row>
        <row r="435">
          <cell r="I435">
            <v>104000</v>
          </cell>
          <cell r="K435">
            <v>74900</v>
          </cell>
          <cell r="L435">
            <v>0</v>
          </cell>
        </row>
        <row r="436">
          <cell r="I436">
            <v>104000</v>
          </cell>
          <cell r="K436">
            <v>0</v>
          </cell>
          <cell r="L436">
            <v>104000</v>
          </cell>
        </row>
        <row r="437">
          <cell r="I437">
            <v>104000</v>
          </cell>
          <cell r="K437">
            <v>0</v>
          </cell>
          <cell r="L437">
            <v>104000</v>
          </cell>
        </row>
        <row r="438">
          <cell r="I438">
            <v>104000</v>
          </cell>
          <cell r="K438">
            <v>0</v>
          </cell>
          <cell r="L438">
            <v>104000</v>
          </cell>
        </row>
        <row r="439">
          <cell r="I439">
            <v>520000</v>
          </cell>
          <cell r="K439">
            <v>0</v>
          </cell>
          <cell r="L439">
            <v>520000</v>
          </cell>
        </row>
        <row r="440">
          <cell r="I440">
            <v>208000</v>
          </cell>
          <cell r="K440">
            <v>0</v>
          </cell>
          <cell r="L440">
            <v>208000</v>
          </cell>
        </row>
        <row r="441">
          <cell r="I441">
            <v>208000</v>
          </cell>
          <cell r="K441">
            <v>0</v>
          </cell>
          <cell r="L441">
            <v>208000</v>
          </cell>
        </row>
        <row r="442">
          <cell r="I442">
            <v>208000</v>
          </cell>
          <cell r="K442">
            <v>0</v>
          </cell>
          <cell r="L442">
            <v>208000</v>
          </cell>
        </row>
        <row r="443">
          <cell r="I443">
            <v>104000</v>
          </cell>
          <cell r="K443">
            <v>0</v>
          </cell>
          <cell r="L443">
            <v>104000</v>
          </cell>
        </row>
        <row r="445">
          <cell r="I445">
            <v>104000</v>
          </cell>
          <cell r="K445">
            <v>104000</v>
          </cell>
          <cell r="L445">
            <v>0</v>
          </cell>
        </row>
        <row r="447">
          <cell r="I447">
            <v>208000</v>
          </cell>
          <cell r="K447">
            <v>192760</v>
          </cell>
          <cell r="L447">
            <v>0</v>
          </cell>
        </row>
        <row r="448">
          <cell r="I448">
            <v>520000</v>
          </cell>
          <cell r="K448">
            <v>520000</v>
          </cell>
          <cell r="L448">
            <v>0</v>
          </cell>
        </row>
        <row r="449">
          <cell r="I449">
            <v>312000</v>
          </cell>
          <cell r="K449">
            <v>307272</v>
          </cell>
          <cell r="L449">
            <v>0</v>
          </cell>
        </row>
        <row r="450">
          <cell r="I450">
            <v>1352000</v>
          </cell>
          <cell r="K450">
            <v>1267175</v>
          </cell>
          <cell r="L450">
            <v>0</v>
          </cell>
        </row>
        <row r="451">
          <cell r="I451">
            <v>208000</v>
          </cell>
          <cell r="K451">
            <v>0</v>
          </cell>
          <cell r="L451">
            <v>158720.26</v>
          </cell>
        </row>
        <row r="452">
          <cell r="I452">
            <v>104000</v>
          </cell>
          <cell r="K452">
            <v>104000</v>
          </cell>
          <cell r="L452">
            <v>0</v>
          </cell>
        </row>
        <row r="453">
          <cell r="I453">
            <v>312000</v>
          </cell>
          <cell r="K453">
            <v>312000</v>
          </cell>
          <cell r="L453">
            <v>0</v>
          </cell>
        </row>
        <row r="454">
          <cell r="I454">
            <v>416000</v>
          </cell>
          <cell r="K454">
            <v>416000</v>
          </cell>
          <cell r="L454">
            <v>0</v>
          </cell>
        </row>
        <row r="455">
          <cell r="I455">
            <v>208000</v>
          </cell>
          <cell r="K455">
            <v>0</v>
          </cell>
          <cell r="L455">
            <v>208000</v>
          </cell>
        </row>
        <row r="456">
          <cell r="I456">
            <v>104000</v>
          </cell>
          <cell r="K456">
            <v>0</v>
          </cell>
          <cell r="L456">
            <v>104000</v>
          </cell>
        </row>
        <row r="457">
          <cell r="I457">
            <v>728000</v>
          </cell>
          <cell r="K457">
            <v>0</v>
          </cell>
          <cell r="L457">
            <v>646169.42000000004</v>
          </cell>
        </row>
        <row r="458">
          <cell r="I458">
            <v>520000</v>
          </cell>
          <cell r="K458">
            <v>0</v>
          </cell>
          <cell r="L458">
            <v>518941.68</v>
          </cell>
        </row>
        <row r="459">
          <cell r="I459">
            <v>104000</v>
          </cell>
          <cell r="K459">
            <v>0</v>
          </cell>
          <cell r="L459">
            <v>85410</v>
          </cell>
        </row>
        <row r="460">
          <cell r="I460">
            <v>104000</v>
          </cell>
          <cell r="K460">
            <v>0</v>
          </cell>
          <cell r="L460">
            <v>100722</v>
          </cell>
        </row>
        <row r="461">
          <cell r="I461">
            <v>208000</v>
          </cell>
          <cell r="K461">
            <v>208000</v>
          </cell>
          <cell r="L461">
            <v>0</v>
          </cell>
        </row>
        <row r="462">
          <cell r="I462">
            <v>104000</v>
          </cell>
          <cell r="K462">
            <v>0</v>
          </cell>
          <cell r="L462">
            <v>104000</v>
          </cell>
        </row>
        <row r="463">
          <cell r="I463">
            <v>520000</v>
          </cell>
          <cell r="K463">
            <v>0</v>
          </cell>
          <cell r="L463">
            <v>453973.96</v>
          </cell>
        </row>
        <row r="464">
          <cell r="I464">
            <v>104000</v>
          </cell>
          <cell r="K464">
            <v>0</v>
          </cell>
          <cell r="L464">
            <v>72545</v>
          </cell>
        </row>
        <row r="465">
          <cell r="I465">
            <v>208000</v>
          </cell>
          <cell r="K465">
            <v>0</v>
          </cell>
          <cell r="L465">
            <v>208000</v>
          </cell>
        </row>
        <row r="466">
          <cell r="I466">
            <v>520000</v>
          </cell>
          <cell r="K466">
            <v>0</v>
          </cell>
          <cell r="L466">
            <v>452088</v>
          </cell>
        </row>
        <row r="467">
          <cell r="I467">
            <v>104000</v>
          </cell>
          <cell r="K467">
            <v>81500</v>
          </cell>
          <cell r="L467">
            <v>0</v>
          </cell>
        </row>
        <row r="468">
          <cell r="I468">
            <v>104000</v>
          </cell>
          <cell r="K468">
            <v>104000</v>
          </cell>
          <cell r="L468">
            <v>0</v>
          </cell>
        </row>
        <row r="469">
          <cell r="I469">
            <v>104000</v>
          </cell>
          <cell r="K469">
            <v>104000</v>
          </cell>
          <cell r="L469">
            <v>0</v>
          </cell>
        </row>
        <row r="470">
          <cell r="I470">
            <v>104000</v>
          </cell>
          <cell r="K470">
            <v>0</v>
          </cell>
          <cell r="L470">
            <v>104000</v>
          </cell>
        </row>
        <row r="471">
          <cell r="I471">
            <v>104000</v>
          </cell>
          <cell r="K471">
            <v>0</v>
          </cell>
          <cell r="L471">
            <v>104000</v>
          </cell>
        </row>
        <row r="472">
          <cell r="I472">
            <v>104000</v>
          </cell>
          <cell r="K472">
            <v>104000</v>
          </cell>
          <cell r="L472">
            <v>0</v>
          </cell>
        </row>
        <row r="473">
          <cell r="I473">
            <v>208000</v>
          </cell>
          <cell r="K473">
            <v>109400</v>
          </cell>
          <cell r="L473">
            <v>0</v>
          </cell>
        </row>
        <row r="474">
          <cell r="I474">
            <v>104000</v>
          </cell>
          <cell r="K474">
            <v>0</v>
          </cell>
          <cell r="L474">
            <v>102290</v>
          </cell>
        </row>
        <row r="475">
          <cell r="I475">
            <v>104000</v>
          </cell>
          <cell r="K475">
            <v>72563</v>
          </cell>
          <cell r="L475">
            <v>0</v>
          </cell>
        </row>
        <row r="476">
          <cell r="I476">
            <v>104000</v>
          </cell>
          <cell r="K476">
            <v>0</v>
          </cell>
          <cell r="L476">
            <v>28523</v>
          </cell>
        </row>
        <row r="477">
          <cell r="I477">
            <v>208000</v>
          </cell>
          <cell r="K477">
            <v>0</v>
          </cell>
          <cell r="L477">
            <v>133043</v>
          </cell>
        </row>
        <row r="481">
          <cell r="I481">
            <v>104000</v>
          </cell>
          <cell r="K481">
            <v>0</v>
          </cell>
          <cell r="L481">
            <v>0</v>
          </cell>
        </row>
        <row r="483">
          <cell r="I483">
            <v>312000</v>
          </cell>
          <cell r="K483">
            <v>312000</v>
          </cell>
          <cell r="L483">
            <v>0</v>
          </cell>
        </row>
        <row r="484">
          <cell r="I484">
            <v>312000</v>
          </cell>
          <cell r="K484">
            <v>312000</v>
          </cell>
          <cell r="L484">
            <v>0</v>
          </cell>
        </row>
        <row r="486">
          <cell r="I486">
            <v>104000</v>
          </cell>
          <cell r="K486">
            <v>0</v>
          </cell>
          <cell r="L486">
            <v>104000</v>
          </cell>
        </row>
        <row r="488">
          <cell r="I488">
            <v>104000</v>
          </cell>
          <cell r="K488">
            <v>0</v>
          </cell>
          <cell r="L488">
            <v>104000</v>
          </cell>
        </row>
        <row r="489">
          <cell r="I489">
            <v>208000</v>
          </cell>
          <cell r="K489">
            <v>0</v>
          </cell>
          <cell r="L489">
            <v>208000</v>
          </cell>
        </row>
        <row r="490">
          <cell r="I490">
            <v>104000</v>
          </cell>
          <cell r="K490">
            <v>76000</v>
          </cell>
          <cell r="L490">
            <v>0</v>
          </cell>
        </row>
        <row r="491">
          <cell r="I491">
            <v>208000</v>
          </cell>
          <cell r="K491">
            <v>104000</v>
          </cell>
          <cell r="L491">
            <v>104000</v>
          </cell>
        </row>
        <row r="493">
          <cell r="I493">
            <v>208000</v>
          </cell>
          <cell r="K493">
            <v>0</v>
          </cell>
          <cell r="L493">
            <v>207567.89</v>
          </cell>
        </row>
        <row r="494">
          <cell r="I494">
            <v>104000</v>
          </cell>
          <cell r="K494">
            <v>104000</v>
          </cell>
          <cell r="L494">
            <v>0</v>
          </cell>
        </row>
        <row r="495">
          <cell r="I495">
            <v>104000</v>
          </cell>
          <cell r="K495">
            <v>104000</v>
          </cell>
          <cell r="L495">
            <v>0</v>
          </cell>
        </row>
        <row r="496">
          <cell r="I496">
            <v>624000</v>
          </cell>
          <cell r="K496">
            <v>624000</v>
          </cell>
          <cell r="L496">
            <v>0</v>
          </cell>
        </row>
        <row r="497">
          <cell r="I497">
            <v>312000</v>
          </cell>
          <cell r="K497">
            <v>77590</v>
          </cell>
          <cell r="L497">
            <v>75684</v>
          </cell>
        </row>
        <row r="498">
          <cell r="I498">
            <v>208000</v>
          </cell>
          <cell r="K498">
            <v>0</v>
          </cell>
          <cell r="L498">
            <v>144176.49</v>
          </cell>
        </row>
        <row r="499">
          <cell r="I499">
            <v>208000</v>
          </cell>
          <cell r="K499">
            <v>0</v>
          </cell>
          <cell r="L499">
            <v>179598</v>
          </cell>
        </row>
        <row r="501">
          <cell r="I501">
            <v>624000</v>
          </cell>
          <cell r="K501">
            <v>0</v>
          </cell>
          <cell r="L501">
            <v>624000</v>
          </cell>
        </row>
        <row r="502">
          <cell r="I502">
            <v>104000</v>
          </cell>
          <cell r="K502">
            <v>0</v>
          </cell>
          <cell r="L502">
            <v>76220.06</v>
          </cell>
        </row>
        <row r="503">
          <cell r="I503">
            <v>208000</v>
          </cell>
          <cell r="K503">
            <v>0</v>
          </cell>
          <cell r="L503">
            <v>208000</v>
          </cell>
        </row>
        <row r="504">
          <cell r="I504">
            <v>104000</v>
          </cell>
          <cell r="K504">
            <v>0</v>
          </cell>
          <cell r="L504">
            <v>92186.05</v>
          </cell>
        </row>
        <row r="505">
          <cell r="I505">
            <v>104000</v>
          </cell>
          <cell r="K505">
            <v>0</v>
          </cell>
          <cell r="L505">
            <v>104000</v>
          </cell>
        </row>
        <row r="506">
          <cell r="I506">
            <v>104000</v>
          </cell>
          <cell r="K506">
            <v>0</v>
          </cell>
          <cell r="L506">
            <v>0</v>
          </cell>
        </row>
        <row r="507">
          <cell r="I507">
            <v>208000</v>
          </cell>
          <cell r="K507">
            <v>0</v>
          </cell>
          <cell r="L507">
            <v>0</v>
          </cell>
        </row>
        <row r="508">
          <cell r="I508">
            <v>104000</v>
          </cell>
          <cell r="K508">
            <v>0</v>
          </cell>
          <cell r="L508">
            <v>101500</v>
          </cell>
        </row>
        <row r="509">
          <cell r="I509">
            <v>312000</v>
          </cell>
          <cell r="K509">
            <v>74400</v>
          </cell>
          <cell r="L509">
            <v>0</v>
          </cell>
        </row>
        <row r="510">
          <cell r="I510">
            <v>104000</v>
          </cell>
          <cell r="K510">
            <v>0</v>
          </cell>
          <cell r="L510">
            <v>0</v>
          </cell>
        </row>
        <row r="512">
          <cell r="I512">
            <v>104000</v>
          </cell>
          <cell r="K512">
            <v>0</v>
          </cell>
          <cell r="L512">
            <v>74582.38</v>
          </cell>
        </row>
        <row r="513">
          <cell r="K513">
            <v>74500</v>
          </cell>
          <cell r="L513">
            <v>158396</v>
          </cell>
        </row>
        <row r="514">
          <cell r="I514">
            <v>104000</v>
          </cell>
          <cell r="K514">
            <v>104000</v>
          </cell>
          <cell r="L514">
            <v>0</v>
          </cell>
        </row>
        <row r="515">
          <cell r="I515">
            <v>208000</v>
          </cell>
          <cell r="K515">
            <v>0</v>
          </cell>
          <cell r="L515">
            <v>197600</v>
          </cell>
        </row>
        <row r="516">
          <cell r="I516">
            <v>208000</v>
          </cell>
          <cell r="K516">
            <v>0</v>
          </cell>
          <cell r="L516">
            <v>208000</v>
          </cell>
        </row>
        <row r="517">
          <cell r="I517">
            <v>104000</v>
          </cell>
          <cell r="K517">
            <v>0</v>
          </cell>
          <cell r="L517">
            <v>76421.460000000006</v>
          </cell>
        </row>
        <row r="518">
          <cell r="I518">
            <v>104000</v>
          </cell>
          <cell r="K518">
            <v>0</v>
          </cell>
          <cell r="L518">
            <v>104000</v>
          </cell>
        </row>
        <row r="519">
          <cell r="I519">
            <v>520000</v>
          </cell>
          <cell r="K519">
            <v>0</v>
          </cell>
          <cell r="L519">
            <v>498850.56</v>
          </cell>
        </row>
        <row r="520">
          <cell r="I520">
            <v>45200</v>
          </cell>
          <cell r="K520">
            <v>45200</v>
          </cell>
          <cell r="L520">
            <v>0</v>
          </cell>
        </row>
        <row r="521">
          <cell r="I521">
            <v>90400</v>
          </cell>
          <cell r="K521">
            <v>0</v>
          </cell>
          <cell r="L521">
            <v>90400</v>
          </cell>
        </row>
        <row r="522">
          <cell r="I522">
            <v>45200</v>
          </cell>
          <cell r="K522">
            <v>0</v>
          </cell>
          <cell r="L522">
            <v>45200</v>
          </cell>
        </row>
        <row r="523">
          <cell r="I523">
            <v>45200</v>
          </cell>
          <cell r="K523">
            <v>0</v>
          </cell>
          <cell r="L523">
            <v>45200</v>
          </cell>
        </row>
        <row r="524">
          <cell r="I524">
            <v>45200</v>
          </cell>
          <cell r="K524">
            <v>0</v>
          </cell>
          <cell r="L524">
            <v>45200</v>
          </cell>
        </row>
        <row r="525">
          <cell r="I525">
            <v>45200</v>
          </cell>
          <cell r="K525">
            <v>0</v>
          </cell>
          <cell r="L525">
            <v>42900</v>
          </cell>
        </row>
        <row r="526">
          <cell r="I526">
            <v>45200</v>
          </cell>
          <cell r="K526">
            <v>33984</v>
          </cell>
          <cell r="L526">
            <v>0</v>
          </cell>
        </row>
        <row r="527">
          <cell r="I527">
            <v>38127</v>
          </cell>
          <cell r="K527">
            <v>38127</v>
          </cell>
          <cell r="L527">
            <v>0</v>
          </cell>
        </row>
        <row r="528">
          <cell r="I528">
            <v>126600</v>
          </cell>
          <cell r="K528">
            <v>45200</v>
          </cell>
          <cell r="L528">
            <v>81400</v>
          </cell>
        </row>
        <row r="529">
          <cell r="I529">
            <v>36200</v>
          </cell>
          <cell r="K529">
            <v>25257</v>
          </cell>
          <cell r="L529">
            <v>0</v>
          </cell>
        </row>
        <row r="530">
          <cell r="I530">
            <v>38100</v>
          </cell>
          <cell r="K530">
            <v>38100</v>
          </cell>
          <cell r="L530">
            <v>0</v>
          </cell>
        </row>
        <row r="532">
          <cell r="I532">
            <v>38100</v>
          </cell>
          <cell r="K532">
            <v>0</v>
          </cell>
          <cell r="L532">
            <v>33920</v>
          </cell>
        </row>
        <row r="533">
          <cell r="I533">
            <v>72400</v>
          </cell>
          <cell r="K533">
            <v>48100</v>
          </cell>
          <cell r="L533">
            <v>0</v>
          </cell>
        </row>
        <row r="535">
          <cell r="I535">
            <v>38141</v>
          </cell>
          <cell r="K535">
            <v>0</v>
          </cell>
          <cell r="L535">
            <v>38141</v>
          </cell>
        </row>
        <row r="537">
          <cell r="I537">
            <v>90400</v>
          </cell>
          <cell r="K537">
            <v>0</v>
          </cell>
          <cell r="L537">
            <v>90400</v>
          </cell>
        </row>
        <row r="538">
          <cell r="I538">
            <v>90400</v>
          </cell>
          <cell r="K538">
            <v>0</v>
          </cell>
          <cell r="L538">
            <v>90400</v>
          </cell>
        </row>
        <row r="540">
          <cell r="I540">
            <v>226000</v>
          </cell>
          <cell r="K540">
            <v>180800</v>
          </cell>
          <cell r="L540">
            <v>45200</v>
          </cell>
        </row>
        <row r="544">
          <cell r="I544">
            <v>90400</v>
          </cell>
          <cell r="K544">
            <v>0</v>
          </cell>
          <cell r="L544">
            <v>90400</v>
          </cell>
        </row>
        <row r="545">
          <cell r="I545">
            <v>45200</v>
          </cell>
          <cell r="K545">
            <v>45200</v>
          </cell>
          <cell r="L545">
            <v>0</v>
          </cell>
        </row>
        <row r="546">
          <cell r="I546">
            <v>45200</v>
          </cell>
          <cell r="K546">
            <v>0</v>
          </cell>
          <cell r="L546">
            <v>45200</v>
          </cell>
        </row>
        <row r="547">
          <cell r="I547">
            <v>90400</v>
          </cell>
          <cell r="K547">
            <v>0</v>
          </cell>
          <cell r="L547">
            <v>90400</v>
          </cell>
        </row>
        <row r="548">
          <cell r="I548">
            <v>90400</v>
          </cell>
          <cell r="K548">
            <v>90400</v>
          </cell>
          <cell r="L548">
            <v>0</v>
          </cell>
        </row>
        <row r="549">
          <cell r="I549">
            <v>45200</v>
          </cell>
          <cell r="K549">
            <v>0</v>
          </cell>
          <cell r="L549">
            <v>45200</v>
          </cell>
        </row>
        <row r="550">
          <cell r="I550">
            <v>45200</v>
          </cell>
          <cell r="K550">
            <v>0</v>
          </cell>
          <cell r="L550">
            <v>35152</v>
          </cell>
        </row>
        <row r="551">
          <cell r="I551">
            <v>90400</v>
          </cell>
          <cell r="K551">
            <v>90400</v>
          </cell>
          <cell r="L551">
            <v>0</v>
          </cell>
        </row>
        <row r="552">
          <cell r="I552">
            <v>90400</v>
          </cell>
          <cell r="K552">
            <v>0</v>
          </cell>
          <cell r="L552">
            <v>90400</v>
          </cell>
        </row>
        <row r="553">
          <cell r="I553">
            <v>45200</v>
          </cell>
          <cell r="K553">
            <v>45200</v>
          </cell>
          <cell r="L553">
            <v>0</v>
          </cell>
        </row>
        <row r="554">
          <cell r="I554">
            <v>90400</v>
          </cell>
          <cell r="K554">
            <v>0</v>
          </cell>
          <cell r="L554">
            <v>0</v>
          </cell>
        </row>
        <row r="556">
          <cell r="I556">
            <v>45200</v>
          </cell>
          <cell r="K556">
            <v>45200</v>
          </cell>
          <cell r="L556">
            <v>0</v>
          </cell>
        </row>
        <row r="557">
          <cell r="I557">
            <v>90400</v>
          </cell>
          <cell r="K557">
            <v>0</v>
          </cell>
          <cell r="L557">
            <v>0</v>
          </cell>
        </row>
        <row r="558">
          <cell r="I558">
            <v>90400</v>
          </cell>
          <cell r="K558">
            <v>72048</v>
          </cell>
          <cell r="L558">
            <v>0</v>
          </cell>
        </row>
        <row r="559">
          <cell r="I559">
            <v>45200</v>
          </cell>
          <cell r="K559">
            <v>24420</v>
          </cell>
          <cell r="L559">
            <v>0</v>
          </cell>
        </row>
        <row r="560">
          <cell r="I560">
            <v>45200</v>
          </cell>
          <cell r="K560">
            <v>30700</v>
          </cell>
          <cell r="L560">
            <v>0</v>
          </cell>
        </row>
        <row r="561">
          <cell r="I561">
            <v>45200</v>
          </cell>
          <cell r="K561">
            <v>0</v>
          </cell>
          <cell r="L561">
            <v>45200</v>
          </cell>
        </row>
        <row r="562">
          <cell r="I562">
            <v>45200</v>
          </cell>
          <cell r="K562">
            <v>45200</v>
          </cell>
          <cell r="L562">
            <v>0</v>
          </cell>
        </row>
        <row r="563">
          <cell r="I563">
            <v>45200</v>
          </cell>
          <cell r="K563">
            <v>45200</v>
          </cell>
          <cell r="L563">
            <v>0</v>
          </cell>
        </row>
        <row r="564">
          <cell r="I564">
            <v>90400</v>
          </cell>
          <cell r="K564">
            <v>90400</v>
          </cell>
          <cell r="L564">
            <v>0</v>
          </cell>
        </row>
        <row r="565">
          <cell r="I565">
            <v>45200</v>
          </cell>
          <cell r="K565">
            <v>45200</v>
          </cell>
          <cell r="L565">
            <v>0</v>
          </cell>
        </row>
        <row r="566">
          <cell r="I566">
            <v>45200</v>
          </cell>
          <cell r="K566">
            <v>0</v>
          </cell>
          <cell r="L566">
            <v>45200</v>
          </cell>
        </row>
        <row r="567">
          <cell r="I567">
            <v>45200</v>
          </cell>
          <cell r="K567">
            <v>45200</v>
          </cell>
          <cell r="L567">
            <v>0</v>
          </cell>
        </row>
        <row r="568">
          <cell r="I568">
            <v>180800</v>
          </cell>
          <cell r="K568">
            <v>45200</v>
          </cell>
          <cell r="L568">
            <v>135600</v>
          </cell>
        </row>
        <row r="569">
          <cell r="I569">
            <v>45200</v>
          </cell>
          <cell r="K569">
            <v>0</v>
          </cell>
          <cell r="L569">
            <v>45200</v>
          </cell>
        </row>
        <row r="570">
          <cell r="I570">
            <v>135600</v>
          </cell>
          <cell r="K570">
            <v>135600</v>
          </cell>
          <cell r="L570">
            <v>0</v>
          </cell>
        </row>
        <row r="571">
          <cell r="I571">
            <v>45200</v>
          </cell>
          <cell r="K571">
            <v>45200</v>
          </cell>
          <cell r="L571">
            <v>0</v>
          </cell>
        </row>
        <row r="572">
          <cell r="I572">
            <v>45200</v>
          </cell>
          <cell r="K572">
            <v>0</v>
          </cell>
          <cell r="L572">
            <v>45200</v>
          </cell>
        </row>
        <row r="574">
          <cell r="I574">
            <v>45200</v>
          </cell>
          <cell r="K574">
            <v>0</v>
          </cell>
          <cell r="L574">
            <v>45200</v>
          </cell>
        </row>
        <row r="575">
          <cell r="I575">
            <v>45200</v>
          </cell>
          <cell r="K575">
            <v>26600</v>
          </cell>
          <cell r="L575">
            <v>0</v>
          </cell>
        </row>
        <row r="577">
          <cell r="I577">
            <v>45200</v>
          </cell>
          <cell r="K577">
            <v>45200</v>
          </cell>
          <cell r="L577">
            <v>0</v>
          </cell>
        </row>
        <row r="578">
          <cell r="I578">
            <v>45200</v>
          </cell>
          <cell r="K578">
            <v>45200</v>
          </cell>
          <cell r="L578">
            <v>0</v>
          </cell>
        </row>
        <row r="579">
          <cell r="I579">
            <v>45200</v>
          </cell>
          <cell r="K579">
            <v>0</v>
          </cell>
          <cell r="L579">
            <v>45200</v>
          </cell>
        </row>
        <row r="580">
          <cell r="I580">
            <v>45200</v>
          </cell>
          <cell r="K580">
            <v>45200</v>
          </cell>
          <cell r="L580">
            <v>0</v>
          </cell>
        </row>
        <row r="581">
          <cell r="K581">
            <v>0</v>
          </cell>
          <cell r="L581">
            <v>40600</v>
          </cell>
        </row>
        <row r="582">
          <cell r="I582">
            <v>45200</v>
          </cell>
          <cell r="K582">
            <v>0</v>
          </cell>
          <cell r="L582">
            <v>45200</v>
          </cell>
        </row>
        <row r="583">
          <cell r="I583">
            <v>45200</v>
          </cell>
          <cell r="K583">
            <v>0</v>
          </cell>
          <cell r="L583">
            <v>43700</v>
          </cell>
        </row>
        <row r="585">
          <cell r="I585">
            <v>45200</v>
          </cell>
          <cell r="K585">
            <v>0</v>
          </cell>
          <cell r="L585">
            <v>42500</v>
          </cell>
        </row>
        <row r="586">
          <cell r="I586">
            <v>45200</v>
          </cell>
          <cell r="K586">
            <v>0</v>
          </cell>
          <cell r="L586">
            <v>33604</v>
          </cell>
        </row>
        <row r="587">
          <cell r="I587">
            <v>45200</v>
          </cell>
          <cell r="K587">
            <v>0</v>
          </cell>
          <cell r="L587">
            <v>45200</v>
          </cell>
        </row>
        <row r="588">
          <cell r="I588">
            <v>45200</v>
          </cell>
          <cell r="L588">
            <v>45200</v>
          </cell>
        </row>
        <row r="589">
          <cell r="I589">
            <v>45200</v>
          </cell>
          <cell r="K589">
            <v>0</v>
          </cell>
          <cell r="L589">
            <v>45200</v>
          </cell>
        </row>
        <row r="592">
          <cell r="I592">
            <v>45200</v>
          </cell>
          <cell r="K592">
            <v>45200</v>
          </cell>
          <cell r="L592">
            <v>0</v>
          </cell>
        </row>
        <row r="593">
          <cell r="I593">
            <v>90400</v>
          </cell>
          <cell r="K593">
            <v>0</v>
          </cell>
          <cell r="L593">
            <v>90400</v>
          </cell>
        </row>
        <row r="594">
          <cell r="I594">
            <v>90400</v>
          </cell>
          <cell r="K594">
            <v>0</v>
          </cell>
          <cell r="L594">
            <v>90400</v>
          </cell>
        </row>
        <row r="595">
          <cell r="I595">
            <v>45200</v>
          </cell>
          <cell r="K595">
            <v>45200</v>
          </cell>
          <cell r="L595">
            <v>0</v>
          </cell>
        </row>
        <row r="597">
          <cell r="K597">
            <v>0</v>
          </cell>
          <cell r="L597">
            <v>29538</v>
          </cell>
        </row>
        <row r="599">
          <cell r="I599">
            <v>45200</v>
          </cell>
          <cell r="K599">
            <v>0</v>
          </cell>
          <cell r="L599">
            <v>45200</v>
          </cell>
        </row>
        <row r="601">
          <cell r="I601">
            <v>90400</v>
          </cell>
          <cell r="K601">
            <v>0</v>
          </cell>
          <cell r="L601">
            <v>90400</v>
          </cell>
        </row>
        <row r="602">
          <cell r="I602">
            <v>45200</v>
          </cell>
          <cell r="K602">
            <v>0</v>
          </cell>
          <cell r="L602">
            <v>40847.019999999997</v>
          </cell>
        </row>
        <row r="603">
          <cell r="I603">
            <v>45200</v>
          </cell>
          <cell r="K603">
            <v>0</v>
          </cell>
          <cell r="L603">
            <v>45200</v>
          </cell>
        </row>
        <row r="604">
          <cell r="I604">
            <v>45200</v>
          </cell>
          <cell r="K604">
            <v>0</v>
          </cell>
          <cell r="L604">
            <v>0</v>
          </cell>
        </row>
        <row r="605">
          <cell r="I605">
            <v>180800</v>
          </cell>
          <cell r="K605">
            <v>0</v>
          </cell>
          <cell r="L605">
            <v>180800</v>
          </cell>
        </row>
        <row r="606">
          <cell r="I606">
            <v>45200</v>
          </cell>
          <cell r="K606">
            <v>0</v>
          </cell>
          <cell r="L606">
            <v>40789.480000000003</v>
          </cell>
        </row>
        <row r="607">
          <cell r="I607">
            <v>90400</v>
          </cell>
          <cell r="K607">
            <v>0</v>
          </cell>
          <cell r="L607">
            <v>89175</v>
          </cell>
        </row>
        <row r="608">
          <cell r="I608">
            <v>90400</v>
          </cell>
          <cell r="K608">
            <v>0</v>
          </cell>
          <cell r="L608">
            <v>74286</v>
          </cell>
        </row>
        <row r="609">
          <cell r="I609">
            <v>45200</v>
          </cell>
          <cell r="K609">
            <v>0</v>
          </cell>
          <cell r="L609">
            <v>37750.019999999997</v>
          </cell>
        </row>
        <row r="610">
          <cell r="I610">
            <v>45200</v>
          </cell>
          <cell r="K610">
            <v>0</v>
          </cell>
          <cell r="L610">
            <v>45200</v>
          </cell>
        </row>
        <row r="611">
          <cell r="I611">
            <v>45200</v>
          </cell>
          <cell r="K611">
            <v>0</v>
          </cell>
          <cell r="L611">
            <v>45200</v>
          </cell>
        </row>
        <row r="612">
          <cell r="I612">
            <v>45200</v>
          </cell>
          <cell r="K612">
            <v>0</v>
          </cell>
          <cell r="L612">
            <v>45200</v>
          </cell>
        </row>
        <row r="614">
          <cell r="I614">
            <v>90400</v>
          </cell>
          <cell r="K614">
            <v>90400</v>
          </cell>
          <cell r="L614">
            <v>0</v>
          </cell>
        </row>
        <row r="615">
          <cell r="I615">
            <v>90400</v>
          </cell>
          <cell r="K615">
            <v>0</v>
          </cell>
          <cell r="L615">
            <v>61100</v>
          </cell>
        </row>
        <row r="616">
          <cell r="I616">
            <v>135600</v>
          </cell>
          <cell r="K616">
            <v>135600</v>
          </cell>
          <cell r="L616">
            <v>0</v>
          </cell>
        </row>
        <row r="617">
          <cell r="I617">
            <v>45200</v>
          </cell>
          <cell r="K617">
            <v>45200</v>
          </cell>
          <cell r="L617">
            <v>0</v>
          </cell>
        </row>
        <row r="618">
          <cell r="I618">
            <v>45200</v>
          </cell>
          <cell r="K618">
            <v>0</v>
          </cell>
          <cell r="L618">
            <v>45199.02</v>
          </cell>
        </row>
        <row r="619">
          <cell r="I619">
            <v>45200</v>
          </cell>
          <cell r="K619">
            <v>0</v>
          </cell>
          <cell r="L619">
            <v>35230</v>
          </cell>
        </row>
        <row r="620">
          <cell r="I620">
            <v>45200</v>
          </cell>
          <cell r="K620">
            <v>45200</v>
          </cell>
          <cell r="L620">
            <v>0</v>
          </cell>
        </row>
        <row r="621">
          <cell r="I621">
            <v>45200</v>
          </cell>
          <cell r="K621">
            <v>0</v>
          </cell>
          <cell r="L621">
            <v>45200</v>
          </cell>
        </row>
        <row r="622">
          <cell r="I622">
            <v>45200</v>
          </cell>
          <cell r="K622">
            <v>45200</v>
          </cell>
          <cell r="L622">
            <v>0</v>
          </cell>
        </row>
        <row r="623">
          <cell r="I623">
            <v>45200</v>
          </cell>
          <cell r="K623">
            <v>0</v>
          </cell>
          <cell r="L623">
            <v>43456.86</v>
          </cell>
        </row>
        <row r="624">
          <cell r="I624">
            <v>45200</v>
          </cell>
          <cell r="K624">
            <v>0</v>
          </cell>
          <cell r="L624">
            <v>45200</v>
          </cell>
        </row>
        <row r="626">
          <cell r="I626">
            <v>45200</v>
          </cell>
          <cell r="K626">
            <v>45200</v>
          </cell>
          <cell r="L626">
            <v>0</v>
          </cell>
        </row>
        <row r="627">
          <cell r="I627">
            <v>90400</v>
          </cell>
          <cell r="K627">
            <v>45200</v>
          </cell>
          <cell r="L627">
            <v>0</v>
          </cell>
        </row>
        <row r="628">
          <cell r="I628">
            <v>45200</v>
          </cell>
          <cell r="K628">
            <v>45200</v>
          </cell>
          <cell r="L628">
            <v>0</v>
          </cell>
        </row>
        <row r="629">
          <cell r="I629">
            <v>45200</v>
          </cell>
          <cell r="K629">
            <v>0</v>
          </cell>
          <cell r="L629">
            <v>45200</v>
          </cell>
        </row>
        <row r="630">
          <cell r="I630">
            <v>90400</v>
          </cell>
          <cell r="K630">
            <v>0</v>
          </cell>
          <cell r="L630">
            <v>0</v>
          </cell>
        </row>
        <row r="631">
          <cell r="I631">
            <v>45200</v>
          </cell>
          <cell r="K631">
            <v>0</v>
          </cell>
          <cell r="L631">
            <v>45200</v>
          </cell>
        </row>
        <row r="632">
          <cell r="I632">
            <v>90400</v>
          </cell>
          <cell r="K632">
            <v>0</v>
          </cell>
          <cell r="L632">
            <v>90400</v>
          </cell>
        </row>
        <row r="633">
          <cell r="I633">
            <v>45200</v>
          </cell>
          <cell r="K633">
            <v>0</v>
          </cell>
          <cell r="L633">
            <v>45200</v>
          </cell>
        </row>
        <row r="634">
          <cell r="I634">
            <v>45200</v>
          </cell>
          <cell r="K634">
            <v>0</v>
          </cell>
          <cell r="L634">
            <v>42000</v>
          </cell>
        </row>
        <row r="635">
          <cell r="I635">
            <v>45200</v>
          </cell>
          <cell r="K635">
            <v>0</v>
          </cell>
          <cell r="L635">
            <v>45200</v>
          </cell>
        </row>
        <row r="636">
          <cell r="I636">
            <v>271200</v>
          </cell>
          <cell r="K636">
            <v>0</v>
          </cell>
          <cell r="L636">
            <v>271200</v>
          </cell>
        </row>
        <row r="637">
          <cell r="I637">
            <v>45200</v>
          </cell>
          <cell r="K637">
            <v>0</v>
          </cell>
          <cell r="L637">
            <v>45200</v>
          </cell>
        </row>
        <row r="638">
          <cell r="I638">
            <v>45200</v>
          </cell>
          <cell r="K638">
            <v>0</v>
          </cell>
          <cell r="L638">
            <v>45200</v>
          </cell>
        </row>
        <row r="639">
          <cell r="I639">
            <v>45200</v>
          </cell>
          <cell r="K639">
            <v>0</v>
          </cell>
          <cell r="L639">
            <v>45200</v>
          </cell>
        </row>
        <row r="640">
          <cell r="I640">
            <v>135600</v>
          </cell>
          <cell r="K640">
            <v>125063.64</v>
          </cell>
          <cell r="L640">
            <v>0</v>
          </cell>
        </row>
        <row r="641">
          <cell r="I641">
            <v>226000</v>
          </cell>
          <cell r="K641">
            <v>0</v>
          </cell>
          <cell r="L641">
            <v>226000</v>
          </cell>
        </row>
        <row r="642">
          <cell r="I642">
            <v>45200</v>
          </cell>
          <cell r="K642">
            <v>38127</v>
          </cell>
          <cell r="L642">
            <v>0</v>
          </cell>
        </row>
        <row r="643">
          <cell r="I643">
            <v>135600</v>
          </cell>
          <cell r="K643">
            <v>135600</v>
          </cell>
          <cell r="L643">
            <v>0</v>
          </cell>
        </row>
        <row r="644">
          <cell r="I644">
            <v>90400</v>
          </cell>
          <cell r="K644">
            <v>0</v>
          </cell>
          <cell r="L644">
            <v>66054.570000000007</v>
          </cell>
        </row>
        <row r="645">
          <cell r="I645">
            <v>45200</v>
          </cell>
          <cell r="K645">
            <v>45200</v>
          </cell>
          <cell r="L645">
            <v>0</v>
          </cell>
        </row>
        <row r="646">
          <cell r="I646">
            <v>90400</v>
          </cell>
          <cell r="K646">
            <v>90400</v>
          </cell>
          <cell r="L646">
            <v>0</v>
          </cell>
        </row>
        <row r="647">
          <cell r="I647">
            <v>45200</v>
          </cell>
          <cell r="K647">
            <v>45200</v>
          </cell>
          <cell r="L647">
            <v>0</v>
          </cell>
        </row>
        <row r="648">
          <cell r="I648">
            <v>135600</v>
          </cell>
          <cell r="K648">
            <v>0</v>
          </cell>
          <cell r="L648">
            <v>135600</v>
          </cell>
        </row>
        <row r="649">
          <cell r="I649">
            <v>45200</v>
          </cell>
          <cell r="K649">
            <v>0</v>
          </cell>
          <cell r="L649">
            <v>44132</v>
          </cell>
        </row>
        <row r="650">
          <cell r="I650">
            <v>90400</v>
          </cell>
          <cell r="K650">
            <v>0</v>
          </cell>
          <cell r="L650">
            <v>87276</v>
          </cell>
        </row>
        <row r="651">
          <cell r="I651">
            <v>135600</v>
          </cell>
          <cell r="K651">
            <v>0</v>
          </cell>
          <cell r="L651">
            <v>127625.64</v>
          </cell>
        </row>
        <row r="652">
          <cell r="I652">
            <v>45200</v>
          </cell>
          <cell r="K652">
            <v>0</v>
          </cell>
          <cell r="L652">
            <v>45200</v>
          </cell>
        </row>
        <row r="655">
          <cell r="I655">
            <v>226000</v>
          </cell>
          <cell r="K655">
            <v>0</v>
          </cell>
          <cell r="L655">
            <v>214572.55</v>
          </cell>
        </row>
        <row r="656">
          <cell r="I656">
            <v>45200</v>
          </cell>
          <cell r="K656">
            <v>0</v>
          </cell>
          <cell r="L656">
            <v>30821</v>
          </cell>
        </row>
        <row r="658">
          <cell r="I658">
            <v>45200</v>
          </cell>
          <cell r="K658">
            <v>45200</v>
          </cell>
          <cell r="L658">
            <v>0</v>
          </cell>
        </row>
        <row r="659">
          <cell r="I659">
            <v>90400</v>
          </cell>
          <cell r="K659">
            <v>90400</v>
          </cell>
          <cell r="L659">
            <v>0</v>
          </cell>
        </row>
        <row r="660">
          <cell r="I660">
            <v>45200</v>
          </cell>
          <cell r="K660">
            <v>0</v>
          </cell>
          <cell r="L660">
            <v>32861.160000000003</v>
          </cell>
        </row>
        <row r="661">
          <cell r="I661">
            <v>45200</v>
          </cell>
          <cell r="K661">
            <v>45200</v>
          </cell>
          <cell r="L661">
            <v>0</v>
          </cell>
        </row>
        <row r="662">
          <cell r="I662">
            <v>45200</v>
          </cell>
          <cell r="K662">
            <v>27000</v>
          </cell>
          <cell r="L662">
            <v>0</v>
          </cell>
        </row>
        <row r="663">
          <cell r="I663">
            <v>45200</v>
          </cell>
          <cell r="K663">
            <v>21742</v>
          </cell>
          <cell r="L663">
            <v>0</v>
          </cell>
        </row>
        <row r="664">
          <cell r="I664">
            <v>135600</v>
          </cell>
          <cell r="K664">
            <v>0</v>
          </cell>
          <cell r="L664">
            <v>98790</v>
          </cell>
        </row>
        <row r="665">
          <cell r="I665">
            <v>45200</v>
          </cell>
          <cell r="K665">
            <v>45200</v>
          </cell>
          <cell r="L665">
            <v>0</v>
          </cell>
        </row>
        <row r="666">
          <cell r="I666">
            <v>45200</v>
          </cell>
          <cell r="K666">
            <v>0</v>
          </cell>
          <cell r="L666">
            <v>45200</v>
          </cell>
        </row>
        <row r="667">
          <cell r="I667">
            <v>90400</v>
          </cell>
          <cell r="K667">
            <v>0</v>
          </cell>
          <cell r="L667">
            <v>90400</v>
          </cell>
        </row>
        <row r="668">
          <cell r="I668">
            <v>45200</v>
          </cell>
          <cell r="K668">
            <v>0</v>
          </cell>
          <cell r="L668">
            <v>45200</v>
          </cell>
        </row>
        <row r="669">
          <cell r="I669">
            <v>226000</v>
          </cell>
          <cell r="K669">
            <v>0</v>
          </cell>
          <cell r="L669">
            <v>226000</v>
          </cell>
        </row>
        <row r="670">
          <cell r="I670">
            <v>45200</v>
          </cell>
          <cell r="K670">
            <v>0</v>
          </cell>
          <cell r="L670">
            <v>45200</v>
          </cell>
        </row>
        <row r="671">
          <cell r="I671">
            <v>90400</v>
          </cell>
          <cell r="K671">
            <v>0</v>
          </cell>
          <cell r="L671">
            <v>90400</v>
          </cell>
        </row>
        <row r="672">
          <cell r="I672">
            <v>45200</v>
          </cell>
          <cell r="K672">
            <v>35700</v>
          </cell>
          <cell r="L672">
            <v>0</v>
          </cell>
        </row>
        <row r="673">
          <cell r="I673">
            <v>45200</v>
          </cell>
          <cell r="K673">
            <v>0</v>
          </cell>
          <cell r="L673">
            <v>29200</v>
          </cell>
        </row>
        <row r="674">
          <cell r="I674">
            <v>45200</v>
          </cell>
          <cell r="K674">
            <v>45200</v>
          </cell>
          <cell r="L674">
            <v>0</v>
          </cell>
        </row>
        <row r="675">
          <cell r="I675">
            <v>90400</v>
          </cell>
          <cell r="K675">
            <v>0</v>
          </cell>
          <cell r="L675">
            <v>90400</v>
          </cell>
        </row>
        <row r="676">
          <cell r="I676">
            <v>45200</v>
          </cell>
          <cell r="K676">
            <v>0</v>
          </cell>
          <cell r="L676">
            <v>45200</v>
          </cell>
        </row>
        <row r="677">
          <cell r="I677">
            <v>45200</v>
          </cell>
          <cell r="K677">
            <v>45200</v>
          </cell>
          <cell r="L677">
            <v>0</v>
          </cell>
        </row>
        <row r="678">
          <cell r="I678">
            <v>90400</v>
          </cell>
          <cell r="K678">
            <v>45200</v>
          </cell>
          <cell r="L678">
            <v>0</v>
          </cell>
        </row>
        <row r="679">
          <cell r="I679">
            <v>45200</v>
          </cell>
          <cell r="K679">
            <v>39150.51</v>
          </cell>
          <cell r="L679">
            <v>0</v>
          </cell>
        </row>
        <row r="680">
          <cell r="I680">
            <v>45200</v>
          </cell>
          <cell r="K680">
            <v>0</v>
          </cell>
          <cell r="L680">
            <v>34342</v>
          </cell>
        </row>
        <row r="681">
          <cell r="I681">
            <v>45200</v>
          </cell>
          <cell r="K681">
            <v>0</v>
          </cell>
          <cell r="L681">
            <v>34046.9</v>
          </cell>
        </row>
        <row r="682">
          <cell r="I682">
            <v>45200</v>
          </cell>
          <cell r="K682">
            <v>0</v>
          </cell>
          <cell r="L682">
            <v>32600</v>
          </cell>
        </row>
        <row r="684">
          <cell r="I684">
            <v>45200</v>
          </cell>
          <cell r="K684">
            <v>0</v>
          </cell>
          <cell r="L684">
            <v>35700</v>
          </cell>
        </row>
        <row r="685">
          <cell r="I685">
            <v>45200</v>
          </cell>
          <cell r="K685">
            <v>0</v>
          </cell>
          <cell r="L685">
            <v>45200</v>
          </cell>
        </row>
        <row r="686">
          <cell r="I686">
            <v>135600</v>
          </cell>
          <cell r="K686">
            <v>0</v>
          </cell>
          <cell r="L686">
            <v>135600</v>
          </cell>
        </row>
        <row r="687">
          <cell r="K687">
            <v>0</v>
          </cell>
          <cell r="L687">
            <v>44400</v>
          </cell>
        </row>
        <row r="688">
          <cell r="I688">
            <v>104000</v>
          </cell>
          <cell r="K688">
            <v>0</v>
          </cell>
          <cell r="L688">
            <v>104000</v>
          </cell>
        </row>
        <row r="689">
          <cell r="K689">
            <v>0</v>
          </cell>
          <cell r="L689">
            <v>83839</v>
          </cell>
        </row>
        <row r="690">
          <cell r="I690">
            <v>45200</v>
          </cell>
          <cell r="K690">
            <v>45200</v>
          </cell>
          <cell r="L690">
            <v>0</v>
          </cell>
        </row>
        <row r="691">
          <cell r="I691">
            <v>45200</v>
          </cell>
          <cell r="K691">
            <v>0</v>
          </cell>
          <cell r="L691">
            <v>45200</v>
          </cell>
        </row>
        <row r="692">
          <cell r="I692">
            <v>45200</v>
          </cell>
          <cell r="K692">
            <v>0</v>
          </cell>
          <cell r="L692">
            <v>45200</v>
          </cell>
        </row>
        <row r="693">
          <cell r="I693">
            <v>45200</v>
          </cell>
          <cell r="K693">
            <v>0</v>
          </cell>
          <cell r="L693">
            <v>45200</v>
          </cell>
        </row>
        <row r="694">
          <cell r="I694">
            <v>104000</v>
          </cell>
          <cell r="K694">
            <v>0</v>
          </cell>
          <cell r="L694">
            <v>104000</v>
          </cell>
        </row>
        <row r="695">
          <cell r="I695">
            <v>104000</v>
          </cell>
          <cell r="K695">
            <v>0</v>
          </cell>
          <cell r="L695">
            <v>104000</v>
          </cell>
        </row>
        <row r="696">
          <cell r="I696">
            <v>104000</v>
          </cell>
          <cell r="K696">
            <v>104000</v>
          </cell>
          <cell r="L696">
            <v>0</v>
          </cell>
        </row>
        <row r="697">
          <cell r="I697">
            <v>312000</v>
          </cell>
          <cell r="K697">
            <v>0</v>
          </cell>
          <cell r="L697">
            <v>301858</v>
          </cell>
        </row>
        <row r="698">
          <cell r="I698">
            <v>104000</v>
          </cell>
          <cell r="K698">
            <v>0</v>
          </cell>
          <cell r="L698">
            <v>87450.94</v>
          </cell>
        </row>
        <row r="699">
          <cell r="I699">
            <v>104000</v>
          </cell>
          <cell r="K699">
            <v>0</v>
          </cell>
          <cell r="L699">
            <v>104000</v>
          </cell>
        </row>
        <row r="700">
          <cell r="I700">
            <v>208000</v>
          </cell>
          <cell r="K700">
            <v>0</v>
          </cell>
          <cell r="L700">
            <v>208000</v>
          </cell>
        </row>
        <row r="701">
          <cell r="I701">
            <v>90400</v>
          </cell>
          <cell r="K701">
            <v>0</v>
          </cell>
          <cell r="L701">
            <v>72724</v>
          </cell>
        </row>
        <row r="702">
          <cell r="I702">
            <v>38115</v>
          </cell>
          <cell r="K702">
            <v>38115</v>
          </cell>
          <cell r="L702">
            <v>0</v>
          </cell>
        </row>
        <row r="703">
          <cell r="I703">
            <v>36200</v>
          </cell>
          <cell r="K703">
            <v>0</v>
          </cell>
          <cell r="L703">
            <v>28125.3</v>
          </cell>
        </row>
        <row r="704">
          <cell r="I704">
            <v>38100</v>
          </cell>
          <cell r="K704">
            <v>0</v>
          </cell>
          <cell r="L704">
            <v>26411</v>
          </cell>
        </row>
        <row r="705">
          <cell r="I705">
            <v>203340</v>
          </cell>
          <cell r="K705">
            <v>101670</v>
          </cell>
          <cell r="L705">
            <v>83598</v>
          </cell>
        </row>
        <row r="706">
          <cell r="I706">
            <v>101640</v>
          </cell>
          <cell r="K706">
            <v>101640</v>
          </cell>
          <cell r="L706">
            <v>0</v>
          </cell>
        </row>
        <row r="707">
          <cell r="I707">
            <v>208000</v>
          </cell>
          <cell r="K707">
            <v>0</v>
          </cell>
          <cell r="L707">
            <v>159755</v>
          </cell>
        </row>
        <row r="708">
          <cell r="I708">
            <v>101600</v>
          </cell>
          <cell r="K708">
            <v>0</v>
          </cell>
          <cell r="L708">
            <v>50102</v>
          </cell>
        </row>
        <row r="709">
          <cell r="I709">
            <v>45200</v>
          </cell>
          <cell r="K709">
            <v>0</v>
          </cell>
          <cell r="L709">
            <v>0</v>
          </cell>
        </row>
        <row r="710">
          <cell r="I710">
            <v>104000</v>
          </cell>
          <cell r="K710">
            <v>0</v>
          </cell>
          <cell r="L710">
            <v>0</v>
          </cell>
        </row>
        <row r="711">
          <cell r="I711">
            <v>104000</v>
          </cell>
          <cell r="K711">
            <v>0</v>
          </cell>
          <cell r="L711">
            <v>0</v>
          </cell>
        </row>
        <row r="712">
          <cell r="I712">
            <v>95000</v>
          </cell>
          <cell r="K712">
            <v>0</v>
          </cell>
          <cell r="L712">
            <v>95000</v>
          </cell>
        </row>
        <row r="713">
          <cell r="I713">
            <v>90400</v>
          </cell>
          <cell r="K713">
            <v>45200</v>
          </cell>
          <cell r="L713">
            <v>45200</v>
          </cell>
        </row>
        <row r="714">
          <cell r="I714">
            <v>90400</v>
          </cell>
          <cell r="K714">
            <v>90400</v>
          </cell>
          <cell r="L714">
            <v>0</v>
          </cell>
        </row>
        <row r="715">
          <cell r="I715">
            <v>104000</v>
          </cell>
          <cell r="K715">
            <v>0</v>
          </cell>
          <cell r="L715">
            <v>104000</v>
          </cell>
        </row>
        <row r="716">
          <cell r="I716">
            <v>90400</v>
          </cell>
          <cell r="K716">
            <v>90400</v>
          </cell>
          <cell r="L716">
            <v>0</v>
          </cell>
        </row>
        <row r="717">
          <cell r="I717">
            <v>45200</v>
          </cell>
          <cell r="K717">
            <v>0</v>
          </cell>
          <cell r="L717">
            <v>45200</v>
          </cell>
        </row>
        <row r="718">
          <cell r="I718">
            <v>45200</v>
          </cell>
          <cell r="K718">
            <v>0</v>
          </cell>
          <cell r="L718">
            <v>29000</v>
          </cell>
        </row>
        <row r="719">
          <cell r="I719">
            <v>45200</v>
          </cell>
          <cell r="K719">
            <v>0</v>
          </cell>
          <cell r="L719">
            <v>45200</v>
          </cell>
        </row>
        <row r="720">
          <cell r="I720">
            <v>104000</v>
          </cell>
          <cell r="K720">
            <v>86400</v>
          </cell>
          <cell r="L720">
            <v>0</v>
          </cell>
        </row>
        <row r="721">
          <cell r="I721">
            <v>104000</v>
          </cell>
          <cell r="K721">
            <v>104000</v>
          </cell>
          <cell r="L721">
            <v>0</v>
          </cell>
        </row>
        <row r="722">
          <cell r="I722">
            <v>45200</v>
          </cell>
          <cell r="K722">
            <v>41730</v>
          </cell>
          <cell r="L722">
            <v>0</v>
          </cell>
        </row>
        <row r="723">
          <cell r="I723">
            <v>104000</v>
          </cell>
          <cell r="K723">
            <v>0</v>
          </cell>
          <cell r="L723">
            <v>102700</v>
          </cell>
        </row>
        <row r="724">
          <cell r="I724">
            <v>45200</v>
          </cell>
          <cell r="K724">
            <v>0</v>
          </cell>
          <cell r="L724">
            <v>45200</v>
          </cell>
        </row>
        <row r="725">
          <cell r="I725">
            <v>90400</v>
          </cell>
          <cell r="K725">
            <v>90400</v>
          </cell>
          <cell r="L725">
            <v>0</v>
          </cell>
        </row>
        <row r="726">
          <cell r="I726">
            <v>45200</v>
          </cell>
          <cell r="K726">
            <v>0</v>
          </cell>
          <cell r="L726">
            <v>45200</v>
          </cell>
        </row>
        <row r="727">
          <cell r="I727">
            <v>45200</v>
          </cell>
          <cell r="K727">
            <v>0</v>
          </cell>
          <cell r="L727">
            <v>45200</v>
          </cell>
        </row>
        <row r="728">
          <cell r="I728">
            <v>104000</v>
          </cell>
          <cell r="K728">
            <v>0</v>
          </cell>
          <cell r="L728">
            <v>0</v>
          </cell>
        </row>
        <row r="729">
          <cell r="I729">
            <v>104000</v>
          </cell>
          <cell r="K729">
            <v>104000</v>
          </cell>
          <cell r="L729">
            <v>0</v>
          </cell>
        </row>
        <row r="730">
          <cell r="I730">
            <v>104000</v>
          </cell>
          <cell r="K730">
            <v>0</v>
          </cell>
          <cell r="L730">
            <v>63922.7</v>
          </cell>
        </row>
        <row r="731">
          <cell r="I731">
            <v>104000</v>
          </cell>
          <cell r="K731">
            <v>0</v>
          </cell>
          <cell r="L731">
            <v>104000</v>
          </cell>
        </row>
        <row r="732">
          <cell r="I732">
            <v>45200</v>
          </cell>
          <cell r="K732">
            <v>0</v>
          </cell>
          <cell r="L732">
            <v>45200</v>
          </cell>
        </row>
        <row r="733">
          <cell r="I733">
            <v>104000</v>
          </cell>
          <cell r="K733">
            <v>0</v>
          </cell>
          <cell r="L733">
            <v>104000</v>
          </cell>
        </row>
        <row r="734">
          <cell r="I734">
            <v>104000</v>
          </cell>
          <cell r="K734">
            <v>0</v>
          </cell>
          <cell r="L734">
            <v>104000</v>
          </cell>
        </row>
        <row r="735">
          <cell r="I735">
            <v>104000</v>
          </cell>
          <cell r="K735">
            <v>0</v>
          </cell>
          <cell r="L735">
            <v>104000</v>
          </cell>
        </row>
        <row r="736">
          <cell r="I736">
            <v>104000</v>
          </cell>
          <cell r="K736">
            <v>104000</v>
          </cell>
          <cell r="L736">
            <v>0</v>
          </cell>
        </row>
        <row r="737">
          <cell r="I737">
            <v>45200</v>
          </cell>
          <cell r="K737">
            <v>45200</v>
          </cell>
          <cell r="L737">
            <v>0</v>
          </cell>
        </row>
        <row r="738">
          <cell r="I738">
            <v>45200</v>
          </cell>
          <cell r="K738">
            <v>0</v>
          </cell>
          <cell r="L738">
            <v>45200</v>
          </cell>
        </row>
        <row r="739">
          <cell r="I739">
            <v>104000</v>
          </cell>
          <cell r="K739">
            <v>0</v>
          </cell>
          <cell r="L739">
            <v>104000</v>
          </cell>
        </row>
        <row r="740">
          <cell r="I740">
            <v>45200</v>
          </cell>
          <cell r="K740">
            <v>0</v>
          </cell>
          <cell r="L740">
            <v>40500</v>
          </cell>
        </row>
        <row r="741">
          <cell r="I741">
            <v>104000</v>
          </cell>
          <cell r="K741">
            <v>0</v>
          </cell>
          <cell r="L741">
            <v>0</v>
          </cell>
        </row>
        <row r="742">
          <cell r="I742">
            <v>45200</v>
          </cell>
          <cell r="K742">
            <v>0</v>
          </cell>
          <cell r="L742">
            <v>45200</v>
          </cell>
        </row>
        <row r="743">
          <cell r="I743">
            <v>0</v>
          </cell>
          <cell r="K743">
            <v>0</v>
          </cell>
          <cell r="L743">
            <v>0</v>
          </cell>
        </row>
        <row r="744">
          <cell r="I744">
            <v>12500000</v>
          </cell>
          <cell r="K744">
            <v>0</v>
          </cell>
          <cell r="L744">
            <v>0</v>
          </cell>
        </row>
        <row r="745">
          <cell r="I745">
            <v>19500</v>
          </cell>
          <cell r="K745">
            <v>0</v>
          </cell>
          <cell r="L745">
            <v>0</v>
          </cell>
        </row>
        <row r="746">
          <cell r="I746">
            <v>74018700</v>
          </cell>
          <cell r="K746">
            <v>0</v>
          </cell>
          <cell r="L746">
            <v>0</v>
          </cell>
        </row>
        <row r="747">
          <cell r="I747">
            <v>11626000</v>
          </cell>
          <cell r="K747">
            <v>0</v>
          </cell>
          <cell r="L747">
            <v>0</v>
          </cell>
        </row>
        <row r="748">
          <cell r="I748">
            <v>5274500</v>
          </cell>
          <cell r="L748">
            <v>0</v>
          </cell>
        </row>
        <row r="749">
          <cell r="I749">
            <v>8080000</v>
          </cell>
          <cell r="K749">
            <v>0</v>
          </cell>
          <cell r="L749">
            <v>0</v>
          </cell>
        </row>
        <row r="753">
          <cell r="K753">
            <v>0</v>
          </cell>
          <cell r="L753">
            <v>250000</v>
          </cell>
        </row>
      </sheetData>
      <sheetData sheetId="19" refreshError="1"/>
      <sheetData sheetId="20">
        <row r="2">
          <cell r="A2" t="str">
            <v xml:space="preserve">ข้อมูลสะสมตั้งแต่วันที่ 1 ตุลาคม 2566  ถึงวันที่  15 กันยายน 2567 </v>
          </cell>
        </row>
        <row r="203">
          <cell r="G203">
            <v>244000</v>
          </cell>
          <cell r="N203">
            <v>244000</v>
          </cell>
          <cell r="P203">
            <v>0</v>
          </cell>
        </row>
        <row r="204">
          <cell r="G204">
            <v>172000</v>
          </cell>
          <cell r="N204">
            <v>172000</v>
          </cell>
          <cell r="P204">
            <v>0</v>
          </cell>
        </row>
        <row r="210">
          <cell r="G210">
            <v>146000</v>
          </cell>
          <cell r="N210">
            <v>0</v>
          </cell>
          <cell r="P210">
            <v>146000</v>
          </cell>
        </row>
        <row r="213">
          <cell r="G213">
            <v>483900</v>
          </cell>
          <cell r="N213">
            <v>483900</v>
          </cell>
          <cell r="P213">
            <v>0</v>
          </cell>
        </row>
        <row r="214">
          <cell r="G214">
            <v>211000</v>
          </cell>
          <cell r="N214">
            <v>211000</v>
          </cell>
          <cell r="P214">
            <v>0</v>
          </cell>
        </row>
        <row r="215">
          <cell r="G215">
            <v>140000</v>
          </cell>
          <cell r="N215">
            <v>140000</v>
          </cell>
          <cell r="P215">
            <v>0</v>
          </cell>
        </row>
        <row r="216">
          <cell r="G216">
            <v>499000</v>
          </cell>
          <cell r="N216">
            <v>0</v>
          </cell>
          <cell r="P216">
            <v>499000</v>
          </cell>
        </row>
        <row r="217">
          <cell r="G217">
            <v>350000</v>
          </cell>
          <cell r="N217">
            <v>350000</v>
          </cell>
          <cell r="P217">
            <v>0</v>
          </cell>
        </row>
        <row r="242">
          <cell r="G242">
            <v>447000</v>
          </cell>
          <cell r="N242">
            <v>0</v>
          </cell>
          <cell r="P242">
            <v>447000</v>
          </cell>
        </row>
        <row r="244">
          <cell r="G244">
            <v>498000</v>
          </cell>
          <cell r="N244">
            <v>0</v>
          </cell>
          <cell r="P244">
            <v>498000</v>
          </cell>
        </row>
        <row r="247">
          <cell r="G247">
            <v>459000</v>
          </cell>
          <cell r="N247">
            <v>0</v>
          </cell>
          <cell r="P247">
            <v>459000</v>
          </cell>
        </row>
        <row r="248">
          <cell r="G248">
            <v>354000</v>
          </cell>
          <cell r="N248">
            <v>354000</v>
          </cell>
          <cell r="P248">
            <v>0</v>
          </cell>
        </row>
        <row r="250">
          <cell r="G250">
            <v>198000</v>
          </cell>
          <cell r="N250">
            <v>198000</v>
          </cell>
          <cell r="P250">
            <v>0</v>
          </cell>
        </row>
        <row r="251">
          <cell r="G251">
            <v>248000</v>
          </cell>
          <cell r="N251">
            <v>248000</v>
          </cell>
          <cell r="P251">
            <v>0</v>
          </cell>
        </row>
      </sheetData>
      <sheetData sheetId="21" refreshError="1"/>
      <sheetData sheetId="22" refreshError="1"/>
      <sheetData sheetId="23"/>
      <sheetData sheetId="24" refreshError="1"/>
      <sheetData sheetId="25">
        <row r="8">
          <cell r="G8">
            <v>346246100</v>
          </cell>
          <cell r="H8">
            <v>6788439</v>
          </cell>
        </row>
      </sheetData>
      <sheetData sheetId="26">
        <row r="7">
          <cell r="F7">
            <v>499000</v>
          </cell>
          <cell r="M7">
            <v>499000</v>
          </cell>
          <cell r="N7">
            <v>0</v>
          </cell>
          <cell r="P7">
            <v>499000</v>
          </cell>
        </row>
        <row r="8">
          <cell r="F8">
            <v>104000</v>
          </cell>
          <cell r="M8">
            <v>104000</v>
          </cell>
          <cell r="N8">
            <v>0</v>
          </cell>
          <cell r="P8">
            <v>104000</v>
          </cell>
        </row>
        <row r="9">
          <cell r="F9">
            <v>104000</v>
          </cell>
          <cell r="M9">
            <v>104000</v>
          </cell>
          <cell r="N9">
            <v>0</v>
          </cell>
          <cell r="P9">
            <v>104000</v>
          </cell>
        </row>
        <row r="10">
          <cell r="F10">
            <v>45200</v>
          </cell>
          <cell r="M10">
            <v>45200</v>
          </cell>
          <cell r="N10">
            <v>0</v>
          </cell>
          <cell r="P10">
            <v>45200</v>
          </cell>
        </row>
        <row r="11">
          <cell r="F11">
            <v>104000</v>
          </cell>
          <cell r="M11">
            <v>104000</v>
          </cell>
          <cell r="N11">
            <v>0</v>
          </cell>
          <cell r="P11">
            <v>104000</v>
          </cell>
        </row>
        <row r="12">
          <cell r="F12">
            <v>104000</v>
          </cell>
          <cell r="M12">
            <v>75050.36</v>
          </cell>
          <cell r="N12">
            <v>75050.36</v>
          </cell>
          <cell r="P12">
            <v>0</v>
          </cell>
        </row>
        <row r="13">
          <cell r="F13">
            <v>104000</v>
          </cell>
          <cell r="M13">
            <v>96300</v>
          </cell>
          <cell r="N13">
            <v>0</v>
          </cell>
          <cell r="P13">
            <v>96300</v>
          </cell>
        </row>
        <row r="14">
          <cell r="F14">
            <v>104000</v>
          </cell>
          <cell r="M14">
            <v>103987.13</v>
          </cell>
          <cell r="N14">
            <v>103987.13</v>
          </cell>
          <cell r="P14">
            <v>0</v>
          </cell>
        </row>
        <row r="15">
          <cell r="F15">
            <v>416000</v>
          </cell>
          <cell r="M15">
            <v>416000</v>
          </cell>
          <cell r="N15">
            <v>416000</v>
          </cell>
          <cell r="P15">
            <v>0</v>
          </cell>
        </row>
        <row r="16">
          <cell r="F16">
            <v>90400</v>
          </cell>
          <cell r="M16">
            <v>90400</v>
          </cell>
          <cell r="N16">
            <v>90400</v>
          </cell>
          <cell r="P16">
            <v>0</v>
          </cell>
        </row>
        <row r="17">
          <cell r="F17">
            <v>45200</v>
          </cell>
          <cell r="M17">
            <v>45200</v>
          </cell>
          <cell r="N17">
            <v>45200</v>
          </cell>
          <cell r="P17">
            <v>0</v>
          </cell>
        </row>
        <row r="18">
          <cell r="F18">
            <v>45200</v>
          </cell>
          <cell r="M18">
            <v>45200</v>
          </cell>
          <cell r="N18">
            <v>45200</v>
          </cell>
          <cell r="P18">
            <v>0</v>
          </cell>
        </row>
        <row r="19">
          <cell r="F19">
            <v>45200</v>
          </cell>
          <cell r="M19">
            <v>45200</v>
          </cell>
          <cell r="N19">
            <v>45200</v>
          </cell>
          <cell r="P19">
            <v>0</v>
          </cell>
        </row>
        <row r="20">
          <cell r="F20">
            <v>104000</v>
          </cell>
          <cell r="M20">
            <v>104000</v>
          </cell>
          <cell r="N20">
            <v>104000</v>
          </cell>
          <cell r="P20">
            <v>0</v>
          </cell>
        </row>
        <row r="21">
          <cell r="F21">
            <v>846000</v>
          </cell>
          <cell r="M21">
            <v>780000</v>
          </cell>
          <cell r="N21">
            <v>0</v>
          </cell>
          <cell r="P21">
            <v>780000</v>
          </cell>
        </row>
        <row r="22">
          <cell r="F22">
            <v>45200</v>
          </cell>
          <cell r="M22">
            <v>42900</v>
          </cell>
          <cell r="N22">
            <v>42900</v>
          </cell>
          <cell r="P22">
            <v>0</v>
          </cell>
        </row>
        <row r="23">
          <cell r="F23">
            <v>45200</v>
          </cell>
          <cell r="M23">
            <v>33984</v>
          </cell>
          <cell r="N23">
            <v>0</v>
          </cell>
          <cell r="P23">
            <v>33984</v>
          </cell>
        </row>
        <row r="24">
          <cell r="F24">
            <v>104000</v>
          </cell>
          <cell r="M24">
            <v>94230.13</v>
          </cell>
          <cell r="N24">
            <v>0</v>
          </cell>
          <cell r="P24">
            <v>0</v>
          </cell>
        </row>
        <row r="25">
          <cell r="F25">
            <v>104000</v>
          </cell>
          <cell r="M25">
            <v>101672</v>
          </cell>
          <cell r="N25">
            <v>0</v>
          </cell>
          <cell r="P25">
            <v>97094</v>
          </cell>
        </row>
        <row r="26">
          <cell r="F26">
            <v>208000</v>
          </cell>
          <cell r="M26">
            <v>154000</v>
          </cell>
          <cell r="N26">
            <v>154000</v>
          </cell>
          <cell r="P26">
            <v>0</v>
          </cell>
        </row>
        <row r="27">
          <cell r="F27">
            <v>624000</v>
          </cell>
          <cell r="M27">
            <v>624000</v>
          </cell>
          <cell r="N27">
            <v>598500</v>
          </cell>
          <cell r="P27">
            <v>0</v>
          </cell>
        </row>
        <row r="28">
          <cell r="F28">
            <v>104000</v>
          </cell>
          <cell r="M28">
            <v>81050</v>
          </cell>
          <cell r="N28">
            <v>0</v>
          </cell>
          <cell r="P28">
            <v>81050</v>
          </cell>
        </row>
        <row r="29">
          <cell r="F29">
            <v>208000</v>
          </cell>
          <cell r="M29">
            <v>203273</v>
          </cell>
          <cell r="N29">
            <v>203273</v>
          </cell>
          <cell r="P29">
            <v>0</v>
          </cell>
        </row>
        <row r="30">
          <cell r="F30">
            <v>312000</v>
          </cell>
          <cell r="M30">
            <v>304800</v>
          </cell>
          <cell r="N30">
            <v>101600</v>
          </cell>
          <cell r="P30">
            <v>203200</v>
          </cell>
        </row>
        <row r="31">
          <cell r="F31">
            <v>832000</v>
          </cell>
          <cell r="M31">
            <v>812800</v>
          </cell>
          <cell r="N31">
            <v>781803</v>
          </cell>
          <cell r="P31">
            <v>0</v>
          </cell>
        </row>
        <row r="32">
          <cell r="F32">
            <v>104000</v>
          </cell>
          <cell r="M32">
            <v>98700</v>
          </cell>
          <cell r="N32">
            <v>0</v>
          </cell>
          <cell r="P32">
            <v>98700</v>
          </cell>
        </row>
        <row r="33">
          <cell r="F33">
            <v>312000</v>
          </cell>
          <cell r="M33">
            <v>297608</v>
          </cell>
          <cell r="N33">
            <v>0</v>
          </cell>
          <cell r="P33">
            <v>0</v>
          </cell>
        </row>
        <row r="34">
          <cell r="F34">
            <v>104000</v>
          </cell>
          <cell r="M34">
            <v>94855</v>
          </cell>
          <cell r="N34">
            <v>94855</v>
          </cell>
          <cell r="P34">
            <v>0</v>
          </cell>
        </row>
        <row r="35">
          <cell r="F35">
            <v>208000</v>
          </cell>
          <cell r="M35">
            <v>181800</v>
          </cell>
          <cell r="N35">
            <v>169000</v>
          </cell>
          <cell r="P35">
            <v>0</v>
          </cell>
        </row>
        <row r="36">
          <cell r="F36">
            <v>208000</v>
          </cell>
          <cell r="M36">
            <v>104000</v>
          </cell>
          <cell r="N36">
            <v>104000</v>
          </cell>
          <cell r="P36">
            <v>0</v>
          </cell>
        </row>
        <row r="37">
          <cell r="F37">
            <v>45200</v>
          </cell>
          <cell r="M37">
            <v>38127</v>
          </cell>
          <cell r="N37">
            <v>0</v>
          </cell>
          <cell r="P37">
            <v>38127</v>
          </cell>
        </row>
        <row r="38">
          <cell r="F38">
            <v>135600</v>
          </cell>
          <cell r="M38">
            <v>126600</v>
          </cell>
          <cell r="N38">
            <v>81400</v>
          </cell>
          <cell r="P38">
            <v>45200</v>
          </cell>
        </row>
        <row r="39">
          <cell r="F39">
            <v>45200</v>
          </cell>
          <cell r="M39">
            <v>25257</v>
          </cell>
          <cell r="N39">
            <v>0</v>
          </cell>
          <cell r="P39">
            <v>25257</v>
          </cell>
        </row>
        <row r="40">
          <cell r="F40">
            <v>45200</v>
          </cell>
          <cell r="M40">
            <v>38100</v>
          </cell>
          <cell r="N40">
            <v>0</v>
          </cell>
          <cell r="P40">
            <v>38100</v>
          </cell>
        </row>
        <row r="41">
          <cell r="F41">
            <v>45200</v>
          </cell>
          <cell r="M41">
            <v>38100</v>
          </cell>
          <cell r="N41">
            <v>33920</v>
          </cell>
          <cell r="P41">
            <v>0</v>
          </cell>
        </row>
        <row r="42">
          <cell r="F42">
            <v>90400</v>
          </cell>
          <cell r="M42">
            <v>48100</v>
          </cell>
          <cell r="N42">
            <v>0</v>
          </cell>
          <cell r="P42">
            <v>48100</v>
          </cell>
        </row>
        <row r="43">
          <cell r="F43">
            <v>45200</v>
          </cell>
          <cell r="M43">
            <v>38141</v>
          </cell>
          <cell r="N43">
            <v>38141</v>
          </cell>
          <cell r="P43">
            <v>0</v>
          </cell>
        </row>
        <row r="44">
          <cell r="F44">
            <v>75621</v>
          </cell>
          <cell r="M44">
            <v>75621</v>
          </cell>
          <cell r="N44">
            <v>72724</v>
          </cell>
          <cell r="P44">
            <v>0</v>
          </cell>
        </row>
        <row r="45">
          <cell r="F45">
            <v>38115</v>
          </cell>
          <cell r="M45">
            <v>38115</v>
          </cell>
          <cell r="P45">
            <v>38115</v>
          </cell>
        </row>
        <row r="46">
          <cell r="F46">
            <v>28125.3</v>
          </cell>
          <cell r="M46">
            <v>28125.3</v>
          </cell>
          <cell r="N46">
            <v>28125.3</v>
          </cell>
          <cell r="P46">
            <v>0</v>
          </cell>
        </row>
        <row r="47">
          <cell r="F47">
            <v>38100</v>
          </cell>
          <cell r="M47">
            <v>38100</v>
          </cell>
          <cell r="N47">
            <v>26411</v>
          </cell>
          <cell r="P47">
            <v>0</v>
          </cell>
        </row>
        <row r="48">
          <cell r="F48">
            <v>203340</v>
          </cell>
          <cell r="M48">
            <v>203340</v>
          </cell>
          <cell r="N48">
            <v>83598</v>
          </cell>
          <cell r="P48">
            <v>101670</v>
          </cell>
        </row>
        <row r="49">
          <cell r="F49">
            <v>104000</v>
          </cell>
          <cell r="M49">
            <v>101640</v>
          </cell>
          <cell r="N49">
            <v>0</v>
          </cell>
          <cell r="P49">
            <v>101640</v>
          </cell>
        </row>
        <row r="50">
          <cell r="F50">
            <v>170428</v>
          </cell>
          <cell r="M50">
            <v>170428</v>
          </cell>
          <cell r="N50">
            <v>159755</v>
          </cell>
          <cell r="P50">
            <v>0</v>
          </cell>
        </row>
        <row r="51">
          <cell r="F51">
            <v>101600</v>
          </cell>
          <cell r="M51">
            <v>101600</v>
          </cell>
          <cell r="N51">
            <v>50102</v>
          </cell>
          <cell r="P51">
            <v>0</v>
          </cell>
        </row>
        <row r="52">
          <cell r="F52">
            <v>245400</v>
          </cell>
          <cell r="M52">
            <v>183660</v>
          </cell>
          <cell r="N52">
            <v>183660</v>
          </cell>
          <cell r="P52">
            <v>0</v>
          </cell>
        </row>
        <row r="53">
          <cell r="F53">
            <v>104000</v>
          </cell>
          <cell r="M53">
            <v>0</v>
          </cell>
          <cell r="N53">
            <v>0</v>
          </cell>
          <cell r="P53">
            <v>0</v>
          </cell>
        </row>
        <row r="54">
          <cell r="F54">
            <v>104000</v>
          </cell>
          <cell r="M54">
            <v>42830</v>
          </cell>
          <cell r="N54">
            <v>42830</v>
          </cell>
          <cell r="P54">
            <v>0</v>
          </cell>
        </row>
        <row r="55">
          <cell r="F55">
            <v>104000</v>
          </cell>
          <cell r="M55">
            <v>104000</v>
          </cell>
          <cell r="N55">
            <v>104000</v>
          </cell>
          <cell r="P55">
            <v>0</v>
          </cell>
        </row>
        <row r="56">
          <cell r="F56">
            <v>90400</v>
          </cell>
          <cell r="M56">
            <v>90400</v>
          </cell>
          <cell r="N56">
            <v>90400</v>
          </cell>
          <cell r="P56">
            <v>0</v>
          </cell>
        </row>
        <row r="57">
          <cell r="F57">
            <v>192000</v>
          </cell>
          <cell r="M57">
            <v>192000</v>
          </cell>
          <cell r="N57">
            <v>0</v>
          </cell>
          <cell r="P57">
            <v>192000</v>
          </cell>
        </row>
        <row r="58">
          <cell r="F58">
            <v>252000</v>
          </cell>
          <cell r="M58">
            <v>252000</v>
          </cell>
          <cell r="N58">
            <v>0</v>
          </cell>
          <cell r="P58">
            <v>252000</v>
          </cell>
        </row>
        <row r="59">
          <cell r="F59">
            <v>104000</v>
          </cell>
          <cell r="M59">
            <v>104000</v>
          </cell>
          <cell r="N59">
            <v>0</v>
          </cell>
          <cell r="P59">
            <v>104000</v>
          </cell>
        </row>
        <row r="60">
          <cell r="F60">
            <v>104000</v>
          </cell>
          <cell r="M60">
            <v>0</v>
          </cell>
          <cell r="N60">
            <v>0</v>
          </cell>
          <cell r="P60">
            <v>0</v>
          </cell>
        </row>
        <row r="61">
          <cell r="F61">
            <v>312000</v>
          </cell>
          <cell r="M61">
            <v>312000</v>
          </cell>
          <cell r="N61">
            <v>312000</v>
          </cell>
          <cell r="P61">
            <v>0</v>
          </cell>
        </row>
        <row r="62">
          <cell r="F62">
            <v>208000</v>
          </cell>
          <cell r="M62">
            <v>208000</v>
          </cell>
          <cell r="N62">
            <v>208000</v>
          </cell>
          <cell r="P62">
            <v>0</v>
          </cell>
        </row>
        <row r="63">
          <cell r="F63">
            <v>104000</v>
          </cell>
          <cell r="M63">
            <v>89079.63</v>
          </cell>
          <cell r="N63">
            <v>89079.63</v>
          </cell>
          <cell r="P63">
            <v>0</v>
          </cell>
        </row>
        <row r="64">
          <cell r="F64">
            <v>312000</v>
          </cell>
          <cell r="M64">
            <v>312000</v>
          </cell>
          <cell r="N64">
            <v>312000</v>
          </cell>
          <cell r="P64">
            <v>0</v>
          </cell>
        </row>
        <row r="65">
          <cell r="F65">
            <v>416000</v>
          </cell>
          <cell r="M65">
            <v>406719.05</v>
          </cell>
          <cell r="N65">
            <v>406719.05</v>
          </cell>
          <cell r="P65">
            <v>0</v>
          </cell>
        </row>
        <row r="66">
          <cell r="F66">
            <v>104000</v>
          </cell>
          <cell r="M66">
            <v>104000</v>
          </cell>
          <cell r="N66">
            <v>104000</v>
          </cell>
          <cell r="P66">
            <v>0</v>
          </cell>
        </row>
        <row r="67">
          <cell r="F67">
            <v>104000</v>
          </cell>
          <cell r="M67">
            <v>96317</v>
          </cell>
          <cell r="N67">
            <v>96317</v>
          </cell>
          <cell r="P67">
            <v>0</v>
          </cell>
        </row>
        <row r="68">
          <cell r="F68">
            <v>104000</v>
          </cell>
          <cell r="M68">
            <v>81241.600000000006</v>
          </cell>
          <cell r="N68">
            <v>81241.600000000006</v>
          </cell>
          <cell r="P68">
            <v>0</v>
          </cell>
        </row>
        <row r="69">
          <cell r="F69">
            <v>90400</v>
          </cell>
          <cell r="M69">
            <v>90400</v>
          </cell>
          <cell r="N69">
            <v>90400</v>
          </cell>
          <cell r="P69">
            <v>0</v>
          </cell>
        </row>
        <row r="70">
          <cell r="F70">
            <v>104000</v>
          </cell>
          <cell r="M70">
            <v>104000</v>
          </cell>
          <cell r="N70">
            <v>104000</v>
          </cell>
          <cell r="P70">
            <v>0</v>
          </cell>
        </row>
        <row r="71">
          <cell r="F71">
            <v>45200</v>
          </cell>
          <cell r="M71">
            <v>45200</v>
          </cell>
          <cell r="N71">
            <v>45200</v>
          </cell>
          <cell r="P71">
            <v>0</v>
          </cell>
        </row>
        <row r="72">
          <cell r="F72">
            <v>104000</v>
          </cell>
          <cell r="M72">
            <v>104000</v>
          </cell>
          <cell r="N72">
            <v>104000</v>
          </cell>
          <cell r="P72">
            <v>0</v>
          </cell>
        </row>
        <row r="73">
          <cell r="F73">
            <v>104000</v>
          </cell>
          <cell r="M73">
            <v>104000</v>
          </cell>
          <cell r="N73">
            <v>104000</v>
          </cell>
          <cell r="P73">
            <v>0</v>
          </cell>
        </row>
        <row r="74">
          <cell r="F74">
            <v>129000</v>
          </cell>
          <cell r="M74">
            <v>129000</v>
          </cell>
          <cell r="N74">
            <v>129000</v>
          </cell>
          <cell r="P74">
            <v>0</v>
          </cell>
        </row>
        <row r="75">
          <cell r="F75">
            <v>183000</v>
          </cell>
          <cell r="M75">
            <v>183000</v>
          </cell>
          <cell r="N75">
            <v>0</v>
          </cell>
          <cell r="P75">
            <v>183000</v>
          </cell>
        </row>
        <row r="76">
          <cell r="F76">
            <v>131000</v>
          </cell>
          <cell r="M76">
            <v>131000</v>
          </cell>
          <cell r="N76">
            <v>0</v>
          </cell>
          <cell r="P76">
            <v>131000</v>
          </cell>
        </row>
        <row r="77">
          <cell r="F77">
            <v>186000</v>
          </cell>
          <cell r="M77">
            <v>186000</v>
          </cell>
          <cell r="N77">
            <v>0</v>
          </cell>
          <cell r="P77">
            <v>160000</v>
          </cell>
        </row>
        <row r="78">
          <cell r="F78">
            <v>144000</v>
          </cell>
          <cell r="M78">
            <v>144000</v>
          </cell>
          <cell r="N78">
            <v>0</v>
          </cell>
          <cell r="P78">
            <v>144000</v>
          </cell>
        </row>
        <row r="79">
          <cell r="F79">
            <v>208000</v>
          </cell>
          <cell r="M79">
            <v>208000</v>
          </cell>
          <cell r="N79">
            <v>208000</v>
          </cell>
          <cell r="P79">
            <v>0</v>
          </cell>
        </row>
        <row r="80">
          <cell r="F80">
            <v>104000</v>
          </cell>
          <cell r="M80">
            <v>104000</v>
          </cell>
          <cell r="N80">
            <v>104000</v>
          </cell>
          <cell r="P80">
            <v>0</v>
          </cell>
        </row>
        <row r="81">
          <cell r="F81">
            <v>104000</v>
          </cell>
          <cell r="M81">
            <v>104000</v>
          </cell>
          <cell r="N81">
            <v>0</v>
          </cell>
          <cell r="P81">
            <v>104000</v>
          </cell>
        </row>
        <row r="82">
          <cell r="F82">
            <v>104000</v>
          </cell>
          <cell r="M82">
            <v>104000</v>
          </cell>
          <cell r="N82">
            <v>104000</v>
          </cell>
          <cell r="P82">
            <v>0</v>
          </cell>
        </row>
        <row r="83">
          <cell r="F83">
            <v>104000</v>
          </cell>
          <cell r="M83">
            <v>104000</v>
          </cell>
          <cell r="N83">
            <v>0</v>
          </cell>
          <cell r="P83">
            <v>104000</v>
          </cell>
        </row>
        <row r="84">
          <cell r="F84">
            <v>208000</v>
          </cell>
          <cell r="M84">
            <v>208000</v>
          </cell>
          <cell r="N84">
            <v>208000</v>
          </cell>
        </row>
        <row r="85">
          <cell r="F85">
            <v>104000</v>
          </cell>
          <cell r="M85">
            <v>104000</v>
          </cell>
          <cell r="N85">
            <v>104000</v>
          </cell>
          <cell r="P85">
            <v>0</v>
          </cell>
        </row>
        <row r="86">
          <cell r="F86">
            <v>104000</v>
          </cell>
          <cell r="M86">
            <v>86847</v>
          </cell>
          <cell r="N86">
            <v>86847</v>
          </cell>
          <cell r="P86">
            <v>0</v>
          </cell>
        </row>
        <row r="87">
          <cell r="F87">
            <v>104000</v>
          </cell>
          <cell r="M87">
            <v>104000</v>
          </cell>
          <cell r="N87">
            <v>104000</v>
          </cell>
          <cell r="P87">
            <v>0</v>
          </cell>
        </row>
        <row r="88">
          <cell r="F88">
            <v>226000</v>
          </cell>
          <cell r="M88">
            <v>226000</v>
          </cell>
          <cell r="N88">
            <v>45200</v>
          </cell>
          <cell r="P88">
            <v>180800</v>
          </cell>
        </row>
        <row r="89">
          <cell r="F89">
            <v>90400</v>
          </cell>
          <cell r="M89">
            <v>90400</v>
          </cell>
          <cell r="N89">
            <v>90400</v>
          </cell>
          <cell r="P89">
            <v>0</v>
          </cell>
        </row>
        <row r="90">
          <cell r="F90">
            <v>45200</v>
          </cell>
          <cell r="M90">
            <v>45200</v>
          </cell>
          <cell r="N90">
            <v>0</v>
          </cell>
          <cell r="P90">
            <v>45200</v>
          </cell>
        </row>
        <row r="91">
          <cell r="F91">
            <v>45200</v>
          </cell>
          <cell r="M91">
            <v>45200</v>
          </cell>
          <cell r="N91">
            <v>45200</v>
          </cell>
          <cell r="P91">
            <v>0</v>
          </cell>
        </row>
        <row r="92">
          <cell r="F92">
            <v>90400</v>
          </cell>
          <cell r="M92">
            <v>90400</v>
          </cell>
          <cell r="N92">
            <v>90400</v>
          </cell>
          <cell r="P92">
            <v>0</v>
          </cell>
        </row>
        <row r="93">
          <cell r="F93">
            <v>90400</v>
          </cell>
          <cell r="M93">
            <v>90400</v>
          </cell>
          <cell r="N93">
            <v>0</v>
          </cell>
          <cell r="P93">
            <v>90400</v>
          </cell>
        </row>
        <row r="94">
          <cell r="F94">
            <v>45200</v>
          </cell>
          <cell r="M94">
            <v>45200</v>
          </cell>
          <cell r="N94">
            <v>45200</v>
          </cell>
          <cell r="P94">
            <v>0</v>
          </cell>
        </row>
        <row r="95">
          <cell r="F95">
            <v>45200</v>
          </cell>
          <cell r="M95">
            <v>35152</v>
          </cell>
          <cell r="N95">
            <v>35152</v>
          </cell>
          <cell r="P95">
            <v>0</v>
          </cell>
        </row>
        <row r="96">
          <cell r="F96">
            <v>45200</v>
          </cell>
          <cell r="M96">
            <v>45200</v>
          </cell>
          <cell r="N96">
            <v>45200</v>
          </cell>
          <cell r="P96">
            <v>0</v>
          </cell>
        </row>
        <row r="97">
          <cell r="F97">
            <v>157400</v>
          </cell>
          <cell r="M97">
            <v>157400</v>
          </cell>
          <cell r="N97">
            <v>157400</v>
          </cell>
          <cell r="P97">
            <v>0</v>
          </cell>
        </row>
        <row r="98">
          <cell r="F98">
            <v>212000</v>
          </cell>
          <cell r="M98">
            <v>212000</v>
          </cell>
          <cell r="N98">
            <v>212000</v>
          </cell>
          <cell r="P98">
            <v>0</v>
          </cell>
        </row>
        <row r="99">
          <cell r="F99">
            <v>92800</v>
          </cell>
          <cell r="M99">
            <v>92800</v>
          </cell>
          <cell r="N99">
            <v>92800</v>
          </cell>
          <cell r="P99">
            <v>0</v>
          </cell>
        </row>
        <row r="100">
          <cell r="F100">
            <v>155400</v>
          </cell>
          <cell r="M100">
            <v>155400</v>
          </cell>
          <cell r="N100">
            <v>0</v>
          </cell>
          <cell r="P100">
            <v>0</v>
          </cell>
        </row>
        <row r="101">
          <cell r="F101">
            <v>208000</v>
          </cell>
          <cell r="M101">
            <v>118866.87</v>
          </cell>
          <cell r="N101">
            <v>0</v>
          </cell>
          <cell r="P101">
            <v>118866</v>
          </cell>
        </row>
        <row r="102">
          <cell r="F102">
            <v>104000</v>
          </cell>
          <cell r="M102">
            <v>75832</v>
          </cell>
          <cell r="N102">
            <v>0</v>
          </cell>
          <cell r="P102">
            <v>75832</v>
          </cell>
        </row>
        <row r="103">
          <cell r="F103">
            <v>90400</v>
          </cell>
          <cell r="M103">
            <v>90400</v>
          </cell>
          <cell r="N103">
            <v>0</v>
          </cell>
          <cell r="P103">
            <v>90400</v>
          </cell>
        </row>
        <row r="104">
          <cell r="F104">
            <v>90400</v>
          </cell>
          <cell r="M104">
            <v>90400</v>
          </cell>
          <cell r="N104">
            <v>90400</v>
          </cell>
          <cell r="P104">
            <v>0</v>
          </cell>
        </row>
        <row r="105">
          <cell r="F105">
            <v>45200</v>
          </cell>
          <cell r="M105">
            <v>45200</v>
          </cell>
          <cell r="N105">
            <v>0</v>
          </cell>
          <cell r="P105">
            <v>45200</v>
          </cell>
        </row>
        <row r="106">
          <cell r="F106">
            <v>90400</v>
          </cell>
          <cell r="M106">
            <v>0</v>
          </cell>
          <cell r="N106">
            <v>0</v>
          </cell>
          <cell r="P106">
            <v>0</v>
          </cell>
        </row>
        <row r="107">
          <cell r="F107">
            <v>41730</v>
          </cell>
          <cell r="M107">
            <v>41730</v>
          </cell>
          <cell r="N107">
            <v>0</v>
          </cell>
          <cell r="P107">
            <v>41730</v>
          </cell>
        </row>
        <row r="108">
          <cell r="F108">
            <v>104000</v>
          </cell>
          <cell r="M108">
            <v>104000</v>
          </cell>
          <cell r="N108">
            <v>0</v>
          </cell>
          <cell r="P108">
            <v>104000</v>
          </cell>
        </row>
        <row r="109">
          <cell r="F109">
            <v>104000</v>
          </cell>
          <cell r="M109">
            <v>104000</v>
          </cell>
          <cell r="N109">
            <v>104000</v>
          </cell>
          <cell r="P109">
            <v>0</v>
          </cell>
        </row>
        <row r="110">
          <cell r="F110">
            <v>104000</v>
          </cell>
          <cell r="M110">
            <v>104000</v>
          </cell>
          <cell r="N110">
            <v>0</v>
          </cell>
          <cell r="P110">
            <v>48252</v>
          </cell>
        </row>
        <row r="111">
          <cell r="F111">
            <v>104000</v>
          </cell>
          <cell r="M111">
            <v>104000</v>
          </cell>
          <cell r="N111">
            <v>0</v>
          </cell>
          <cell r="P111">
            <v>0</v>
          </cell>
        </row>
        <row r="112">
          <cell r="F112">
            <v>416000</v>
          </cell>
          <cell r="M112">
            <v>380400</v>
          </cell>
          <cell r="N112">
            <v>380400</v>
          </cell>
          <cell r="P112">
            <v>0</v>
          </cell>
        </row>
        <row r="113">
          <cell r="F113">
            <v>45200</v>
          </cell>
          <cell r="M113">
            <v>45200</v>
          </cell>
          <cell r="N113">
            <v>0</v>
          </cell>
          <cell r="P113">
            <v>45200</v>
          </cell>
        </row>
        <row r="114">
          <cell r="F114">
            <v>90400</v>
          </cell>
          <cell r="M114">
            <v>90400</v>
          </cell>
          <cell r="N114">
            <v>0</v>
          </cell>
          <cell r="P114">
            <v>0</v>
          </cell>
        </row>
        <row r="115">
          <cell r="F115">
            <v>104000</v>
          </cell>
          <cell r="M115">
            <v>104000</v>
          </cell>
          <cell r="N115">
            <v>104000</v>
          </cell>
          <cell r="P115">
            <v>0</v>
          </cell>
        </row>
        <row r="116">
          <cell r="F116">
            <v>520000</v>
          </cell>
          <cell r="M116">
            <v>520000</v>
          </cell>
          <cell r="N116">
            <v>0</v>
          </cell>
          <cell r="P116">
            <v>520000</v>
          </cell>
        </row>
        <row r="117">
          <cell r="F117">
            <v>208000</v>
          </cell>
          <cell r="M117">
            <v>207800</v>
          </cell>
          <cell r="N117">
            <v>207800</v>
          </cell>
          <cell r="P117">
            <v>0</v>
          </cell>
        </row>
        <row r="118">
          <cell r="F118">
            <v>104000</v>
          </cell>
          <cell r="M118">
            <v>104000</v>
          </cell>
          <cell r="N118">
            <v>0</v>
          </cell>
          <cell r="P118">
            <v>104000</v>
          </cell>
        </row>
        <row r="119">
          <cell r="F119">
            <v>208000</v>
          </cell>
          <cell r="M119">
            <v>167200</v>
          </cell>
          <cell r="N119">
            <v>0</v>
          </cell>
          <cell r="P119">
            <v>167200</v>
          </cell>
        </row>
        <row r="120">
          <cell r="F120">
            <v>104000</v>
          </cell>
          <cell r="M120">
            <v>104000</v>
          </cell>
          <cell r="N120">
            <v>104000</v>
          </cell>
          <cell r="P120">
            <v>0</v>
          </cell>
        </row>
        <row r="121">
          <cell r="F121">
            <v>416000</v>
          </cell>
          <cell r="M121">
            <v>312000</v>
          </cell>
          <cell r="N121">
            <v>312000</v>
          </cell>
          <cell r="P121">
            <v>0</v>
          </cell>
        </row>
        <row r="122">
          <cell r="F122">
            <v>104000</v>
          </cell>
          <cell r="M122">
            <v>104000</v>
          </cell>
          <cell r="N122">
            <v>104000</v>
          </cell>
          <cell r="P122">
            <v>0</v>
          </cell>
        </row>
        <row r="123">
          <cell r="F123">
            <v>104000</v>
          </cell>
          <cell r="M123">
            <v>104000</v>
          </cell>
          <cell r="N123">
            <v>104000</v>
          </cell>
          <cell r="P123">
            <v>0</v>
          </cell>
        </row>
        <row r="124">
          <cell r="F124">
            <v>90400</v>
          </cell>
          <cell r="M124">
            <v>72048</v>
          </cell>
          <cell r="N124">
            <v>0</v>
          </cell>
          <cell r="P124">
            <v>72048</v>
          </cell>
        </row>
        <row r="125">
          <cell r="F125">
            <v>45200</v>
          </cell>
          <cell r="M125">
            <v>24420</v>
          </cell>
          <cell r="N125">
            <v>0</v>
          </cell>
          <cell r="P125">
            <v>24420</v>
          </cell>
        </row>
        <row r="126">
          <cell r="F126">
            <v>45200</v>
          </cell>
          <cell r="M126">
            <v>30700</v>
          </cell>
          <cell r="N126">
            <v>0</v>
          </cell>
          <cell r="P126">
            <v>30700</v>
          </cell>
        </row>
        <row r="127">
          <cell r="F127">
            <v>45200</v>
          </cell>
          <cell r="M127">
            <v>45200</v>
          </cell>
          <cell r="N127">
            <v>45200</v>
          </cell>
          <cell r="P127">
            <v>0</v>
          </cell>
        </row>
        <row r="128">
          <cell r="F128">
            <v>45200</v>
          </cell>
          <cell r="M128">
            <v>45200</v>
          </cell>
          <cell r="N128">
            <v>0</v>
          </cell>
          <cell r="P128">
            <v>45200</v>
          </cell>
        </row>
        <row r="129">
          <cell r="F129">
            <v>45200</v>
          </cell>
          <cell r="M129">
            <v>45200</v>
          </cell>
          <cell r="N129">
            <v>0</v>
          </cell>
          <cell r="P129">
            <v>45200</v>
          </cell>
        </row>
        <row r="130">
          <cell r="F130">
            <v>45200</v>
          </cell>
          <cell r="M130">
            <v>45200</v>
          </cell>
          <cell r="N130">
            <v>45200</v>
          </cell>
          <cell r="P130">
            <v>0</v>
          </cell>
        </row>
        <row r="131">
          <cell r="F131">
            <v>86400</v>
          </cell>
          <cell r="M131">
            <v>86400</v>
          </cell>
          <cell r="N131">
            <v>0</v>
          </cell>
          <cell r="P131">
            <v>86400</v>
          </cell>
        </row>
        <row r="132">
          <cell r="F132">
            <v>104000</v>
          </cell>
          <cell r="M132">
            <v>104000</v>
          </cell>
          <cell r="N132">
            <v>0</v>
          </cell>
          <cell r="P132">
            <v>104000</v>
          </cell>
        </row>
        <row r="133">
          <cell r="F133">
            <v>312000</v>
          </cell>
          <cell r="M133">
            <v>312000</v>
          </cell>
          <cell r="N133">
            <v>104000</v>
          </cell>
          <cell r="P133">
            <v>173200</v>
          </cell>
        </row>
        <row r="134">
          <cell r="F134">
            <v>104000</v>
          </cell>
          <cell r="M134">
            <v>104000</v>
          </cell>
          <cell r="N134">
            <v>104000</v>
          </cell>
          <cell r="P134">
            <v>0</v>
          </cell>
        </row>
        <row r="135">
          <cell r="F135">
            <v>104000</v>
          </cell>
          <cell r="M135">
            <v>104000</v>
          </cell>
          <cell r="N135">
            <v>0</v>
          </cell>
          <cell r="P135">
            <v>104000</v>
          </cell>
        </row>
        <row r="136">
          <cell r="F136">
            <v>416000</v>
          </cell>
          <cell r="M136">
            <v>416000</v>
          </cell>
          <cell r="N136">
            <v>0</v>
          </cell>
          <cell r="P136">
            <v>416000</v>
          </cell>
        </row>
        <row r="137">
          <cell r="F137">
            <v>416000</v>
          </cell>
          <cell r="M137">
            <v>416000</v>
          </cell>
          <cell r="N137">
            <v>312000</v>
          </cell>
          <cell r="P137">
            <v>104000</v>
          </cell>
        </row>
        <row r="138">
          <cell r="F138">
            <v>104000</v>
          </cell>
          <cell r="M138">
            <v>104000</v>
          </cell>
          <cell r="N138">
            <v>104000</v>
          </cell>
          <cell r="P138">
            <v>0</v>
          </cell>
        </row>
        <row r="139">
          <cell r="F139">
            <v>520000</v>
          </cell>
          <cell r="M139">
            <v>520000</v>
          </cell>
          <cell r="N139">
            <v>520000</v>
          </cell>
          <cell r="P139">
            <v>0</v>
          </cell>
        </row>
        <row r="140">
          <cell r="F140">
            <v>416000</v>
          </cell>
          <cell r="M140">
            <v>416000</v>
          </cell>
          <cell r="N140">
            <v>0</v>
          </cell>
          <cell r="P140">
            <v>416000</v>
          </cell>
        </row>
        <row r="141">
          <cell r="F141">
            <v>104000</v>
          </cell>
          <cell r="M141">
            <v>104000</v>
          </cell>
          <cell r="N141">
            <v>104000</v>
          </cell>
          <cell r="P141">
            <v>0</v>
          </cell>
        </row>
        <row r="142">
          <cell r="F142">
            <v>208000</v>
          </cell>
          <cell r="M142">
            <v>208000</v>
          </cell>
          <cell r="N142">
            <v>173204.22</v>
          </cell>
          <cell r="P142">
            <v>0</v>
          </cell>
        </row>
        <row r="143">
          <cell r="F143">
            <v>208000</v>
          </cell>
          <cell r="M143">
            <v>208000</v>
          </cell>
          <cell r="N143">
            <v>208000</v>
          </cell>
          <cell r="P143">
            <v>0</v>
          </cell>
        </row>
        <row r="144">
          <cell r="F144">
            <v>312000</v>
          </cell>
          <cell r="M144">
            <v>312000</v>
          </cell>
          <cell r="N144">
            <v>0</v>
          </cell>
          <cell r="P144">
            <v>312000</v>
          </cell>
        </row>
        <row r="145">
          <cell r="F145">
            <v>104000</v>
          </cell>
          <cell r="M145">
            <v>104000</v>
          </cell>
          <cell r="N145">
            <v>104000</v>
          </cell>
          <cell r="P145">
            <v>0</v>
          </cell>
        </row>
        <row r="146">
          <cell r="F146">
            <v>104000</v>
          </cell>
          <cell r="M146">
            <v>104000</v>
          </cell>
          <cell r="N146">
            <v>0</v>
          </cell>
          <cell r="P146">
            <v>104000</v>
          </cell>
        </row>
        <row r="147">
          <cell r="F147">
            <v>208000</v>
          </cell>
          <cell r="M147">
            <v>208000</v>
          </cell>
          <cell r="N147">
            <v>0</v>
          </cell>
          <cell r="P147">
            <v>208000</v>
          </cell>
        </row>
        <row r="148">
          <cell r="F148">
            <v>208000</v>
          </cell>
          <cell r="M148">
            <v>208000</v>
          </cell>
          <cell r="N148">
            <v>0</v>
          </cell>
          <cell r="P148">
            <v>208000</v>
          </cell>
        </row>
        <row r="149">
          <cell r="F149">
            <v>104000</v>
          </cell>
          <cell r="M149">
            <v>104000</v>
          </cell>
          <cell r="N149">
            <v>0</v>
          </cell>
          <cell r="P149">
            <v>104000</v>
          </cell>
        </row>
        <row r="150">
          <cell r="F150">
            <v>90400</v>
          </cell>
          <cell r="M150">
            <v>90400</v>
          </cell>
          <cell r="N150">
            <v>0</v>
          </cell>
          <cell r="P150">
            <v>90400</v>
          </cell>
        </row>
        <row r="151">
          <cell r="F151">
            <v>45200</v>
          </cell>
          <cell r="M151">
            <v>45200</v>
          </cell>
          <cell r="N151">
            <v>0</v>
          </cell>
          <cell r="P151">
            <v>45200</v>
          </cell>
        </row>
        <row r="152">
          <cell r="F152">
            <v>45200</v>
          </cell>
          <cell r="M152">
            <v>45200</v>
          </cell>
          <cell r="N152">
            <v>45200</v>
          </cell>
          <cell r="P152">
            <v>0</v>
          </cell>
        </row>
        <row r="153">
          <cell r="F153">
            <v>45200</v>
          </cell>
          <cell r="M153">
            <v>45200</v>
          </cell>
          <cell r="N153">
            <v>0</v>
          </cell>
          <cell r="P153">
            <v>45200</v>
          </cell>
        </row>
        <row r="154">
          <cell r="F154">
            <v>180800</v>
          </cell>
          <cell r="M154">
            <v>180800</v>
          </cell>
          <cell r="N154">
            <v>135600</v>
          </cell>
          <cell r="P154">
            <v>45200</v>
          </cell>
        </row>
        <row r="155">
          <cell r="F155">
            <v>45200</v>
          </cell>
          <cell r="M155">
            <v>45200</v>
          </cell>
          <cell r="N155">
            <v>45200</v>
          </cell>
          <cell r="P155">
            <v>0</v>
          </cell>
        </row>
        <row r="156">
          <cell r="F156">
            <v>135600</v>
          </cell>
          <cell r="M156">
            <v>135600</v>
          </cell>
          <cell r="N156">
            <v>0</v>
          </cell>
          <cell r="P156">
            <v>135600</v>
          </cell>
        </row>
        <row r="157">
          <cell r="F157">
            <v>45200</v>
          </cell>
          <cell r="M157">
            <v>45200</v>
          </cell>
          <cell r="N157">
            <v>0</v>
          </cell>
          <cell r="P157">
            <v>45200</v>
          </cell>
        </row>
        <row r="158">
          <cell r="F158">
            <v>45200</v>
          </cell>
          <cell r="M158">
            <v>45200</v>
          </cell>
          <cell r="N158">
            <v>45200</v>
          </cell>
          <cell r="P158">
            <v>0</v>
          </cell>
        </row>
        <row r="159">
          <cell r="F159">
            <v>1986100</v>
          </cell>
          <cell r="M159">
            <v>1969999</v>
          </cell>
          <cell r="N159">
            <v>0</v>
          </cell>
          <cell r="P159">
            <v>1969999</v>
          </cell>
        </row>
        <row r="160">
          <cell r="F160">
            <v>104000</v>
          </cell>
          <cell r="M160">
            <v>98500</v>
          </cell>
          <cell r="N160">
            <v>98500</v>
          </cell>
          <cell r="P160">
            <v>0</v>
          </cell>
        </row>
        <row r="161">
          <cell r="F161">
            <v>104000</v>
          </cell>
          <cell r="M161">
            <v>104000</v>
          </cell>
          <cell r="N161">
            <v>104000</v>
          </cell>
          <cell r="P161">
            <v>0</v>
          </cell>
        </row>
        <row r="162">
          <cell r="F162">
            <v>45200</v>
          </cell>
          <cell r="M162">
            <v>45200</v>
          </cell>
          <cell r="N162">
            <v>45200</v>
          </cell>
          <cell r="P162">
            <v>0</v>
          </cell>
        </row>
        <row r="163">
          <cell r="F163">
            <v>45200</v>
          </cell>
          <cell r="M163">
            <v>45200</v>
          </cell>
          <cell r="N163">
            <v>45200</v>
          </cell>
          <cell r="P163">
            <v>0</v>
          </cell>
        </row>
        <row r="164">
          <cell r="F164">
            <v>104000</v>
          </cell>
          <cell r="M164">
            <v>104000</v>
          </cell>
          <cell r="N164">
            <v>104000</v>
          </cell>
          <cell r="P164">
            <v>0</v>
          </cell>
        </row>
        <row r="165">
          <cell r="F165">
            <v>104000</v>
          </cell>
          <cell r="M165">
            <v>104000</v>
          </cell>
          <cell r="N165">
            <v>104000</v>
          </cell>
          <cell r="P165">
            <v>0</v>
          </cell>
        </row>
        <row r="166">
          <cell r="F166">
            <v>104000</v>
          </cell>
          <cell r="M166">
            <v>104000</v>
          </cell>
          <cell r="N166">
            <v>104000</v>
          </cell>
          <cell r="P166">
            <v>0</v>
          </cell>
        </row>
        <row r="167">
          <cell r="F167">
            <v>208000</v>
          </cell>
          <cell r="M167">
            <v>165500</v>
          </cell>
          <cell r="N167">
            <v>104000</v>
          </cell>
          <cell r="P167">
            <v>61500</v>
          </cell>
        </row>
        <row r="168">
          <cell r="F168">
            <v>104000</v>
          </cell>
          <cell r="M168">
            <v>93200</v>
          </cell>
          <cell r="N168">
            <v>0</v>
          </cell>
          <cell r="P168">
            <v>93200</v>
          </cell>
        </row>
        <row r="169">
          <cell r="F169">
            <v>104000</v>
          </cell>
          <cell r="M169">
            <v>104000</v>
          </cell>
          <cell r="N169">
            <v>0</v>
          </cell>
          <cell r="P169">
            <v>104000</v>
          </cell>
        </row>
        <row r="170">
          <cell r="F170">
            <v>104000</v>
          </cell>
          <cell r="M170">
            <v>104000</v>
          </cell>
          <cell r="N170">
            <v>0</v>
          </cell>
          <cell r="P170">
            <v>84200</v>
          </cell>
        </row>
        <row r="171">
          <cell r="F171">
            <v>45200</v>
          </cell>
          <cell r="M171">
            <v>26600</v>
          </cell>
          <cell r="N171">
            <v>0</v>
          </cell>
          <cell r="P171">
            <v>26600</v>
          </cell>
        </row>
        <row r="172">
          <cell r="F172">
            <v>334000</v>
          </cell>
          <cell r="M172">
            <v>334000</v>
          </cell>
          <cell r="N172">
            <v>334000</v>
          </cell>
          <cell r="P172">
            <v>0</v>
          </cell>
        </row>
        <row r="173">
          <cell r="F173">
            <v>40500</v>
          </cell>
          <cell r="M173">
            <v>40500</v>
          </cell>
          <cell r="N173">
            <v>40500</v>
          </cell>
          <cell r="P173">
            <v>0</v>
          </cell>
        </row>
        <row r="174">
          <cell r="F174">
            <v>99600</v>
          </cell>
          <cell r="M174">
            <v>99600</v>
          </cell>
          <cell r="N174">
            <v>0</v>
          </cell>
          <cell r="P174">
            <v>0</v>
          </cell>
        </row>
        <row r="175">
          <cell r="F175">
            <v>497000</v>
          </cell>
          <cell r="M175">
            <v>497000</v>
          </cell>
          <cell r="N175">
            <v>497000</v>
          </cell>
          <cell r="P175">
            <v>0</v>
          </cell>
        </row>
        <row r="176">
          <cell r="F176">
            <v>510800</v>
          </cell>
          <cell r="M176">
            <v>510800</v>
          </cell>
          <cell r="N176">
            <v>0</v>
          </cell>
          <cell r="P176">
            <v>474000</v>
          </cell>
        </row>
        <row r="177">
          <cell r="F177">
            <v>104000</v>
          </cell>
          <cell r="N177">
            <v>77450.259999999995</v>
          </cell>
          <cell r="P177">
            <v>0</v>
          </cell>
        </row>
        <row r="178">
          <cell r="F178">
            <v>45200</v>
          </cell>
          <cell r="M178">
            <v>45200</v>
          </cell>
          <cell r="N178">
            <v>0</v>
          </cell>
          <cell r="P178">
            <v>45200</v>
          </cell>
        </row>
        <row r="179">
          <cell r="F179">
            <v>45200</v>
          </cell>
          <cell r="M179">
            <v>45200</v>
          </cell>
          <cell r="N179">
            <v>0</v>
          </cell>
          <cell r="P179">
            <v>45200</v>
          </cell>
        </row>
        <row r="180">
          <cell r="F180">
            <v>1620000</v>
          </cell>
          <cell r="M180">
            <v>1379500</v>
          </cell>
          <cell r="N180">
            <v>0</v>
          </cell>
          <cell r="P180">
            <v>1379500</v>
          </cell>
        </row>
        <row r="181">
          <cell r="F181">
            <v>832000</v>
          </cell>
          <cell r="M181">
            <v>661630</v>
          </cell>
          <cell r="N181">
            <v>661630</v>
          </cell>
          <cell r="P181">
            <v>0</v>
          </cell>
        </row>
        <row r="182">
          <cell r="F182">
            <v>416000</v>
          </cell>
          <cell r="M182">
            <v>416000</v>
          </cell>
          <cell r="N182">
            <v>208000</v>
          </cell>
          <cell r="P182">
            <v>208000</v>
          </cell>
        </row>
        <row r="183">
          <cell r="F183">
            <v>520000</v>
          </cell>
          <cell r="M183">
            <v>520000</v>
          </cell>
          <cell r="N183">
            <v>104000</v>
          </cell>
          <cell r="P183">
            <v>416000</v>
          </cell>
        </row>
        <row r="184">
          <cell r="F184">
            <v>208000</v>
          </cell>
          <cell r="M184">
            <v>208000</v>
          </cell>
          <cell r="N184">
            <v>0</v>
          </cell>
          <cell r="P184">
            <v>208000</v>
          </cell>
        </row>
        <row r="185">
          <cell r="F185">
            <v>208000</v>
          </cell>
          <cell r="M185">
            <v>208000</v>
          </cell>
          <cell r="N185">
            <v>104000</v>
          </cell>
          <cell r="P185">
            <v>104000</v>
          </cell>
        </row>
        <row r="186">
          <cell r="F186">
            <v>312000</v>
          </cell>
          <cell r="M186">
            <v>312000</v>
          </cell>
          <cell r="N186">
            <v>104000</v>
          </cell>
          <cell r="P186">
            <v>208000</v>
          </cell>
        </row>
        <row r="187">
          <cell r="F187">
            <v>624000</v>
          </cell>
          <cell r="M187">
            <v>624000</v>
          </cell>
          <cell r="N187">
            <v>312000</v>
          </cell>
          <cell r="P187">
            <v>312000</v>
          </cell>
        </row>
        <row r="188">
          <cell r="F188">
            <v>45200</v>
          </cell>
          <cell r="M188">
            <v>45200</v>
          </cell>
          <cell r="N188">
            <v>45200</v>
          </cell>
          <cell r="P188">
            <v>0</v>
          </cell>
        </row>
        <row r="189">
          <cell r="F189">
            <v>45200</v>
          </cell>
          <cell r="M189">
            <v>45200</v>
          </cell>
          <cell r="N189">
            <v>0</v>
          </cell>
          <cell r="P189">
            <v>45200</v>
          </cell>
        </row>
        <row r="190">
          <cell r="F190">
            <v>45200</v>
          </cell>
          <cell r="M190">
            <v>40600</v>
          </cell>
          <cell r="N190">
            <v>40600</v>
          </cell>
          <cell r="P190">
            <v>0</v>
          </cell>
        </row>
        <row r="191">
          <cell r="F191">
            <v>416000</v>
          </cell>
          <cell r="M191">
            <v>416000</v>
          </cell>
          <cell r="N191">
            <v>416000</v>
          </cell>
          <cell r="P191">
            <v>0</v>
          </cell>
        </row>
        <row r="192">
          <cell r="F192">
            <v>208000</v>
          </cell>
          <cell r="M192">
            <v>173300</v>
          </cell>
          <cell r="N192">
            <v>173300</v>
          </cell>
          <cell r="P192">
            <v>0</v>
          </cell>
        </row>
        <row r="193">
          <cell r="F193">
            <v>104000</v>
          </cell>
          <cell r="M193">
            <v>104000</v>
          </cell>
          <cell r="N193">
            <v>104000</v>
          </cell>
          <cell r="P193">
            <v>0</v>
          </cell>
        </row>
        <row r="194">
          <cell r="F194">
            <v>208000</v>
          </cell>
          <cell r="M194">
            <v>208000</v>
          </cell>
          <cell r="N194">
            <v>187800</v>
          </cell>
          <cell r="P194">
            <v>0</v>
          </cell>
        </row>
        <row r="195">
          <cell r="F195">
            <v>104000</v>
          </cell>
          <cell r="M195">
            <v>104000</v>
          </cell>
          <cell r="N195">
            <v>104000</v>
          </cell>
          <cell r="P195">
            <v>0</v>
          </cell>
        </row>
        <row r="196">
          <cell r="F196">
            <v>208000</v>
          </cell>
          <cell r="M196">
            <v>111900</v>
          </cell>
          <cell r="N196">
            <v>111900</v>
          </cell>
          <cell r="P196">
            <v>0</v>
          </cell>
        </row>
        <row r="197">
          <cell r="F197">
            <v>104000</v>
          </cell>
          <cell r="M197">
            <v>102042.66</v>
          </cell>
          <cell r="N197">
            <v>102042.66</v>
          </cell>
          <cell r="P197">
            <v>0</v>
          </cell>
        </row>
        <row r="198">
          <cell r="F198">
            <v>104000</v>
          </cell>
          <cell r="M198">
            <v>93700</v>
          </cell>
          <cell r="N198">
            <v>93700</v>
          </cell>
          <cell r="P198">
            <v>0</v>
          </cell>
        </row>
        <row r="199">
          <cell r="F199">
            <v>104000</v>
          </cell>
          <cell r="M199">
            <v>104000</v>
          </cell>
          <cell r="N199">
            <v>104000</v>
          </cell>
          <cell r="P199">
            <v>0</v>
          </cell>
        </row>
        <row r="200">
          <cell r="F200">
            <v>104000</v>
          </cell>
          <cell r="M200">
            <v>104000</v>
          </cell>
          <cell r="N200">
            <v>104000</v>
          </cell>
          <cell r="P200">
            <v>0</v>
          </cell>
        </row>
        <row r="201">
          <cell r="F201">
            <v>45200</v>
          </cell>
          <cell r="M201">
            <v>45200</v>
          </cell>
          <cell r="N201">
            <v>45200</v>
          </cell>
          <cell r="P201">
            <v>0</v>
          </cell>
        </row>
        <row r="202">
          <cell r="F202">
            <v>45200</v>
          </cell>
          <cell r="M202">
            <v>43700</v>
          </cell>
          <cell r="N202">
            <v>43700</v>
          </cell>
          <cell r="P202">
            <v>0</v>
          </cell>
        </row>
        <row r="203">
          <cell r="F203">
            <v>45200</v>
          </cell>
          <cell r="M203">
            <v>45200</v>
          </cell>
          <cell r="N203">
            <v>42500</v>
          </cell>
          <cell r="P203">
            <v>0</v>
          </cell>
        </row>
        <row r="204">
          <cell r="F204">
            <v>45200</v>
          </cell>
          <cell r="M204">
            <v>33604</v>
          </cell>
          <cell r="N204">
            <v>33604</v>
          </cell>
          <cell r="P204">
            <v>0</v>
          </cell>
        </row>
        <row r="205">
          <cell r="F205">
            <v>45200</v>
          </cell>
          <cell r="M205">
            <v>45200</v>
          </cell>
          <cell r="N205">
            <v>45200</v>
          </cell>
          <cell r="P205">
            <v>0</v>
          </cell>
        </row>
        <row r="206">
          <cell r="F206">
            <v>45200</v>
          </cell>
          <cell r="M206">
            <v>45200</v>
          </cell>
          <cell r="N206">
            <v>45200</v>
          </cell>
          <cell r="P206">
            <v>0</v>
          </cell>
        </row>
        <row r="207">
          <cell r="F207">
            <v>45200</v>
          </cell>
          <cell r="M207">
            <v>45200</v>
          </cell>
          <cell r="N207">
            <v>45200</v>
          </cell>
          <cell r="P207">
            <v>0</v>
          </cell>
        </row>
        <row r="208">
          <cell r="F208">
            <v>45200</v>
          </cell>
          <cell r="M208">
            <v>45200</v>
          </cell>
          <cell r="N208">
            <v>45200</v>
          </cell>
          <cell r="P208">
            <v>0</v>
          </cell>
        </row>
        <row r="209">
          <cell r="F209">
            <v>45200</v>
          </cell>
          <cell r="M209">
            <v>45200</v>
          </cell>
          <cell r="N209">
            <v>45200</v>
          </cell>
          <cell r="P209">
            <v>0</v>
          </cell>
        </row>
        <row r="210">
          <cell r="F210">
            <v>104000</v>
          </cell>
          <cell r="M210">
            <v>104000</v>
          </cell>
          <cell r="N210">
            <v>104000</v>
          </cell>
          <cell r="P210">
            <v>0</v>
          </cell>
        </row>
        <row r="211">
          <cell r="F211">
            <v>208000</v>
          </cell>
          <cell r="M211">
            <v>208000</v>
          </cell>
          <cell r="N211">
            <v>0</v>
          </cell>
          <cell r="P211">
            <v>208000</v>
          </cell>
        </row>
        <row r="212">
          <cell r="F212">
            <v>104000</v>
          </cell>
          <cell r="M212">
            <v>104000</v>
          </cell>
          <cell r="N212">
            <v>0</v>
          </cell>
          <cell r="P212">
            <v>104000</v>
          </cell>
        </row>
        <row r="213">
          <cell r="F213">
            <v>208000</v>
          </cell>
          <cell r="M213">
            <v>208000</v>
          </cell>
          <cell r="N213">
            <v>0</v>
          </cell>
          <cell r="P213">
            <v>208000</v>
          </cell>
        </row>
        <row r="214">
          <cell r="F214">
            <v>45200</v>
          </cell>
          <cell r="M214">
            <v>45200</v>
          </cell>
          <cell r="N214">
            <v>0</v>
          </cell>
          <cell r="P214">
            <v>45200</v>
          </cell>
        </row>
        <row r="215">
          <cell r="F215">
            <v>45200</v>
          </cell>
          <cell r="M215">
            <v>45200</v>
          </cell>
          <cell r="N215">
            <v>0</v>
          </cell>
          <cell r="P215">
            <v>45200</v>
          </cell>
        </row>
        <row r="216">
          <cell r="F216">
            <v>473000</v>
          </cell>
          <cell r="M216">
            <v>473000</v>
          </cell>
          <cell r="N216">
            <v>473000</v>
          </cell>
          <cell r="P216">
            <v>0</v>
          </cell>
        </row>
        <row r="217">
          <cell r="F217">
            <v>141900</v>
          </cell>
          <cell r="M217">
            <v>141900</v>
          </cell>
          <cell r="N217">
            <v>141900</v>
          </cell>
          <cell r="P217">
            <v>0</v>
          </cell>
        </row>
        <row r="218">
          <cell r="F218">
            <v>104000</v>
          </cell>
          <cell r="M218">
            <v>0</v>
          </cell>
          <cell r="N218">
            <v>0</v>
          </cell>
          <cell r="P218">
            <v>0</v>
          </cell>
        </row>
        <row r="219">
          <cell r="F219">
            <v>90400</v>
          </cell>
          <cell r="M219">
            <v>90400</v>
          </cell>
          <cell r="N219">
            <v>90400</v>
          </cell>
          <cell r="P219">
            <v>0</v>
          </cell>
        </row>
        <row r="220">
          <cell r="F220">
            <v>90400</v>
          </cell>
          <cell r="M220">
            <v>90400</v>
          </cell>
          <cell r="N220">
            <v>90400</v>
          </cell>
          <cell r="P220">
            <v>0</v>
          </cell>
        </row>
        <row r="221">
          <cell r="F221">
            <v>45200</v>
          </cell>
          <cell r="M221">
            <v>45200</v>
          </cell>
          <cell r="N221">
            <v>0</v>
          </cell>
          <cell r="P221">
            <v>45200</v>
          </cell>
        </row>
        <row r="222">
          <cell r="F222">
            <v>104000</v>
          </cell>
          <cell r="M222">
            <v>86390</v>
          </cell>
          <cell r="N222">
            <v>86390</v>
          </cell>
          <cell r="P222">
            <v>0</v>
          </cell>
        </row>
        <row r="223">
          <cell r="F223">
            <v>104000</v>
          </cell>
          <cell r="M223">
            <v>67705</v>
          </cell>
          <cell r="N223">
            <v>67705</v>
          </cell>
          <cell r="P223">
            <v>0</v>
          </cell>
        </row>
        <row r="224">
          <cell r="F224">
            <v>45200</v>
          </cell>
          <cell r="M224">
            <v>29538</v>
          </cell>
          <cell r="N224">
            <v>29538</v>
          </cell>
          <cell r="P224">
            <v>0</v>
          </cell>
        </row>
        <row r="225">
          <cell r="F225">
            <v>44400</v>
          </cell>
          <cell r="M225">
            <v>44400</v>
          </cell>
          <cell r="N225">
            <v>44400</v>
          </cell>
          <cell r="P225">
            <v>0</v>
          </cell>
        </row>
        <row r="226">
          <cell r="F226">
            <v>104000</v>
          </cell>
          <cell r="M226">
            <v>104000</v>
          </cell>
          <cell r="N226">
            <v>104000</v>
          </cell>
          <cell r="P226">
            <v>0</v>
          </cell>
        </row>
        <row r="227">
          <cell r="F227">
            <v>83839</v>
          </cell>
          <cell r="M227">
            <v>83839</v>
          </cell>
          <cell r="N227">
            <v>83839</v>
          </cell>
          <cell r="P227">
            <v>0</v>
          </cell>
        </row>
        <row r="228">
          <cell r="F228">
            <v>104000</v>
          </cell>
          <cell r="M228">
            <v>104000</v>
          </cell>
          <cell r="N228">
            <v>0</v>
          </cell>
          <cell r="P228">
            <v>104000</v>
          </cell>
        </row>
        <row r="229">
          <cell r="F229">
            <v>104000</v>
          </cell>
          <cell r="M229">
            <v>104000</v>
          </cell>
          <cell r="N229">
            <v>0</v>
          </cell>
          <cell r="P229">
            <v>104000</v>
          </cell>
        </row>
        <row r="230">
          <cell r="F230">
            <v>45200</v>
          </cell>
          <cell r="M230">
            <v>45200</v>
          </cell>
          <cell r="N230">
            <v>45200</v>
          </cell>
          <cell r="P230">
            <v>0</v>
          </cell>
        </row>
        <row r="231">
          <cell r="F231">
            <v>90400</v>
          </cell>
          <cell r="M231">
            <v>90400</v>
          </cell>
          <cell r="N231">
            <v>0</v>
          </cell>
          <cell r="P231">
            <v>90400</v>
          </cell>
        </row>
        <row r="232">
          <cell r="F232">
            <v>104000</v>
          </cell>
          <cell r="M232">
            <v>104000</v>
          </cell>
          <cell r="N232">
            <v>0</v>
          </cell>
          <cell r="P232">
            <v>104000</v>
          </cell>
        </row>
        <row r="233">
          <cell r="F233">
            <v>208000</v>
          </cell>
          <cell r="M233">
            <v>197500</v>
          </cell>
          <cell r="N233">
            <v>0</v>
          </cell>
          <cell r="P233">
            <v>197500</v>
          </cell>
        </row>
        <row r="234">
          <cell r="F234">
            <v>45200</v>
          </cell>
          <cell r="M234">
            <v>45200</v>
          </cell>
          <cell r="N234">
            <v>45200</v>
          </cell>
          <cell r="P234">
            <v>0</v>
          </cell>
        </row>
        <row r="235">
          <cell r="F235">
            <v>90400</v>
          </cell>
          <cell r="M235">
            <v>90400</v>
          </cell>
          <cell r="N235">
            <v>90400</v>
          </cell>
          <cell r="P235">
            <v>0</v>
          </cell>
        </row>
        <row r="236">
          <cell r="F236">
            <v>45200</v>
          </cell>
          <cell r="M236">
            <v>45200</v>
          </cell>
          <cell r="N236">
            <v>45200</v>
          </cell>
          <cell r="P236">
            <v>0</v>
          </cell>
        </row>
        <row r="237">
          <cell r="F237">
            <v>104000</v>
          </cell>
          <cell r="M237">
            <v>104000</v>
          </cell>
          <cell r="N237">
            <v>104000</v>
          </cell>
          <cell r="P237">
            <v>0</v>
          </cell>
        </row>
        <row r="238">
          <cell r="F238">
            <v>104000</v>
          </cell>
          <cell r="M238">
            <v>104000</v>
          </cell>
          <cell r="N238">
            <v>0</v>
          </cell>
          <cell r="P238">
            <v>104000</v>
          </cell>
        </row>
        <row r="239">
          <cell r="F239">
            <v>45200</v>
          </cell>
          <cell r="M239">
            <v>40847.020000000004</v>
          </cell>
          <cell r="N239">
            <v>40847.019999999997</v>
          </cell>
          <cell r="P239">
            <v>0</v>
          </cell>
        </row>
        <row r="240">
          <cell r="F240">
            <v>104000</v>
          </cell>
          <cell r="M240">
            <v>0</v>
          </cell>
          <cell r="N240">
            <v>0</v>
          </cell>
          <cell r="P240">
            <v>0</v>
          </cell>
        </row>
        <row r="241">
          <cell r="F241">
            <v>104000</v>
          </cell>
          <cell r="M241">
            <v>104000</v>
          </cell>
          <cell r="N241">
            <v>104000</v>
          </cell>
          <cell r="P241">
            <v>0</v>
          </cell>
        </row>
        <row r="242">
          <cell r="F242">
            <v>104000</v>
          </cell>
          <cell r="M242">
            <v>83720</v>
          </cell>
          <cell r="N242">
            <v>83720</v>
          </cell>
          <cell r="P242">
            <v>0</v>
          </cell>
        </row>
        <row r="243">
          <cell r="F243">
            <v>600000</v>
          </cell>
          <cell r="M243">
            <v>584000</v>
          </cell>
          <cell r="N243">
            <v>0</v>
          </cell>
          <cell r="P243">
            <v>584000</v>
          </cell>
        </row>
        <row r="244">
          <cell r="F244">
            <v>208000</v>
          </cell>
          <cell r="M244">
            <v>0</v>
          </cell>
          <cell r="N244">
            <v>0</v>
          </cell>
          <cell r="P244">
            <v>0</v>
          </cell>
        </row>
        <row r="245">
          <cell r="F245">
            <v>104000</v>
          </cell>
          <cell r="M245">
            <v>104000</v>
          </cell>
          <cell r="N245">
            <v>0</v>
          </cell>
          <cell r="P245">
            <v>104000</v>
          </cell>
        </row>
        <row r="246">
          <cell r="F246">
            <v>0</v>
          </cell>
          <cell r="M246">
            <v>0</v>
          </cell>
          <cell r="N246">
            <v>0</v>
          </cell>
          <cell r="P246">
            <v>0</v>
          </cell>
        </row>
        <row r="247">
          <cell r="F247">
            <v>104000</v>
          </cell>
          <cell r="M247">
            <v>104000</v>
          </cell>
          <cell r="N247">
            <v>104000</v>
          </cell>
          <cell r="P247">
            <v>0</v>
          </cell>
        </row>
        <row r="248">
          <cell r="F248">
            <v>104000</v>
          </cell>
          <cell r="M248">
            <v>39350</v>
          </cell>
          <cell r="N248">
            <v>39350</v>
          </cell>
          <cell r="P248">
            <v>0</v>
          </cell>
        </row>
        <row r="249">
          <cell r="F249">
            <v>45200</v>
          </cell>
          <cell r="M249">
            <v>45200</v>
          </cell>
          <cell r="N249">
            <v>45200</v>
          </cell>
          <cell r="P249">
            <v>0</v>
          </cell>
        </row>
        <row r="250">
          <cell r="F250">
            <v>102700</v>
          </cell>
          <cell r="M250">
            <v>102700</v>
          </cell>
          <cell r="N250">
            <v>102700</v>
          </cell>
          <cell r="P250">
            <v>0</v>
          </cell>
        </row>
        <row r="251">
          <cell r="F251">
            <v>45200</v>
          </cell>
          <cell r="M251">
            <v>45200</v>
          </cell>
          <cell r="N251">
            <v>0</v>
          </cell>
          <cell r="P251">
            <v>0</v>
          </cell>
        </row>
        <row r="252">
          <cell r="F252">
            <v>208000</v>
          </cell>
          <cell r="M252">
            <v>187966</v>
          </cell>
          <cell r="N252">
            <v>187966</v>
          </cell>
          <cell r="P252">
            <v>0</v>
          </cell>
        </row>
        <row r="253">
          <cell r="F253">
            <v>208000</v>
          </cell>
          <cell r="M253">
            <v>208000</v>
          </cell>
          <cell r="N253">
            <v>208000</v>
          </cell>
          <cell r="P253">
            <v>0</v>
          </cell>
        </row>
        <row r="254">
          <cell r="F254">
            <v>728000</v>
          </cell>
          <cell r="M254">
            <v>705350.65</v>
          </cell>
          <cell r="N254">
            <v>705350.65</v>
          </cell>
          <cell r="P254">
            <v>0</v>
          </cell>
        </row>
        <row r="255">
          <cell r="F255">
            <v>104000</v>
          </cell>
          <cell r="M255">
            <v>77481.48</v>
          </cell>
          <cell r="N255">
            <v>77481.48</v>
          </cell>
          <cell r="P255">
            <v>0</v>
          </cell>
        </row>
        <row r="256">
          <cell r="F256">
            <v>312000</v>
          </cell>
          <cell r="M256">
            <v>281500</v>
          </cell>
          <cell r="N256">
            <v>281500</v>
          </cell>
          <cell r="P256">
            <v>0</v>
          </cell>
        </row>
        <row r="257">
          <cell r="F257">
            <v>208000</v>
          </cell>
          <cell r="M257">
            <v>186043.32</v>
          </cell>
          <cell r="N257">
            <v>186043.32</v>
          </cell>
          <cell r="P257">
            <v>0</v>
          </cell>
        </row>
        <row r="258">
          <cell r="F258">
            <v>208000</v>
          </cell>
          <cell r="M258">
            <v>193499.68</v>
          </cell>
          <cell r="N258">
            <v>193499.68</v>
          </cell>
          <cell r="P258">
            <v>0</v>
          </cell>
        </row>
        <row r="259">
          <cell r="F259">
            <v>104000</v>
          </cell>
          <cell r="M259">
            <v>79580.240000000005</v>
          </cell>
          <cell r="N259">
            <v>79580.240000000005</v>
          </cell>
          <cell r="P259">
            <v>0</v>
          </cell>
        </row>
        <row r="260">
          <cell r="F260">
            <v>180800</v>
          </cell>
          <cell r="M260">
            <v>180800</v>
          </cell>
          <cell r="N260">
            <v>180800</v>
          </cell>
          <cell r="P260">
            <v>0</v>
          </cell>
        </row>
        <row r="261">
          <cell r="F261">
            <v>45200</v>
          </cell>
          <cell r="M261">
            <v>40789.479999999996</v>
          </cell>
          <cell r="N261">
            <v>40789.480000000003</v>
          </cell>
          <cell r="P261">
            <v>0</v>
          </cell>
        </row>
        <row r="262">
          <cell r="F262">
            <v>90400</v>
          </cell>
          <cell r="M262">
            <v>89175</v>
          </cell>
          <cell r="N262">
            <v>89175</v>
          </cell>
          <cell r="P262">
            <v>0</v>
          </cell>
        </row>
        <row r="263">
          <cell r="F263">
            <v>90400</v>
          </cell>
          <cell r="M263">
            <v>74286</v>
          </cell>
          <cell r="N263">
            <v>74286</v>
          </cell>
          <cell r="P263">
            <v>0</v>
          </cell>
        </row>
        <row r="264">
          <cell r="F264">
            <v>45200</v>
          </cell>
          <cell r="M264">
            <v>37750.020000000004</v>
          </cell>
          <cell r="N264">
            <v>37750.019999999997</v>
          </cell>
          <cell r="P264">
            <v>0</v>
          </cell>
        </row>
        <row r="265">
          <cell r="F265">
            <v>499000</v>
          </cell>
          <cell r="M265">
            <v>499000</v>
          </cell>
          <cell r="N265">
            <v>0</v>
          </cell>
          <cell r="P265">
            <v>499000</v>
          </cell>
        </row>
        <row r="266">
          <cell r="F266">
            <v>104000</v>
          </cell>
          <cell r="M266">
            <v>104000</v>
          </cell>
          <cell r="N266">
            <v>104000</v>
          </cell>
          <cell r="P266">
            <v>0</v>
          </cell>
        </row>
        <row r="267">
          <cell r="F267">
            <v>104000</v>
          </cell>
          <cell r="M267">
            <v>99614</v>
          </cell>
          <cell r="N267">
            <v>99614</v>
          </cell>
          <cell r="P267">
            <v>0</v>
          </cell>
        </row>
        <row r="268">
          <cell r="F268">
            <v>45200</v>
          </cell>
          <cell r="M268">
            <v>45200</v>
          </cell>
          <cell r="N268">
            <v>45200</v>
          </cell>
          <cell r="P268">
            <v>0</v>
          </cell>
        </row>
        <row r="269">
          <cell r="F269">
            <v>45200</v>
          </cell>
          <cell r="M269">
            <v>45200</v>
          </cell>
          <cell r="N269">
            <v>45200</v>
          </cell>
          <cell r="P269">
            <v>0</v>
          </cell>
        </row>
        <row r="270">
          <cell r="F270">
            <v>45200</v>
          </cell>
          <cell r="M270">
            <v>45200</v>
          </cell>
          <cell r="N270">
            <v>45200</v>
          </cell>
          <cell r="P270">
            <v>0</v>
          </cell>
        </row>
        <row r="271">
          <cell r="F271">
            <v>262000</v>
          </cell>
          <cell r="M271">
            <v>262000</v>
          </cell>
          <cell r="N271">
            <v>0</v>
          </cell>
          <cell r="P271">
            <v>262000</v>
          </cell>
        </row>
        <row r="272">
          <cell r="F272">
            <v>45200</v>
          </cell>
          <cell r="M272">
            <v>45200</v>
          </cell>
          <cell r="N272">
            <v>45200</v>
          </cell>
          <cell r="P272">
            <v>0</v>
          </cell>
        </row>
        <row r="273">
          <cell r="F273">
            <v>380000</v>
          </cell>
          <cell r="M273">
            <v>380000</v>
          </cell>
          <cell r="N273">
            <v>0</v>
          </cell>
          <cell r="P273">
            <v>380000</v>
          </cell>
        </row>
        <row r="274">
          <cell r="F274">
            <v>104000</v>
          </cell>
          <cell r="M274">
            <v>104000</v>
          </cell>
          <cell r="N274">
            <v>0</v>
          </cell>
          <cell r="P274">
            <v>104000</v>
          </cell>
        </row>
        <row r="275">
          <cell r="F275">
            <v>104000</v>
          </cell>
          <cell r="M275">
            <v>67100</v>
          </cell>
          <cell r="N275">
            <v>0</v>
          </cell>
          <cell r="P275">
            <v>67100</v>
          </cell>
        </row>
        <row r="276">
          <cell r="F276">
            <v>728000</v>
          </cell>
          <cell r="M276">
            <v>728000</v>
          </cell>
          <cell r="N276">
            <v>0</v>
          </cell>
          <cell r="P276">
            <v>728000</v>
          </cell>
        </row>
        <row r="277">
          <cell r="F277">
            <v>104000</v>
          </cell>
          <cell r="M277">
            <v>104000</v>
          </cell>
          <cell r="N277">
            <v>0</v>
          </cell>
          <cell r="P277">
            <v>104000</v>
          </cell>
        </row>
        <row r="278">
          <cell r="F278">
            <v>208000</v>
          </cell>
          <cell r="M278">
            <v>165960</v>
          </cell>
          <cell r="N278">
            <v>165960</v>
          </cell>
          <cell r="P278">
            <v>0</v>
          </cell>
        </row>
        <row r="279">
          <cell r="F279">
            <v>90400</v>
          </cell>
          <cell r="M279">
            <v>90400</v>
          </cell>
          <cell r="N279">
            <v>0</v>
          </cell>
          <cell r="P279">
            <v>90400</v>
          </cell>
        </row>
        <row r="280">
          <cell r="F280">
            <v>90400</v>
          </cell>
          <cell r="M280">
            <v>67600</v>
          </cell>
          <cell r="N280">
            <v>61100</v>
          </cell>
          <cell r="P280">
            <v>0</v>
          </cell>
        </row>
        <row r="281">
          <cell r="F281">
            <v>135600</v>
          </cell>
          <cell r="M281">
            <v>135600</v>
          </cell>
          <cell r="N281">
            <v>0</v>
          </cell>
          <cell r="P281">
            <v>135600</v>
          </cell>
        </row>
        <row r="282">
          <cell r="F282">
            <v>45200</v>
          </cell>
          <cell r="M282">
            <v>45200</v>
          </cell>
          <cell r="N282">
            <v>0</v>
          </cell>
          <cell r="P282">
            <v>45200</v>
          </cell>
        </row>
        <row r="283">
          <cell r="F283">
            <v>45200</v>
          </cell>
          <cell r="M283">
            <v>45199.02</v>
          </cell>
          <cell r="N283">
            <v>45199.02</v>
          </cell>
          <cell r="P283">
            <v>0</v>
          </cell>
        </row>
        <row r="284">
          <cell r="F284">
            <v>45200</v>
          </cell>
          <cell r="M284">
            <v>35230</v>
          </cell>
          <cell r="N284">
            <v>35230</v>
          </cell>
          <cell r="P284">
            <v>0</v>
          </cell>
        </row>
        <row r="285">
          <cell r="F285">
            <v>87450.94</v>
          </cell>
          <cell r="M285">
            <v>87450.94</v>
          </cell>
          <cell r="N285">
            <v>87450.94</v>
          </cell>
          <cell r="P285">
            <v>0</v>
          </cell>
        </row>
        <row r="286">
          <cell r="F286">
            <v>980000</v>
          </cell>
          <cell r="M286">
            <v>978000</v>
          </cell>
          <cell r="N286">
            <v>978000</v>
          </cell>
          <cell r="P286">
            <v>0</v>
          </cell>
        </row>
        <row r="287">
          <cell r="F287">
            <v>109000</v>
          </cell>
          <cell r="M287">
            <v>109000</v>
          </cell>
          <cell r="N287">
            <v>109000</v>
          </cell>
          <cell r="P287">
            <v>0</v>
          </cell>
        </row>
        <row r="288">
          <cell r="F288">
            <v>197000</v>
          </cell>
          <cell r="M288">
            <v>197000</v>
          </cell>
          <cell r="N288">
            <v>197000</v>
          </cell>
          <cell r="P288">
            <v>0</v>
          </cell>
        </row>
        <row r="289">
          <cell r="F289">
            <v>208000</v>
          </cell>
          <cell r="M289">
            <v>208000</v>
          </cell>
          <cell r="N289">
            <v>208000</v>
          </cell>
          <cell r="P289">
            <v>0</v>
          </cell>
        </row>
        <row r="290">
          <cell r="F290">
            <v>265000</v>
          </cell>
          <cell r="M290">
            <v>265000</v>
          </cell>
          <cell r="N290">
            <v>265000</v>
          </cell>
          <cell r="P290">
            <v>0</v>
          </cell>
        </row>
        <row r="293">
          <cell r="F293">
            <v>104000</v>
          </cell>
          <cell r="M293">
            <v>104000</v>
          </cell>
          <cell r="N293">
            <v>0</v>
          </cell>
          <cell r="P293">
            <v>104000</v>
          </cell>
        </row>
        <row r="294">
          <cell r="F294">
            <v>104000</v>
          </cell>
          <cell r="M294">
            <v>85260</v>
          </cell>
          <cell r="N294">
            <v>85260</v>
          </cell>
          <cell r="P294">
            <v>0</v>
          </cell>
        </row>
        <row r="295">
          <cell r="F295">
            <v>208000</v>
          </cell>
          <cell r="M295">
            <v>104000</v>
          </cell>
          <cell r="N295">
            <v>104000</v>
          </cell>
          <cell r="P295">
            <v>0</v>
          </cell>
        </row>
        <row r="296">
          <cell r="F296">
            <v>312000</v>
          </cell>
          <cell r="M296">
            <v>312000</v>
          </cell>
          <cell r="N296">
            <v>312000</v>
          </cell>
          <cell r="P296">
            <v>0</v>
          </cell>
        </row>
        <row r="297">
          <cell r="F297">
            <v>624000</v>
          </cell>
          <cell r="M297">
            <v>624000</v>
          </cell>
          <cell r="N297">
            <v>624000</v>
          </cell>
          <cell r="P297">
            <v>0</v>
          </cell>
        </row>
        <row r="298">
          <cell r="F298">
            <v>104000</v>
          </cell>
          <cell r="M298">
            <v>104000</v>
          </cell>
          <cell r="N298">
            <v>104000</v>
          </cell>
          <cell r="P298">
            <v>0</v>
          </cell>
        </row>
        <row r="299">
          <cell r="F299">
            <v>208000</v>
          </cell>
          <cell r="M299">
            <v>208000</v>
          </cell>
          <cell r="N299">
            <v>0</v>
          </cell>
          <cell r="P299">
            <v>208000</v>
          </cell>
        </row>
        <row r="300">
          <cell r="F300">
            <v>45200</v>
          </cell>
          <cell r="M300">
            <v>45200</v>
          </cell>
          <cell r="N300">
            <v>0</v>
          </cell>
          <cell r="P300">
            <v>45200</v>
          </cell>
        </row>
        <row r="301">
          <cell r="F301">
            <v>45200</v>
          </cell>
          <cell r="M301">
            <v>45200</v>
          </cell>
          <cell r="N301">
            <v>45200</v>
          </cell>
          <cell r="P301">
            <v>0</v>
          </cell>
        </row>
        <row r="302">
          <cell r="F302">
            <v>45200</v>
          </cell>
          <cell r="M302">
            <v>45200</v>
          </cell>
          <cell r="N302">
            <v>0</v>
          </cell>
          <cell r="P302">
            <v>45200</v>
          </cell>
        </row>
        <row r="303">
          <cell r="F303">
            <v>45200</v>
          </cell>
          <cell r="M303">
            <v>43456.86</v>
          </cell>
          <cell r="P303">
            <v>0</v>
          </cell>
        </row>
        <row r="304">
          <cell r="F304">
            <v>45200</v>
          </cell>
          <cell r="M304">
            <v>45200</v>
          </cell>
          <cell r="N304">
            <v>45200</v>
          </cell>
          <cell r="P304">
            <v>0</v>
          </cell>
        </row>
        <row r="305">
          <cell r="F305">
            <v>90400</v>
          </cell>
          <cell r="M305">
            <v>90400</v>
          </cell>
          <cell r="N305">
            <v>45200</v>
          </cell>
          <cell r="P305">
            <v>45200</v>
          </cell>
        </row>
        <row r="306">
          <cell r="F306">
            <v>90400</v>
          </cell>
          <cell r="M306">
            <v>90400</v>
          </cell>
          <cell r="N306">
            <v>0</v>
          </cell>
          <cell r="P306">
            <v>90400</v>
          </cell>
        </row>
        <row r="307">
          <cell r="F307">
            <v>147000</v>
          </cell>
          <cell r="M307">
            <v>147000</v>
          </cell>
          <cell r="N307">
            <v>0</v>
          </cell>
          <cell r="P307">
            <v>147000</v>
          </cell>
        </row>
        <row r="308">
          <cell r="F308">
            <v>1026000</v>
          </cell>
          <cell r="M308">
            <v>0</v>
          </cell>
          <cell r="N308">
            <v>0</v>
          </cell>
          <cell r="P308">
            <v>0</v>
          </cell>
        </row>
        <row r="309">
          <cell r="F309">
            <v>45200</v>
          </cell>
          <cell r="M309">
            <v>45200</v>
          </cell>
          <cell r="N309">
            <v>0</v>
          </cell>
          <cell r="P309">
            <v>45200</v>
          </cell>
        </row>
        <row r="310">
          <cell r="F310">
            <v>90400</v>
          </cell>
          <cell r="M310">
            <v>45200</v>
          </cell>
          <cell r="N310">
            <v>0</v>
          </cell>
          <cell r="P310">
            <v>45200</v>
          </cell>
        </row>
        <row r="311">
          <cell r="F311">
            <v>45200</v>
          </cell>
          <cell r="M311">
            <v>45200</v>
          </cell>
          <cell r="N311">
            <v>0</v>
          </cell>
          <cell r="P311">
            <v>45200</v>
          </cell>
        </row>
        <row r="312">
          <cell r="F312">
            <v>416000</v>
          </cell>
          <cell r="M312">
            <v>416000</v>
          </cell>
          <cell r="N312">
            <v>104000</v>
          </cell>
          <cell r="P312">
            <v>312000</v>
          </cell>
        </row>
        <row r="313">
          <cell r="F313">
            <v>104000</v>
          </cell>
          <cell r="M313">
            <v>104000</v>
          </cell>
          <cell r="N313">
            <v>104000</v>
          </cell>
          <cell r="P313">
            <v>0</v>
          </cell>
        </row>
        <row r="314">
          <cell r="F314">
            <v>104000</v>
          </cell>
          <cell r="M314">
            <v>81600</v>
          </cell>
          <cell r="N314">
            <v>81600</v>
          </cell>
          <cell r="P314">
            <v>0</v>
          </cell>
        </row>
        <row r="315">
          <cell r="F315">
            <v>104000</v>
          </cell>
          <cell r="M315">
            <v>104000</v>
          </cell>
          <cell r="N315">
            <v>104000</v>
          </cell>
          <cell r="P315">
            <v>0</v>
          </cell>
        </row>
        <row r="316">
          <cell r="F316">
            <v>45200</v>
          </cell>
          <cell r="M316">
            <v>45200</v>
          </cell>
          <cell r="N316">
            <v>45200</v>
          </cell>
          <cell r="P316">
            <v>0</v>
          </cell>
        </row>
        <row r="317">
          <cell r="F317">
            <v>104000</v>
          </cell>
          <cell r="M317">
            <v>104000</v>
          </cell>
          <cell r="N317">
            <v>104000</v>
          </cell>
          <cell r="P317">
            <v>0</v>
          </cell>
        </row>
        <row r="318">
          <cell r="F318">
            <v>90400</v>
          </cell>
          <cell r="M318">
            <v>0</v>
          </cell>
          <cell r="N318">
            <v>0</v>
          </cell>
          <cell r="P318">
            <v>0</v>
          </cell>
        </row>
        <row r="319">
          <cell r="F319">
            <v>45200</v>
          </cell>
          <cell r="M319">
            <v>45200</v>
          </cell>
          <cell r="N319">
            <v>45200</v>
          </cell>
          <cell r="P319">
            <v>0</v>
          </cell>
        </row>
        <row r="320">
          <cell r="F320">
            <v>104000</v>
          </cell>
          <cell r="M320">
            <v>43800</v>
          </cell>
          <cell r="N320">
            <v>0</v>
          </cell>
          <cell r="P320">
            <v>43800</v>
          </cell>
        </row>
        <row r="321">
          <cell r="F321">
            <v>104000</v>
          </cell>
          <cell r="M321">
            <v>74900</v>
          </cell>
          <cell r="N321">
            <v>0</v>
          </cell>
          <cell r="P321">
            <v>74900</v>
          </cell>
        </row>
        <row r="322">
          <cell r="F322">
            <v>104000</v>
          </cell>
          <cell r="M322">
            <v>104000</v>
          </cell>
          <cell r="N322">
            <v>104000</v>
          </cell>
          <cell r="P322">
            <v>0</v>
          </cell>
        </row>
        <row r="323">
          <cell r="F323">
            <v>104000</v>
          </cell>
          <cell r="M323">
            <v>104000</v>
          </cell>
          <cell r="N323">
            <v>104000</v>
          </cell>
          <cell r="P323">
            <v>0</v>
          </cell>
        </row>
        <row r="324">
          <cell r="F324">
            <v>104000</v>
          </cell>
          <cell r="M324">
            <v>104000</v>
          </cell>
          <cell r="N324">
            <v>104000</v>
          </cell>
          <cell r="P324">
            <v>0</v>
          </cell>
        </row>
        <row r="325">
          <cell r="F325">
            <v>520000</v>
          </cell>
          <cell r="M325">
            <v>520000</v>
          </cell>
          <cell r="N325">
            <v>520000</v>
          </cell>
          <cell r="P325">
            <v>0</v>
          </cell>
        </row>
        <row r="326">
          <cell r="F326">
            <v>208000</v>
          </cell>
          <cell r="M326">
            <v>208000</v>
          </cell>
          <cell r="N326">
            <v>208000</v>
          </cell>
          <cell r="P326">
            <v>0</v>
          </cell>
        </row>
        <row r="327">
          <cell r="F327">
            <v>208000</v>
          </cell>
          <cell r="M327">
            <v>208000</v>
          </cell>
          <cell r="N327">
            <v>208000</v>
          </cell>
          <cell r="P327">
            <v>0</v>
          </cell>
        </row>
        <row r="328">
          <cell r="F328">
            <v>208000</v>
          </cell>
          <cell r="M328">
            <v>208000</v>
          </cell>
          <cell r="N328">
            <v>208000</v>
          </cell>
          <cell r="P328">
            <v>0</v>
          </cell>
        </row>
        <row r="329">
          <cell r="F329">
            <v>104000</v>
          </cell>
          <cell r="M329">
            <v>104000</v>
          </cell>
          <cell r="N329">
            <v>104000</v>
          </cell>
          <cell r="P329">
            <v>0</v>
          </cell>
        </row>
        <row r="330">
          <cell r="F330">
            <v>90400</v>
          </cell>
          <cell r="M330">
            <v>90400</v>
          </cell>
          <cell r="N330">
            <v>90400</v>
          </cell>
          <cell r="P330">
            <v>0</v>
          </cell>
        </row>
        <row r="331">
          <cell r="F331">
            <v>45200</v>
          </cell>
          <cell r="M331">
            <v>45200</v>
          </cell>
          <cell r="N331">
            <v>45200</v>
          </cell>
          <cell r="P331">
            <v>0</v>
          </cell>
        </row>
        <row r="332">
          <cell r="F332">
            <v>45200</v>
          </cell>
          <cell r="M332">
            <v>42000</v>
          </cell>
          <cell r="N332">
            <v>42000</v>
          </cell>
          <cell r="P332">
            <v>0</v>
          </cell>
        </row>
        <row r="333">
          <cell r="F333">
            <v>45200</v>
          </cell>
          <cell r="M333">
            <v>45200</v>
          </cell>
          <cell r="N333">
            <v>45200</v>
          </cell>
          <cell r="P333">
            <v>0</v>
          </cell>
        </row>
        <row r="334">
          <cell r="F334">
            <v>271200</v>
          </cell>
          <cell r="M334">
            <v>271200</v>
          </cell>
          <cell r="N334">
            <v>271200</v>
          </cell>
          <cell r="P334">
            <v>0</v>
          </cell>
        </row>
        <row r="335">
          <cell r="F335">
            <v>45200</v>
          </cell>
          <cell r="M335">
            <v>45200</v>
          </cell>
          <cell r="N335">
            <v>45200</v>
          </cell>
          <cell r="P335">
            <v>0</v>
          </cell>
        </row>
        <row r="336">
          <cell r="F336">
            <v>45200</v>
          </cell>
          <cell r="M336">
            <v>45200</v>
          </cell>
          <cell r="N336">
            <v>45200</v>
          </cell>
          <cell r="P336">
            <v>0</v>
          </cell>
        </row>
        <row r="337">
          <cell r="F337">
            <v>45200</v>
          </cell>
          <cell r="M337">
            <v>45200</v>
          </cell>
          <cell r="N337">
            <v>45200</v>
          </cell>
          <cell r="P337">
            <v>0</v>
          </cell>
        </row>
        <row r="338">
          <cell r="F338">
            <v>122000</v>
          </cell>
          <cell r="M338">
            <v>122000</v>
          </cell>
          <cell r="N338">
            <v>122000</v>
          </cell>
          <cell r="P338">
            <v>0</v>
          </cell>
        </row>
        <row r="339">
          <cell r="F339">
            <v>104000</v>
          </cell>
          <cell r="M339">
            <v>104000</v>
          </cell>
          <cell r="N339">
            <v>0</v>
          </cell>
          <cell r="P339">
            <v>104000</v>
          </cell>
        </row>
        <row r="340">
          <cell r="F340">
            <v>208000</v>
          </cell>
          <cell r="M340">
            <v>192760</v>
          </cell>
          <cell r="N340">
            <v>0</v>
          </cell>
          <cell r="P340">
            <v>192760</v>
          </cell>
        </row>
        <row r="341">
          <cell r="F341">
            <v>520000</v>
          </cell>
          <cell r="M341">
            <v>520000</v>
          </cell>
          <cell r="N341">
            <v>0</v>
          </cell>
          <cell r="P341">
            <v>520000</v>
          </cell>
        </row>
        <row r="342">
          <cell r="F342">
            <v>312000</v>
          </cell>
          <cell r="M342">
            <v>307272</v>
          </cell>
          <cell r="N342">
            <v>0</v>
          </cell>
          <cell r="P342">
            <v>307272</v>
          </cell>
        </row>
        <row r="343">
          <cell r="F343">
            <v>1352000</v>
          </cell>
          <cell r="M343">
            <v>1267175</v>
          </cell>
          <cell r="N343">
            <v>0</v>
          </cell>
          <cell r="P343">
            <v>1267175</v>
          </cell>
        </row>
        <row r="344">
          <cell r="F344">
            <v>208000</v>
          </cell>
          <cell r="M344">
            <v>158720.26</v>
          </cell>
          <cell r="N344">
            <v>158720.26</v>
          </cell>
          <cell r="P344">
            <v>0</v>
          </cell>
        </row>
        <row r="345">
          <cell r="F345">
            <v>104000</v>
          </cell>
          <cell r="M345">
            <v>104000</v>
          </cell>
          <cell r="N345">
            <v>0</v>
          </cell>
          <cell r="P345">
            <v>104000</v>
          </cell>
        </row>
        <row r="346">
          <cell r="F346">
            <v>312000</v>
          </cell>
          <cell r="M346">
            <v>312000</v>
          </cell>
          <cell r="N346">
            <v>0</v>
          </cell>
          <cell r="P346">
            <v>312000</v>
          </cell>
        </row>
        <row r="347">
          <cell r="F347">
            <v>135600</v>
          </cell>
          <cell r="M347">
            <v>125063.64</v>
          </cell>
          <cell r="N347">
            <v>0</v>
          </cell>
          <cell r="P347">
            <v>125063.64</v>
          </cell>
        </row>
        <row r="348">
          <cell r="F348">
            <v>226000</v>
          </cell>
          <cell r="M348">
            <v>226000</v>
          </cell>
          <cell r="N348">
            <v>226000</v>
          </cell>
          <cell r="P348">
            <v>0</v>
          </cell>
        </row>
        <row r="349">
          <cell r="F349">
            <v>45200</v>
          </cell>
          <cell r="M349">
            <v>38127</v>
          </cell>
          <cell r="N349">
            <v>0</v>
          </cell>
          <cell r="P349">
            <v>38127</v>
          </cell>
        </row>
        <row r="350">
          <cell r="F350">
            <v>135600</v>
          </cell>
          <cell r="M350">
            <v>135600</v>
          </cell>
          <cell r="N350">
            <v>0</v>
          </cell>
          <cell r="P350">
            <v>135600</v>
          </cell>
        </row>
        <row r="351">
          <cell r="F351">
            <v>90400</v>
          </cell>
          <cell r="M351">
            <v>66054.570000000007</v>
          </cell>
          <cell r="P351">
            <v>0</v>
          </cell>
        </row>
        <row r="352">
          <cell r="F352">
            <v>45200</v>
          </cell>
          <cell r="M352">
            <v>45200</v>
          </cell>
          <cell r="N352">
            <v>0</v>
          </cell>
          <cell r="P352">
            <v>45200</v>
          </cell>
        </row>
        <row r="353">
          <cell r="F353">
            <v>90400</v>
          </cell>
          <cell r="M353">
            <v>90400</v>
          </cell>
          <cell r="N353">
            <v>0</v>
          </cell>
          <cell r="P353">
            <v>90400</v>
          </cell>
        </row>
        <row r="354">
          <cell r="F354">
            <v>45200</v>
          </cell>
          <cell r="M354">
            <v>45200</v>
          </cell>
          <cell r="N354">
            <v>0</v>
          </cell>
          <cell r="P354">
            <v>45200</v>
          </cell>
        </row>
        <row r="355">
          <cell r="F355">
            <v>416000</v>
          </cell>
          <cell r="M355">
            <v>416000</v>
          </cell>
          <cell r="N355">
            <v>0</v>
          </cell>
          <cell r="P355">
            <v>416000</v>
          </cell>
        </row>
        <row r="356">
          <cell r="F356">
            <v>208000</v>
          </cell>
          <cell r="M356">
            <v>208000</v>
          </cell>
          <cell r="N356">
            <v>208000</v>
          </cell>
          <cell r="P356">
            <v>0</v>
          </cell>
        </row>
        <row r="357">
          <cell r="F357">
            <v>104000</v>
          </cell>
          <cell r="M357">
            <v>104000</v>
          </cell>
          <cell r="N357">
            <v>104000</v>
          </cell>
          <cell r="P357">
            <v>0</v>
          </cell>
        </row>
        <row r="358">
          <cell r="F358">
            <v>728000</v>
          </cell>
          <cell r="M358">
            <v>728000</v>
          </cell>
          <cell r="N358">
            <v>646169.42000000004</v>
          </cell>
          <cell r="P358">
            <v>0</v>
          </cell>
        </row>
        <row r="359">
          <cell r="F359">
            <v>520000</v>
          </cell>
          <cell r="M359">
            <v>520000</v>
          </cell>
          <cell r="N359">
            <v>518941.68</v>
          </cell>
          <cell r="P359">
            <v>0</v>
          </cell>
        </row>
        <row r="360">
          <cell r="F360">
            <v>104000</v>
          </cell>
          <cell r="M360">
            <v>104000</v>
          </cell>
          <cell r="N360">
            <v>85410</v>
          </cell>
          <cell r="P360">
            <v>0</v>
          </cell>
        </row>
        <row r="361">
          <cell r="F361">
            <v>104000</v>
          </cell>
          <cell r="M361">
            <v>104000</v>
          </cell>
          <cell r="N361">
            <v>100722</v>
          </cell>
          <cell r="P361">
            <v>0</v>
          </cell>
        </row>
        <row r="362">
          <cell r="F362">
            <v>208000</v>
          </cell>
          <cell r="M362">
            <v>208000</v>
          </cell>
          <cell r="N362">
            <v>0</v>
          </cell>
          <cell r="P362">
            <v>208000</v>
          </cell>
        </row>
        <row r="363">
          <cell r="F363">
            <v>104000</v>
          </cell>
          <cell r="M363">
            <v>104000</v>
          </cell>
          <cell r="N363">
            <v>104000</v>
          </cell>
          <cell r="P363">
            <v>0</v>
          </cell>
        </row>
        <row r="364">
          <cell r="F364">
            <v>520000</v>
          </cell>
          <cell r="M364">
            <v>520000</v>
          </cell>
          <cell r="N364">
            <v>453973.96</v>
          </cell>
          <cell r="P364">
            <v>0</v>
          </cell>
        </row>
        <row r="365">
          <cell r="F365">
            <v>104000</v>
          </cell>
          <cell r="M365">
            <v>104000</v>
          </cell>
          <cell r="N365">
            <v>72545</v>
          </cell>
          <cell r="P365">
            <v>0</v>
          </cell>
        </row>
        <row r="366">
          <cell r="F366">
            <v>208000</v>
          </cell>
          <cell r="M366">
            <v>208000</v>
          </cell>
          <cell r="N366">
            <v>208000</v>
          </cell>
          <cell r="P366">
            <v>0</v>
          </cell>
        </row>
        <row r="367">
          <cell r="F367">
            <v>520000</v>
          </cell>
          <cell r="M367">
            <v>520000</v>
          </cell>
          <cell r="N367">
            <v>452088</v>
          </cell>
          <cell r="P367">
            <v>0</v>
          </cell>
        </row>
        <row r="368">
          <cell r="F368">
            <v>135600</v>
          </cell>
          <cell r="M368">
            <v>135600</v>
          </cell>
          <cell r="N368">
            <v>135600</v>
          </cell>
          <cell r="P368">
            <v>0</v>
          </cell>
        </row>
        <row r="369">
          <cell r="F369">
            <v>45200</v>
          </cell>
          <cell r="M369">
            <v>45200</v>
          </cell>
          <cell r="N369">
            <v>44132</v>
          </cell>
          <cell r="P369">
            <v>0</v>
          </cell>
        </row>
        <row r="370">
          <cell r="F370">
            <v>90400</v>
          </cell>
          <cell r="M370">
            <v>90400</v>
          </cell>
          <cell r="N370">
            <v>87276</v>
          </cell>
          <cell r="P370">
            <v>0</v>
          </cell>
        </row>
        <row r="371">
          <cell r="F371">
            <v>135600</v>
          </cell>
          <cell r="M371">
            <v>135600</v>
          </cell>
          <cell r="N371">
            <v>127625.64</v>
          </cell>
          <cell r="P371">
            <v>0</v>
          </cell>
        </row>
        <row r="372">
          <cell r="F372">
            <v>45200</v>
          </cell>
          <cell r="M372">
            <v>45200</v>
          </cell>
          <cell r="N372">
            <v>45200</v>
          </cell>
          <cell r="P372">
            <v>0</v>
          </cell>
        </row>
        <row r="373">
          <cell r="F373">
            <v>226000</v>
          </cell>
          <cell r="M373">
            <v>226000</v>
          </cell>
          <cell r="N373">
            <v>214572.55</v>
          </cell>
          <cell r="P373">
            <v>0</v>
          </cell>
        </row>
        <row r="374">
          <cell r="F374">
            <v>45200</v>
          </cell>
          <cell r="M374">
            <v>45200</v>
          </cell>
          <cell r="N374">
            <v>30821</v>
          </cell>
          <cell r="P374">
            <v>0</v>
          </cell>
        </row>
        <row r="375">
          <cell r="F375">
            <v>45200</v>
          </cell>
          <cell r="M375">
            <v>45200</v>
          </cell>
          <cell r="N375">
            <v>0</v>
          </cell>
          <cell r="P375">
            <v>45200</v>
          </cell>
        </row>
        <row r="376">
          <cell r="F376">
            <v>90400</v>
          </cell>
          <cell r="M376">
            <v>90400</v>
          </cell>
          <cell r="N376">
            <v>0</v>
          </cell>
          <cell r="P376">
            <v>90400</v>
          </cell>
        </row>
        <row r="377">
          <cell r="F377">
            <v>45200</v>
          </cell>
          <cell r="M377">
            <v>45200</v>
          </cell>
          <cell r="N377">
            <v>45200</v>
          </cell>
          <cell r="P377">
            <v>0</v>
          </cell>
        </row>
        <row r="378">
          <cell r="F378">
            <v>45200</v>
          </cell>
          <cell r="M378">
            <v>45200</v>
          </cell>
          <cell r="N378">
            <v>29000</v>
          </cell>
          <cell r="P378">
            <v>0</v>
          </cell>
        </row>
        <row r="379">
          <cell r="F379">
            <v>104000</v>
          </cell>
          <cell r="M379">
            <v>81500</v>
          </cell>
          <cell r="N379">
            <v>0</v>
          </cell>
          <cell r="P379">
            <v>81500</v>
          </cell>
        </row>
        <row r="380">
          <cell r="F380">
            <v>480000</v>
          </cell>
          <cell r="M380">
            <v>480000</v>
          </cell>
          <cell r="N380">
            <v>480000</v>
          </cell>
          <cell r="P380">
            <v>0</v>
          </cell>
        </row>
        <row r="381">
          <cell r="F381">
            <v>104000</v>
          </cell>
          <cell r="M381">
            <v>104000</v>
          </cell>
          <cell r="N381">
            <v>0</v>
          </cell>
          <cell r="P381">
            <v>104000</v>
          </cell>
        </row>
        <row r="382">
          <cell r="F382">
            <v>90400</v>
          </cell>
          <cell r="M382">
            <v>90400</v>
          </cell>
          <cell r="N382">
            <v>0</v>
          </cell>
          <cell r="P382">
            <v>90400</v>
          </cell>
        </row>
        <row r="383">
          <cell r="F383">
            <v>45200</v>
          </cell>
          <cell r="M383">
            <v>45200</v>
          </cell>
          <cell r="N383">
            <v>0</v>
          </cell>
          <cell r="P383">
            <v>45200</v>
          </cell>
        </row>
        <row r="384">
          <cell r="F384">
            <v>224000</v>
          </cell>
          <cell r="M384">
            <v>208992</v>
          </cell>
          <cell r="N384">
            <v>0</v>
          </cell>
          <cell r="P384">
            <v>208992</v>
          </cell>
        </row>
        <row r="385">
          <cell r="F385">
            <v>360000</v>
          </cell>
          <cell r="M385">
            <v>360000</v>
          </cell>
          <cell r="P385">
            <v>360000</v>
          </cell>
        </row>
        <row r="386">
          <cell r="F386">
            <v>104000</v>
          </cell>
          <cell r="M386">
            <v>104000</v>
          </cell>
          <cell r="N386">
            <v>0</v>
          </cell>
          <cell r="P386">
            <v>104000</v>
          </cell>
        </row>
        <row r="387">
          <cell r="F387">
            <v>104000</v>
          </cell>
          <cell r="M387">
            <v>104000</v>
          </cell>
          <cell r="N387">
            <v>104000</v>
          </cell>
          <cell r="P387">
            <v>0</v>
          </cell>
        </row>
        <row r="388">
          <cell r="F388">
            <v>104000</v>
          </cell>
          <cell r="M388">
            <v>104000</v>
          </cell>
          <cell r="N388">
            <v>104000</v>
          </cell>
          <cell r="P388">
            <v>0</v>
          </cell>
        </row>
        <row r="389">
          <cell r="F389">
            <v>479000</v>
          </cell>
          <cell r="M389">
            <v>479000</v>
          </cell>
          <cell r="N389">
            <v>0</v>
          </cell>
          <cell r="P389">
            <v>479000</v>
          </cell>
        </row>
        <row r="390">
          <cell r="F390">
            <v>104000</v>
          </cell>
          <cell r="M390">
            <v>104000</v>
          </cell>
          <cell r="N390">
            <v>0</v>
          </cell>
          <cell r="P390">
            <v>104000</v>
          </cell>
        </row>
        <row r="391">
          <cell r="F391">
            <v>45200</v>
          </cell>
          <cell r="M391">
            <v>32861.160000000003</v>
          </cell>
          <cell r="N391">
            <v>32861.160000000003</v>
          </cell>
          <cell r="P391">
            <v>0</v>
          </cell>
        </row>
        <row r="392">
          <cell r="F392">
            <v>45200</v>
          </cell>
          <cell r="M392">
            <v>45200</v>
          </cell>
          <cell r="N392">
            <v>0</v>
          </cell>
          <cell r="P392">
            <v>45200</v>
          </cell>
        </row>
        <row r="393">
          <cell r="F393">
            <v>208000</v>
          </cell>
          <cell r="M393">
            <v>109400</v>
          </cell>
          <cell r="N393">
            <v>0</v>
          </cell>
          <cell r="P393">
            <v>109400</v>
          </cell>
        </row>
        <row r="394">
          <cell r="F394">
            <v>104000</v>
          </cell>
          <cell r="M394">
            <v>102290</v>
          </cell>
          <cell r="N394">
            <v>102290</v>
          </cell>
          <cell r="P394">
            <v>0</v>
          </cell>
        </row>
        <row r="395">
          <cell r="F395">
            <v>104000</v>
          </cell>
          <cell r="M395">
            <v>72563</v>
          </cell>
          <cell r="N395">
            <v>0</v>
          </cell>
          <cell r="P395">
            <v>72563</v>
          </cell>
        </row>
        <row r="396">
          <cell r="F396">
            <v>45200</v>
          </cell>
          <cell r="M396">
            <v>27000</v>
          </cell>
          <cell r="N396">
            <v>0</v>
          </cell>
          <cell r="P396">
            <v>27000</v>
          </cell>
        </row>
        <row r="397">
          <cell r="F397">
            <v>45200</v>
          </cell>
          <cell r="M397">
            <v>45200</v>
          </cell>
          <cell r="N397">
            <v>0</v>
          </cell>
          <cell r="P397">
            <v>21742</v>
          </cell>
        </row>
        <row r="398">
          <cell r="F398">
            <v>135600</v>
          </cell>
          <cell r="M398">
            <v>98790</v>
          </cell>
          <cell r="N398">
            <v>98790</v>
          </cell>
          <cell r="P398">
            <v>0</v>
          </cell>
        </row>
        <row r="399">
          <cell r="F399">
            <v>104000</v>
          </cell>
          <cell r="M399">
            <v>28523</v>
          </cell>
          <cell r="N399">
            <v>28523</v>
          </cell>
          <cell r="P399">
            <v>0</v>
          </cell>
        </row>
        <row r="400">
          <cell r="F400">
            <v>299000</v>
          </cell>
          <cell r="M400">
            <v>299000</v>
          </cell>
          <cell r="N400">
            <v>299000</v>
          </cell>
          <cell r="P400">
            <v>0</v>
          </cell>
        </row>
        <row r="401">
          <cell r="F401">
            <v>208000</v>
          </cell>
          <cell r="M401">
            <v>133043</v>
          </cell>
          <cell r="N401">
            <v>133043</v>
          </cell>
          <cell r="P401">
            <v>0</v>
          </cell>
        </row>
        <row r="402">
          <cell r="F402">
            <v>63922.7</v>
          </cell>
          <cell r="M402">
            <v>63922.7</v>
          </cell>
          <cell r="N402">
            <v>63922.7</v>
          </cell>
          <cell r="P402">
            <v>0</v>
          </cell>
        </row>
        <row r="403">
          <cell r="F403">
            <v>104000</v>
          </cell>
          <cell r="M403">
            <v>0</v>
          </cell>
          <cell r="N403">
            <v>0</v>
          </cell>
          <cell r="P403">
            <v>0</v>
          </cell>
        </row>
        <row r="404">
          <cell r="F404">
            <v>312000</v>
          </cell>
          <cell r="M404">
            <v>312000</v>
          </cell>
          <cell r="N404">
            <v>0</v>
          </cell>
          <cell r="P404">
            <v>312000</v>
          </cell>
        </row>
        <row r="405">
          <cell r="F405">
            <v>45200</v>
          </cell>
          <cell r="M405">
            <v>45200</v>
          </cell>
          <cell r="N405">
            <v>0</v>
          </cell>
          <cell r="P405">
            <v>45200</v>
          </cell>
        </row>
        <row r="406">
          <cell r="F406">
            <v>104000</v>
          </cell>
          <cell r="M406">
            <v>104000</v>
          </cell>
          <cell r="N406">
            <v>0</v>
          </cell>
          <cell r="P406">
            <v>104000</v>
          </cell>
        </row>
        <row r="407">
          <cell r="F407">
            <v>312000</v>
          </cell>
          <cell r="M407">
            <v>312000</v>
          </cell>
          <cell r="N407">
            <v>0</v>
          </cell>
          <cell r="P407">
            <v>312000</v>
          </cell>
        </row>
        <row r="408">
          <cell r="F408">
            <v>104000</v>
          </cell>
          <cell r="M408">
            <v>104000</v>
          </cell>
          <cell r="N408">
            <v>104000</v>
          </cell>
          <cell r="P408">
            <v>0</v>
          </cell>
        </row>
        <row r="409">
          <cell r="F409">
            <v>104000</v>
          </cell>
          <cell r="M409">
            <v>104000</v>
          </cell>
          <cell r="N409">
            <v>104000</v>
          </cell>
          <cell r="P409">
            <v>0</v>
          </cell>
        </row>
        <row r="410">
          <cell r="F410">
            <v>208000</v>
          </cell>
          <cell r="M410">
            <v>208000</v>
          </cell>
          <cell r="N410">
            <v>208000</v>
          </cell>
          <cell r="P410">
            <v>0</v>
          </cell>
        </row>
        <row r="411">
          <cell r="F411">
            <v>45200</v>
          </cell>
          <cell r="M411">
            <v>45200</v>
          </cell>
          <cell r="N411">
            <v>45200</v>
          </cell>
          <cell r="P411">
            <v>0</v>
          </cell>
        </row>
        <row r="412">
          <cell r="F412">
            <v>90400</v>
          </cell>
          <cell r="M412">
            <v>90400</v>
          </cell>
          <cell r="N412">
            <v>90400</v>
          </cell>
          <cell r="P412">
            <v>0</v>
          </cell>
        </row>
        <row r="413">
          <cell r="F413">
            <v>45200</v>
          </cell>
          <cell r="M413">
            <v>45200</v>
          </cell>
          <cell r="N413">
            <v>45200</v>
          </cell>
          <cell r="P413">
            <v>0</v>
          </cell>
        </row>
        <row r="414">
          <cell r="F414">
            <v>226000</v>
          </cell>
          <cell r="M414">
            <v>226000</v>
          </cell>
          <cell r="N414">
            <v>226000</v>
          </cell>
          <cell r="P414">
            <v>0</v>
          </cell>
        </row>
        <row r="415">
          <cell r="F415">
            <v>45200</v>
          </cell>
          <cell r="M415">
            <v>45200</v>
          </cell>
          <cell r="N415">
            <v>45200</v>
          </cell>
          <cell r="P415">
            <v>0</v>
          </cell>
        </row>
        <row r="416">
          <cell r="F416">
            <v>90400</v>
          </cell>
          <cell r="M416">
            <v>90400</v>
          </cell>
          <cell r="N416">
            <v>90400</v>
          </cell>
          <cell r="P416">
            <v>0</v>
          </cell>
        </row>
        <row r="417">
          <cell r="F417">
            <v>135600</v>
          </cell>
          <cell r="M417">
            <v>135600</v>
          </cell>
          <cell r="N417">
            <v>135600</v>
          </cell>
          <cell r="P417">
            <v>0</v>
          </cell>
        </row>
        <row r="418">
          <cell r="F418">
            <v>45200</v>
          </cell>
          <cell r="M418">
            <v>45200</v>
          </cell>
          <cell r="N418">
            <v>45200</v>
          </cell>
          <cell r="P418">
            <v>0</v>
          </cell>
        </row>
        <row r="419">
          <cell r="F419">
            <v>104000</v>
          </cell>
          <cell r="M419">
            <v>104000</v>
          </cell>
          <cell r="N419">
            <v>104000</v>
          </cell>
          <cell r="P419">
            <v>0</v>
          </cell>
        </row>
        <row r="420">
          <cell r="F420">
            <v>104000</v>
          </cell>
          <cell r="M420">
            <v>104000</v>
          </cell>
          <cell r="N420">
            <v>104000</v>
          </cell>
          <cell r="P420">
            <v>0</v>
          </cell>
        </row>
        <row r="421">
          <cell r="F421">
            <v>104000</v>
          </cell>
          <cell r="M421">
            <v>104000</v>
          </cell>
          <cell r="N421">
            <v>0</v>
          </cell>
          <cell r="P421">
            <v>104000</v>
          </cell>
        </row>
        <row r="422">
          <cell r="F422">
            <v>104000</v>
          </cell>
          <cell r="M422">
            <v>76000</v>
          </cell>
          <cell r="N422">
            <v>0</v>
          </cell>
          <cell r="P422">
            <v>76000</v>
          </cell>
        </row>
        <row r="423">
          <cell r="F423">
            <v>208000</v>
          </cell>
          <cell r="M423">
            <v>208000</v>
          </cell>
          <cell r="N423">
            <v>104000</v>
          </cell>
          <cell r="P423">
            <v>104000</v>
          </cell>
        </row>
        <row r="424">
          <cell r="F424">
            <v>45200</v>
          </cell>
          <cell r="M424">
            <v>35700</v>
          </cell>
          <cell r="N424">
            <v>0</v>
          </cell>
          <cell r="P424">
            <v>35700</v>
          </cell>
        </row>
        <row r="425">
          <cell r="F425">
            <v>45200</v>
          </cell>
          <cell r="M425">
            <v>29200</v>
          </cell>
          <cell r="N425">
            <v>29200</v>
          </cell>
          <cell r="P425">
            <v>0</v>
          </cell>
        </row>
        <row r="426">
          <cell r="F426">
            <v>45200</v>
          </cell>
          <cell r="M426">
            <v>45200</v>
          </cell>
          <cell r="N426">
            <v>0</v>
          </cell>
          <cell r="P426">
            <v>45200</v>
          </cell>
        </row>
        <row r="427">
          <cell r="F427">
            <v>95000</v>
          </cell>
          <cell r="M427">
            <v>95000</v>
          </cell>
          <cell r="N427">
            <v>95000</v>
          </cell>
          <cell r="P427">
            <v>0</v>
          </cell>
        </row>
        <row r="428">
          <cell r="F428">
            <v>208000</v>
          </cell>
          <cell r="M428">
            <v>207567.89</v>
          </cell>
          <cell r="N428">
            <v>207567.89</v>
          </cell>
          <cell r="P428">
            <v>0</v>
          </cell>
        </row>
        <row r="429">
          <cell r="F429">
            <v>104000</v>
          </cell>
          <cell r="M429">
            <v>104000</v>
          </cell>
          <cell r="N429">
            <v>0</v>
          </cell>
          <cell r="P429">
            <v>104000</v>
          </cell>
        </row>
        <row r="430">
          <cell r="F430">
            <v>104000</v>
          </cell>
          <cell r="M430">
            <v>104000</v>
          </cell>
          <cell r="N430">
            <v>0</v>
          </cell>
          <cell r="P430">
            <v>104000</v>
          </cell>
        </row>
        <row r="431">
          <cell r="F431">
            <v>624000</v>
          </cell>
          <cell r="M431">
            <v>624000</v>
          </cell>
          <cell r="N431">
            <v>0</v>
          </cell>
          <cell r="P431">
            <v>624000</v>
          </cell>
        </row>
        <row r="432">
          <cell r="F432">
            <v>312000</v>
          </cell>
          <cell r="M432">
            <v>208000</v>
          </cell>
          <cell r="N432">
            <v>75684</v>
          </cell>
          <cell r="P432">
            <v>77590</v>
          </cell>
        </row>
        <row r="433">
          <cell r="F433">
            <v>90400</v>
          </cell>
          <cell r="M433">
            <v>90400</v>
          </cell>
          <cell r="N433">
            <v>90400</v>
          </cell>
          <cell r="P433">
            <v>0</v>
          </cell>
        </row>
        <row r="434">
          <cell r="F434">
            <v>45200</v>
          </cell>
          <cell r="M434">
            <v>45200</v>
          </cell>
          <cell r="N434">
            <v>45200</v>
          </cell>
          <cell r="P434">
            <v>0</v>
          </cell>
        </row>
        <row r="435">
          <cell r="F435">
            <v>45200</v>
          </cell>
          <cell r="M435">
            <v>45200</v>
          </cell>
          <cell r="N435">
            <v>0</v>
          </cell>
          <cell r="P435">
            <v>45200</v>
          </cell>
        </row>
        <row r="436">
          <cell r="F436">
            <v>90400</v>
          </cell>
          <cell r="M436">
            <v>45200</v>
          </cell>
          <cell r="N436">
            <v>0</v>
          </cell>
          <cell r="P436">
            <v>45200</v>
          </cell>
        </row>
        <row r="437">
          <cell r="F437">
            <v>45200</v>
          </cell>
          <cell r="M437">
            <v>45200</v>
          </cell>
          <cell r="N437">
            <v>0</v>
          </cell>
          <cell r="P437">
            <v>39150.51</v>
          </cell>
        </row>
        <row r="438">
          <cell r="F438">
            <v>208000</v>
          </cell>
          <cell r="M438">
            <v>208000</v>
          </cell>
          <cell r="N438">
            <v>208000</v>
          </cell>
          <cell r="P438">
            <v>0</v>
          </cell>
        </row>
        <row r="439">
          <cell r="F439">
            <v>476500</v>
          </cell>
          <cell r="M439">
            <v>476500</v>
          </cell>
          <cell r="N439">
            <v>476500</v>
          </cell>
          <cell r="P439">
            <v>0</v>
          </cell>
        </row>
        <row r="440">
          <cell r="F440">
            <v>622000</v>
          </cell>
          <cell r="M440">
            <v>553000</v>
          </cell>
          <cell r="N440">
            <v>0</v>
          </cell>
          <cell r="P440">
            <v>553000</v>
          </cell>
        </row>
        <row r="441">
          <cell r="F441">
            <v>415400</v>
          </cell>
          <cell r="M441">
            <v>410400</v>
          </cell>
          <cell r="N441">
            <v>408400</v>
          </cell>
          <cell r="P441">
            <v>0</v>
          </cell>
        </row>
        <row r="442">
          <cell r="F442">
            <v>208000</v>
          </cell>
          <cell r="M442">
            <v>144176.49</v>
          </cell>
          <cell r="N442">
            <v>144176.49</v>
          </cell>
          <cell r="P442">
            <v>0</v>
          </cell>
        </row>
        <row r="443">
          <cell r="F443">
            <v>208000</v>
          </cell>
          <cell r="M443">
            <v>179598</v>
          </cell>
          <cell r="N443">
            <v>179598</v>
          </cell>
          <cell r="P443">
            <v>0</v>
          </cell>
        </row>
        <row r="444">
          <cell r="F444">
            <v>45200</v>
          </cell>
          <cell r="M444">
            <v>34342</v>
          </cell>
          <cell r="N444">
            <v>34342</v>
          </cell>
          <cell r="P444">
            <v>0</v>
          </cell>
        </row>
        <row r="445">
          <cell r="F445">
            <v>624000</v>
          </cell>
          <cell r="M445">
            <v>624000</v>
          </cell>
          <cell r="N445">
            <v>624000</v>
          </cell>
          <cell r="P445">
            <v>0</v>
          </cell>
        </row>
        <row r="446">
          <cell r="F446">
            <v>104000</v>
          </cell>
          <cell r="M446">
            <v>76220.06</v>
          </cell>
          <cell r="N446">
            <v>76220.06</v>
          </cell>
          <cell r="P446">
            <v>0</v>
          </cell>
        </row>
        <row r="447">
          <cell r="F447">
            <v>208000</v>
          </cell>
          <cell r="M447">
            <v>208000</v>
          </cell>
          <cell r="N447">
            <v>208000</v>
          </cell>
          <cell r="P447">
            <v>0</v>
          </cell>
        </row>
        <row r="448">
          <cell r="F448">
            <v>104000</v>
          </cell>
          <cell r="M448">
            <v>92186.05</v>
          </cell>
          <cell r="N448">
            <v>92186.05</v>
          </cell>
          <cell r="P448">
            <v>0</v>
          </cell>
        </row>
        <row r="449">
          <cell r="F449">
            <v>104000</v>
          </cell>
          <cell r="M449">
            <v>104000</v>
          </cell>
          <cell r="N449">
            <v>104000</v>
          </cell>
          <cell r="P449">
            <v>0</v>
          </cell>
        </row>
        <row r="450">
          <cell r="F450">
            <v>45200</v>
          </cell>
          <cell r="M450">
            <v>34046.9</v>
          </cell>
          <cell r="N450">
            <v>34046.9</v>
          </cell>
          <cell r="P450">
            <v>0</v>
          </cell>
        </row>
        <row r="451">
          <cell r="F451">
            <v>329000</v>
          </cell>
          <cell r="M451">
            <v>329000</v>
          </cell>
          <cell r="N451">
            <v>329000</v>
          </cell>
          <cell r="P451">
            <v>0</v>
          </cell>
        </row>
        <row r="452">
          <cell r="F452">
            <v>104000</v>
          </cell>
          <cell r="M452">
            <v>104000</v>
          </cell>
          <cell r="N452">
            <v>0</v>
          </cell>
          <cell r="P452">
            <v>0</v>
          </cell>
        </row>
        <row r="453">
          <cell r="F453">
            <v>208000</v>
          </cell>
          <cell r="M453">
            <v>208000</v>
          </cell>
          <cell r="N453">
            <v>0</v>
          </cell>
          <cell r="P453">
            <v>0</v>
          </cell>
        </row>
        <row r="454">
          <cell r="F454">
            <v>104000</v>
          </cell>
          <cell r="M454">
            <v>101500</v>
          </cell>
          <cell r="N454">
            <v>101500</v>
          </cell>
          <cell r="P454">
            <v>0</v>
          </cell>
        </row>
        <row r="455">
          <cell r="F455">
            <v>312000</v>
          </cell>
          <cell r="M455">
            <v>134600</v>
          </cell>
          <cell r="N455">
            <v>0</v>
          </cell>
          <cell r="P455">
            <v>74400</v>
          </cell>
        </row>
        <row r="456">
          <cell r="F456">
            <v>104000</v>
          </cell>
          <cell r="M456">
            <v>104000</v>
          </cell>
          <cell r="N456">
            <v>0</v>
          </cell>
          <cell r="P456">
            <v>0</v>
          </cell>
        </row>
        <row r="457">
          <cell r="F457">
            <v>104000</v>
          </cell>
          <cell r="M457">
            <v>83582.38</v>
          </cell>
          <cell r="N457">
            <v>74582.38</v>
          </cell>
          <cell r="P457">
            <v>0</v>
          </cell>
        </row>
        <row r="458">
          <cell r="F458">
            <v>45200</v>
          </cell>
          <cell r="M458">
            <v>32600</v>
          </cell>
          <cell r="N458">
            <v>32600</v>
          </cell>
          <cell r="P458">
            <v>0</v>
          </cell>
        </row>
        <row r="459">
          <cell r="F459">
            <v>45200</v>
          </cell>
          <cell r="M459">
            <v>45200</v>
          </cell>
          <cell r="N459">
            <v>0</v>
          </cell>
          <cell r="P459">
            <v>0</v>
          </cell>
        </row>
        <row r="460">
          <cell r="F460">
            <v>104000</v>
          </cell>
          <cell r="M460">
            <v>104000</v>
          </cell>
          <cell r="N460">
            <v>0</v>
          </cell>
          <cell r="P460">
            <v>0</v>
          </cell>
        </row>
        <row r="461">
          <cell r="F461">
            <v>104000</v>
          </cell>
          <cell r="M461">
            <v>104000</v>
          </cell>
          <cell r="N461">
            <v>0</v>
          </cell>
          <cell r="P461">
            <v>0</v>
          </cell>
        </row>
        <row r="462">
          <cell r="F462">
            <v>180000</v>
          </cell>
          <cell r="M462">
            <v>0</v>
          </cell>
          <cell r="N462">
            <v>0</v>
          </cell>
          <cell r="P462">
            <v>0</v>
          </cell>
        </row>
        <row r="463">
          <cell r="F463">
            <v>416000</v>
          </cell>
          <cell r="M463">
            <v>237700</v>
          </cell>
          <cell r="N463">
            <v>158396</v>
          </cell>
          <cell r="P463">
            <v>74500</v>
          </cell>
        </row>
        <row r="464">
          <cell r="F464">
            <v>104000</v>
          </cell>
          <cell r="M464">
            <v>104000</v>
          </cell>
          <cell r="N464">
            <v>0</v>
          </cell>
          <cell r="P464">
            <v>104000</v>
          </cell>
        </row>
        <row r="465">
          <cell r="F465">
            <v>208000</v>
          </cell>
          <cell r="M465">
            <v>197600</v>
          </cell>
          <cell r="N465">
            <v>197600</v>
          </cell>
          <cell r="P465">
            <v>0</v>
          </cell>
        </row>
        <row r="466">
          <cell r="F466">
            <v>208000</v>
          </cell>
          <cell r="M466">
            <v>208000</v>
          </cell>
          <cell r="N466">
            <v>208000</v>
          </cell>
          <cell r="P466">
            <v>0</v>
          </cell>
        </row>
        <row r="467">
          <cell r="F467">
            <v>104000</v>
          </cell>
          <cell r="M467">
            <v>76421.459999999992</v>
          </cell>
          <cell r="N467">
            <v>76421.460000000006</v>
          </cell>
          <cell r="P467">
            <v>0</v>
          </cell>
        </row>
        <row r="468">
          <cell r="F468">
            <v>104000</v>
          </cell>
          <cell r="M468">
            <v>104000</v>
          </cell>
          <cell r="N468">
            <v>104000</v>
          </cell>
          <cell r="P468">
            <v>0</v>
          </cell>
        </row>
        <row r="469">
          <cell r="F469">
            <v>520000</v>
          </cell>
          <cell r="M469">
            <v>520000</v>
          </cell>
          <cell r="N469">
            <v>498850.56</v>
          </cell>
          <cell r="P469">
            <v>0</v>
          </cell>
        </row>
        <row r="470">
          <cell r="F470">
            <v>45200</v>
          </cell>
          <cell r="M470">
            <v>35700</v>
          </cell>
          <cell r="N470">
            <v>35700</v>
          </cell>
          <cell r="P470">
            <v>0</v>
          </cell>
        </row>
        <row r="471">
          <cell r="F471">
            <v>45200</v>
          </cell>
          <cell r="M471">
            <v>45200</v>
          </cell>
          <cell r="N471">
            <v>45200</v>
          </cell>
          <cell r="P471">
            <v>0</v>
          </cell>
        </row>
        <row r="472">
          <cell r="F472">
            <v>312000</v>
          </cell>
          <cell r="M472">
            <v>312000</v>
          </cell>
          <cell r="N472">
            <v>301858</v>
          </cell>
          <cell r="P472">
            <v>0</v>
          </cell>
        </row>
      </sheetData>
      <sheetData sheetId="27">
        <row r="15">
          <cell r="K15">
            <v>8000</v>
          </cell>
        </row>
        <row r="17">
          <cell r="F17" t="str">
            <v>นนทบุรี</v>
          </cell>
          <cell r="K17">
            <v>8000</v>
          </cell>
          <cell r="M17">
            <v>0</v>
          </cell>
          <cell r="N17">
            <v>8000</v>
          </cell>
        </row>
        <row r="19">
          <cell r="F19" t="str">
            <v>ปทุมธานี</v>
          </cell>
          <cell r="K19">
            <v>8000</v>
          </cell>
          <cell r="M19">
            <v>0</v>
          </cell>
          <cell r="N19">
            <v>8000</v>
          </cell>
        </row>
        <row r="21">
          <cell r="K21">
            <v>8000</v>
          </cell>
          <cell r="M21">
            <v>8000</v>
          </cell>
          <cell r="N21">
            <v>0</v>
          </cell>
        </row>
        <row r="23">
          <cell r="K23">
            <v>8000</v>
          </cell>
          <cell r="M23">
            <v>0</v>
          </cell>
          <cell r="N23">
            <v>8000</v>
          </cell>
        </row>
        <row r="25">
          <cell r="K25">
            <v>8000</v>
          </cell>
          <cell r="M25">
            <v>0</v>
          </cell>
          <cell r="N25">
            <v>0</v>
          </cell>
        </row>
        <row r="27">
          <cell r="K27">
            <v>8000</v>
          </cell>
          <cell r="M27">
            <v>0</v>
          </cell>
          <cell r="N27">
            <v>8000</v>
          </cell>
        </row>
        <row r="29">
          <cell r="K29">
            <v>8000</v>
          </cell>
          <cell r="M29">
            <v>0</v>
          </cell>
          <cell r="N29">
            <v>8000</v>
          </cell>
        </row>
        <row r="31">
          <cell r="K31">
            <v>8000</v>
          </cell>
          <cell r="M31">
            <v>0</v>
          </cell>
          <cell r="N31">
            <v>8000</v>
          </cell>
        </row>
        <row r="33">
          <cell r="K33">
            <v>8000</v>
          </cell>
          <cell r="M33">
            <v>0</v>
          </cell>
          <cell r="N33">
            <v>8000</v>
          </cell>
        </row>
        <row r="35">
          <cell r="K35">
            <v>8000</v>
          </cell>
          <cell r="M35">
            <v>0</v>
          </cell>
          <cell r="N35">
            <v>8000</v>
          </cell>
        </row>
        <row r="37">
          <cell r="K37">
            <v>8000</v>
          </cell>
          <cell r="M37">
            <v>0</v>
          </cell>
          <cell r="N37">
            <v>8000</v>
          </cell>
        </row>
        <row r="39">
          <cell r="K39">
            <v>8000</v>
          </cell>
          <cell r="M39">
            <v>0</v>
          </cell>
          <cell r="N39">
            <v>0</v>
          </cell>
        </row>
        <row r="41">
          <cell r="K41">
            <v>8000</v>
          </cell>
          <cell r="M41">
            <v>8000</v>
          </cell>
          <cell r="N41">
            <v>0</v>
          </cell>
        </row>
        <row r="43">
          <cell r="K43">
            <v>8000</v>
          </cell>
          <cell r="M43">
            <v>0</v>
          </cell>
          <cell r="N43">
            <v>8000</v>
          </cell>
        </row>
        <row r="45">
          <cell r="F45" t="str">
            <v>นครนายก</v>
          </cell>
          <cell r="K45">
            <v>8000</v>
          </cell>
          <cell r="M45">
            <v>0</v>
          </cell>
          <cell r="N45">
            <v>8000</v>
          </cell>
        </row>
        <row r="47">
          <cell r="K47">
            <v>8000</v>
          </cell>
          <cell r="M47">
            <v>0</v>
          </cell>
          <cell r="N47">
            <v>0</v>
          </cell>
        </row>
        <row r="49">
          <cell r="K49">
            <v>8000</v>
          </cell>
          <cell r="M49">
            <v>0</v>
          </cell>
          <cell r="N49">
            <v>0</v>
          </cell>
        </row>
        <row r="51">
          <cell r="K51">
            <v>8000</v>
          </cell>
          <cell r="M51">
            <v>8000</v>
          </cell>
          <cell r="N51">
            <v>0</v>
          </cell>
        </row>
        <row r="53">
          <cell r="K53">
            <v>8000</v>
          </cell>
          <cell r="M53">
            <v>8000</v>
          </cell>
          <cell r="N53">
            <v>0</v>
          </cell>
        </row>
        <row r="55">
          <cell r="K55">
            <v>8000</v>
          </cell>
          <cell r="M55">
            <v>0</v>
          </cell>
          <cell r="N55">
            <v>8000</v>
          </cell>
        </row>
        <row r="57">
          <cell r="K57">
            <v>8000</v>
          </cell>
          <cell r="M57">
            <v>0</v>
          </cell>
          <cell r="N57">
            <v>8000</v>
          </cell>
        </row>
        <row r="59">
          <cell r="K59">
            <v>8000</v>
          </cell>
          <cell r="M59">
            <v>8000</v>
          </cell>
          <cell r="N59">
            <v>0</v>
          </cell>
        </row>
        <row r="61">
          <cell r="K61">
            <v>8000</v>
          </cell>
          <cell r="M61">
            <v>8000</v>
          </cell>
          <cell r="N61">
            <v>0</v>
          </cell>
        </row>
        <row r="63">
          <cell r="K63">
            <v>8000</v>
          </cell>
          <cell r="M63">
            <v>0</v>
          </cell>
          <cell r="N63">
            <v>8000</v>
          </cell>
        </row>
        <row r="65">
          <cell r="K65">
            <v>8000</v>
          </cell>
          <cell r="M65">
            <v>0</v>
          </cell>
          <cell r="N65">
            <v>8000</v>
          </cell>
        </row>
        <row r="67">
          <cell r="K67">
            <v>8000</v>
          </cell>
          <cell r="M67">
            <v>0</v>
          </cell>
          <cell r="N67">
            <v>8000</v>
          </cell>
        </row>
        <row r="69">
          <cell r="K69">
            <v>8000</v>
          </cell>
          <cell r="M69">
            <v>8000</v>
          </cell>
          <cell r="N69">
            <v>0</v>
          </cell>
        </row>
        <row r="71">
          <cell r="K71">
            <v>8000</v>
          </cell>
          <cell r="M71">
            <v>8000</v>
          </cell>
          <cell r="N71">
            <v>0</v>
          </cell>
        </row>
        <row r="73">
          <cell r="K73">
            <v>8000</v>
          </cell>
          <cell r="M73">
            <v>0</v>
          </cell>
          <cell r="N73">
            <v>8000</v>
          </cell>
        </row>
        <row r="75">
          <cell r="K75">
            <v>8000</v>
          </cell>
          <cell r="M75">
            <v>8000</v>
          </cell>
          <cell r="N75">
            <v>0</v>
          </cell>
        </row>
        <row r="77">
          <cell r="K77">
            <v>8000</v>
          </cell>
          <cell r="M77">
            <v>8000</v>
          </cell>
          <cell r="N77">
            <v>0</v>
          </cell>
        </row>
        <row r="79">
          <cell r="K79">
            <v>8000</v>
          </cell>
          <cell r="M79">
            <v>8000</v>
          </cell>
          <cell r="N79">
            <v>0</v>
          </cell>
        </row>
        <row r="81">
          <cell r="K81">
            <v>8000</v>
          </cell>
          <cell r="M81">
            <v>8000</v>
          </cell>
          <cell r="N81">
            <v>0</v>
          </cell>
        </row>
        <row r="83">
          <cell r="K83">
            <v>8000</v>
          </cell>
          <cell r="M83">
            <v>0</v>
          </cell>
          <cell r="N83">
            <v>8000</v>
          </cell>
        </row>
        <row r="85">
          <cell r="K85">
            <v>8000</v>
          </cell>
          <cell r="M85">
            <v>0</v>
          </cell>
          <cell r="N85">
            <v>8000</v>
          </cell>
        </row>
        <row r="87">
          <cell r="K87">
            <v>8000</v>
          </cell>
          <cell r="M87">
            <v>0</v>
          </cell>
          <cell r="N87">
            <v>0</v>
          </cell>
        </row>
        <row r="89">
          <cell r="K89">
            <v>8000</v>
          </cell>
          <cell r="M89">
            <v>0</v>
          </cell>
          <cell r="N89">
            <v>8000</v>
          </cell>
        </row>
        <row r="91">
          <cell r="K91">
            <v>8000</v>
          </cell>
          <cell r="M91">
            <v>0</v>
          </cell>
          <cell r="N91">
            <v>8000</v>
          </cell>
        </row>
        <row r="93">
          <cell r="K93">
            <v>8000</v>
          </cell>
          <cell r="M93">
            <v>0</v>
          </cell>
          <cell r="N93">
            <v>8000</v>
          </cell>
        </row>
        <row r="95">
          <cell r="K95">
            <v>8000</v>
          </cell>
          <cell r="M95">
            <v>0</v>
          </cell>
          <cell r="N95">
            <v>8000</v>
          </cell>
        </row>
        <row r="97">
          <cell r="K97">
            <v>8000</v>
          </cell>
          <cell r="M97">
            <v>0</v>
          </cell>
          <cell r="N97">
            <v>8000</v>
          </cell>
        </row>
        <row r="99">
          <cell r="K99">
            <v>8000</v>
          </cell>
          <cell r="M99">
            <v>0</v>
          </cell>
          <cell r="N99">
            <v>8000</v>
          </cell>
        </row>
        <row r="101">
          <cell r="K101">
            <v>8000</v>
          </cell>
          <cell r="M101">
            <v>0</v>
          </cell>
          <cell r="N101">
            <v>8000</v>
          </cell>
        </row>
        <row r="103">
          <cell r="K103">
            <v>8000</v>
          </cell>
          <cell r="M103">
            <v>0</v>
          </cell>
          <cell r="N103">
            <v>8000</v>
          </cell>
        </row>
        <row r="105">
          <cell r="K105">
            <v>8000</v>
          </cell>
          <cell r="M105">
            <v>0</v>
          </cell>
          <cell r="N105">
            <v>8000</v>
          </cell>
        </row>
        <row r="107">
          <cell r="K107">
            <v>8000</v>
          </cell>
          <cell r="M107">
            <v>0</v>
          </cell>
          <cell r="N107">
            <v>8000</v>
          </cell>
        </row>
        <row r="109">
          <cell r="K109">
            <v>8000</v>
          </cell>
          <cell r="M109">
            <v>0</v>
          </cell>
          <cell r="N109">
            <v>8000</v>
          </cell>
        </row>
        <row r="111">
          <cell r="K111">
            <v>8000</v>
          </cell>
          <cell r="M111">
            <v>0</v>
          </cell>
          <cell r="N111">
            <v>8000</v>
          </cell>
        </row>
        <row r="113">
          <cell r="K113">
            <v>8000</v>
          </cell>
          <cell r="M113">
            <v>0</v>
          </cell>
          <cell r="N113">
            <v>8000</v>
          </cell>
        </row>
        <row r="115">
          <cell r="K115">
            <v>8000</v>
          </cell>
          <cell r="M115">
            <v>0</v>
          </cell>
          <cell r="N115">
            <v>8000</v>
          </cell>
        </row>
        <row r="117">
          <cell r="K117">
            <v>8000</v>
          </cell>
          <cell r="M117">
            <v>0</v>
          </cell>
          <cell r="N117">
            <v>8000</v>
          </cell>
        </row>
        <row r="119">
          <cell r="K119">
            <v>8000</v>
          </cell>
          <cell r="M119">
            <v>8000</v>
          </cell>
          <cell r="N119">
            <v>0</v>
          </cell>
        </row>
        <row r="121">
          <cell r="K121">
            <v>8000</v>
          </cell>
          <cell r="M121">
            <v>0</v>
          </cell>
          <cell r="N121">
            <v>8000</v>
          </cell>
        </row>
        <row r="123">
          <cell r="K123">
            <v>16000</v>
          </cell>
          <cell r="M123">
            <v>0</v>
          </cell>
          <cell r="N123">
            <v>16000</v>
          </cell>
        </row>
        <row r="125">
          <cell r="K125">
            <v>8000</v>
          </cell>
          <cell r="M125">
            <v>0</v>
          </cell>
          <cell r="N125">
            <v>8000</v>
          </cell>
        </row>
        <row r="127">
          <cell r="F127" t="str">
            <v>นครปฐม</v>
          </cell>
          <cell r="K127">
            <v>8000</v>
          </cell>
          <cell r="M127">
            <v>0</v>
          </cell>
          <cell r="N127">
            <v>8000</v>
          </cell>
        </row>
        <row r="129">
          <cell r="K129">
            <v>8000</v>
          </cell>
          <cell r="M129">
            <v>0</v>
          </cell>
          <cell r="N129">
            <v>8000</v>
          </cell>
        </row>
        <row r="131">
          <cell r="K131">
            <v>8000</v>
          </cell>
          <cell r="M131">
            <v>0</v>
          </cell>
          <cell r="N131">
            <v>8000</v>
          </cell>
        </row>
        <row r="133">
          <cell r="K133">
            <v>8000</v>
          </cell>
          <cell r="M133">
            <v>0</v>
          </cell>
          <cell r="N133">
            <v>8000</v>
          </cell>
        </row>
        <row r="135">
          <cell r="K135">
            <v>8000</v>
          </cell>
          <cell r="M135">
            <v>0</v>
          </cell>
        </row>
        <row r="137">
          <cell r="K137">
            <v>8000</v>
          </cell>
          <cell r="M137">
            <v>0</v>
          </cell>
          <cell r="N137">
            <v>8000</v>
          </cell>
        </row>
        <row r="139">
          <cell r="K139">
            <v>8000</v>
          </cell>
          <cell r="M139">
            <v>0</v>
          </cell>
          <cell r="N139">
            <v>8000</v>
          </cell>
        </row>
        <row r="141">
          <cell r="F141" t="str">
            <v>พังงา</v>
          </cell>
          <cell r="M141">
            <v>0</v>
          </cell>
          <cell r="N141">
            <v>8000</v>
          </cell>
        </row>
        <row r="143">
          <cell r="K143">
            <v>8000</v>
          </cell>
          <cell r="M143">
            <v>0</v>
          </cell>
          <cell r="N143">
            <v>8000</v>
          </cell>
        </row>
        <row r="145">
          <cell r="K145">
            <v>8000</v>
          </cell>
          <cell r="M145">
            <v>0</v>
          </cell>
          <cell r="N145">
            <v>8000</v>
          </cell>
        </row>
        <row r="147">
          <cell r="K147">
            <v>8000</v>
          </cell>
          <cell r="M147">
            <v>0</v>
          </cell>
          <cell r="N147">
            <v>8000</v>
          </cell>
        </row>
        <row r="149">
          <cell r="K149">
            <v>8000</v>
          </cell>
          <cell r="M149">
            <v>0</v>
          </cell>
          <cell r="N149">
            <v>8000</v>
          </cell>
        </row>
        <row r="151">
          <cell r="K151">
            <v>8000</v>
          </cell>
          <cell r="M151">
            <v>0</v>
          </cell>
          <cell r="N151">
            <v>0</v>
          </cell>
        </row>
        <row r="153">
          <cell r="K153">
            <v>8000</v>
          </cell>
          <cell r="M153">
            <v>0</v>
          </cell>
          <cell r="N153">
            <v>8000</v>
          </cell>
        </row>
        <row r="155">
          <cell r="K155">
            <v>8000</v>
          </cell>
          <cell r="M155">
            <v>0</v>
          </cell>
          <cell r="N155">
            <v>8000</v>
          </cell>
        </row>
        <row r="157">
          <cell r="K157">
            <v>8000</v>
          </cell>
          <cell r="M157">
            <v>0</v>
          </cell>
          <cell r="N157">
            <v>8000</v>
          </cell>
        </row>
        <row r="159">
          <cell r="K159">
            <v>8000</v>
          </cell>
          <cell r="M159">
            <v>0</v>
          </cell>
          <cell r="N159">
            <v>8000</v>
          </cell>
        </row>
        <row r="161">
          <cell r="K161">
            <v>8000</v>
          </cell>
          <cell r="M161">
            <v>0</v>
          </cell>
          <cell r="N161">
            <v>0</v>
          </cell>
        </row>
        <row r="163">
          <cell r="K163">
            <v>8000</v>
          </cell>
          <cell r="M163">
            <v>0</v>
          </cell>
          <cell r="N163">
            <v>8000</v>
          </cell>
        </row>
        <row r="165">
          <cell r="K165">
            <v>8000</v>
          </cell>
          <cell r="M165">
            <v>0</v>
          </cell>
          <cell r="N165">
            <v>8000</v>
          </cell>
        </row>
        <row r="167">
          <cell r="K167">
            <v>8000</v>
          </cell>
          <cell r="M167">
            <v>0</v>
          </cell>
          <cell r="N167">
            <v>8000</v>
          </cell>
        </row>
        <row r="169">
          <cell r="K169">
            <v>8000</v>
          </cell>
          <cell r="M169">
            <v>0</v>
          </cell>
          <cell r="N169">
            <v>8000</v>
          </cell>
        </row>
        <row r="171">
          <cell r="K171">
            <v>8000</v>
          </cell>
          <cell r="M171">
            <v>0</v>
          </cell>
          <cell r="N171">
            <v>8000</v>
          </cell>
        </row>
        <row r="173">
          <cell r="K173">
            <v>16000</v>
          </cell>
          <cell r="M173">
            <v>0</v>
          </cell>
          <cell r="N173">
            <v>16000</v>
          </cell>
        </row>
        <row r="175">
          <cell r="K175">
            <v>8000</v>
          </cell>
          <cell r="M175">
            <v>8000</v>
          </cell>
          <cell r="N175">
            <v>0</v>
          </cell>
        </row>
        <row r="177">
          <cell r="K177">
            <v>16000</v>
          </cell>
          <cell r="M177">
            <v>0</v>
          </cell>
          <cell r="N177">
            <v>16000</v>
          </cell>
        </row>
        <row r="179">
          <cell r="K179">
            <v>8000</v>
          </cell>
          <cell r="M179">
            <v>0</v>
          </cell>
          <cell r="N179">
            <v>8000</v>
          </cell>
        </row>
        <row r="181">
          <cell r="K181">
            <v>8000</v>
          </cell>
          <cell r="M181">
            <v>0</v>
          </cell>
          <cell r="N181">
            <v>8000</v>
          </cell>
        </row>
        <row r="183">
          <cell r="K183">
            <v>8000</v>
          </cell>
          <cell r="M183">
            <v>0</v>
          </cell>
          <cell r="N183">
            <v>8000</v>
          </cell>
        </row>
        <row r="185">
          <cell r="K185">
            <v>16000</v>
          </cell>
          <cell r="M185">
            <v>0</v>
          </cell>
          <cell r="N185">
            <v>16000</v>
          </cell>
        </row>
        <row r="187">
          <cell r="K187">
            <v>8000</v>
          </cell>
          <cell r="M187">
            <v>0</v>
          </cell>
          <cell r="N187">
            <v>8000</v>
          </cell>
        </row>
      </sheetData>
      <sheetData sheetId="28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ืนเงินส่วนกลาง"/>
      <sheetName val="Sheet1"/>
      <sheetName val="Sheet14"/>
      <sheetName val="Sheet2"/>
      <sheetName val="zfma 47 คีย์ Link เบิกจ่าย"/>
      <sheetName val="BPMส่วนกลาง"/>
      <sheetName val="ส่วนกลาง (2)"/>
      <sheetName val="Sheet16"/>
      <sheetName val="ส่วนกลาง"/>
      <sheetName val="สก+สพช+จว"/>
      <sheetName val="ส่วนกลาง+สพช11แห่ง"/>
      <sheetName val="Sheet20"/>
      <sheetName val="Sheet18"/>
      <sheetName val="จังหวัดหัก(D) (2)"/>
      <sheetName val="จังหวัดหัก(D)"/>
      <sheetName val=" ศูนย์"/>
      <sheetName val="จังหวัด "/>
      <sheetName val="Sheet22"/>
      <sheetName val="จ.เรียงเขตตรวจ"/>
      <sheetName val="ร้อยละเบิกจ่ายไตรมาส1-3"/>
      <sheetName val="เรียงผู้ตรวจ"/>
      <sheetName val="Sheet21"/>
      <sheetName val="ผลเบิกจ่ายเขตตรวจ"/>
      <sheetName val="เรียงเบิกจ่ายเขตตรวจ"/>
      <sheetName val="ปริ้นเรียงผู้ตรวจ"/>
      <sheetName val="ส่วนกลาง+สพช11แห่ง (2)"/>
      <sheetName val="คิดเบิกจ่ายแยกส่วน"/>
      <sheetName val="Sheet17"/>
      <sheetName val="งบลงทุนแก้ให้พี่จู (2)"/>
      <sheetName val="รายละเอียดงบลงทุนทั้งหมด"/>
      <sheetName val="งบลงทุนส่วนกลาง"/>
      <sheetName val="งบลงทุน( ศพช.)"/>
      <sheetName val="งบลงทุน(จังหวัด)"/>
      <sheetName val="รายละเอียดงบลงทุน1"/>
      <sheetName val="รายละเอียดงบลงทุน"/>
      <sheetName val="งบลงทุนจังหวัด"/>
      <sheetName val="งบกลาง 2559"/>
      <sheetName val="งบลงทุนภาพรวม"/>
      <sheetName val="ภาพรวมงบลงทุนแยกครุภัณฑ์"/>
      <sheetName val="Sheet23"/>
      <sheetName val="Sheet19"/>
      <sheetName val="คีย์รายละเอียดงบลงทุน"/>
      <sheetName val="Sheet25"/>
      <sheetName val="Sheet24"/>
      <sheetName val="ครุภัณฑ์-ยุทธศาสตร์"/>
      <sheetName val="งบรายจ่ายอื่น"/>
      <sheetName val="งบรายจ่ายอื่นรายหน่วย"/>
      <sheetName val="งบลงทุนเหลือจ่าย"/>
      <sheetName val="Sheet12"/>
      <sheetName val="เบิกแทน ตท.ชท"/>
      <sheetName val="งบลงทุน (2)"/>
      <sheetName val="งบลงทุนจังหวัด ปี58(2)"/>
      <sheetName val="ประมาณการกองคลัง"/>
      <sheetName val="คาดการไตรมาส 3-4"/>
      <sheetName val="ประมาณการ"/>
      <sheetName val="สัมมนา"/>
      <sheetName val="Sheet13"/>
      <sheetName val="สตรี1"/>
      <sheetName val="สตรี"/>
      <sheetName val="Sheet3"/>
      <sheetName val="Sheet5"/>
      <sheetName val="Sheet4"/>
      <sheetName val="Sheet6"/>
      <sheetName val="ทศนิยม.จ."/>
      <sheetName val="กลางทศนิยม"/>
      <sheetName val="ทศนิยมศูนย์"/>
      <sheetName val="Sheet7"/>
      <sheetName val="Sheet8"/>
      <sheetName val="Sheet11"/>
      <sheetName val="Sheet10"/>
      <sheetName val="Sheet9"/>
      <sheetName val="Sheet26"/>
      <sheetName val="Sheet27"/>
      <sheetName val="Sheet29"/>
      <sheetName val="Sheet30"/>
      <sheetName val="Sheet15"/>
    </sheetNames>
    <sheetDataSet>
      <sheetData sheetId="0" refreshError="1"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619">
          <cell r="D619">
            <v>166780</v>
          </cell>
        </row>
        <row r="648">
          <cell r="D648">
            <v>1659165</v>
          </cell>
        </row>
        <row r="681">
          <cell r="D681">
            <v>6514200</v>
          </cell>
        </row>
        <row r="717">
          <cell r="D717">
            <v>293700</v>
          </cell>
        </row>
        <row r="1067">
          <cell r="D1067">
            <v>464410</v>
          </cell>
        </row>
        <row r="1098">
          <cell r="D1098">
            <v>748300</v>
          </cell>
        </row>
        <row r="1139">
          <cell r="D1139">
            <v>0</v>
          </cell>
        </row>
        <row r="1206">
          <cell r="D1206">
            <v>0</v>
          </cell>
        </row>
        <row r="1397">
          <cell r="D1397">
            <v>4289500</v>
          </cell>
        </row>
        <row r="1481">
          <cell r="D1481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9">
          <cell r="O9">
            <v>2708528.63</v>
          </cell>
        </row>
        <row r="10">
          <cell r="O10">
            <v>1216241.3500000001</v>
          </cell>
        </row>
        <row r="11">
          <cell r="O11">
            <v>9117736.8499999996</v>
          </cell>
        </row>
        <row r="12">
          <cell r="O12">
            <v>6653041.1500000004</v>
          </cell>
        </row>
        <row r="14">
          <cell r="O14">
            <v>32255060.34</v>
          </cell>
        </row>
        <row r="15">
          <cell r="O15">
            <v>17678075</v>
          </cell>
        </row>
        <row r="16">
          <cell r="O16">
            <v>16798450.48</v>
          </cell>
        </row>
        <row r="17">
          <cell r="O17">
            <v>16847429.469999999</v>
          </cell>
        </row>
        <row r="19">
          <cell r="O19">
            <v>513609334.31999999</v>
          </cell>
        </row>
        <row r="20">
          <cell r="O20">
            <v>18214764.739999998</v>
          </cell>
        </row>
        <row r="21">
          <cell r="O21">
            <v>10133698.970000001</v>
          </cell>
        </row>
        <row r="22">
          <cell r="O22">
            <v>12654220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9">
          <cell r="E9">
            <v>0</v>
          </cell>
          <cell r="G9">
            <v>4242000</v>
          </cell>
          <cell r="P9">
            <v>4398000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งบลงทุน (2)"/>
      <sheetName val="งบลงทุน (5)"/>
      <sheetName val="NFMA46 (3)"/>
      <sheetName val="งบลงทุน (จังหวัด) (2)"/>
      <sheetName val="งบลงทุน (8)"/>
      <sheetName val="ผลใช้จ่าย (5)"/>
      <sheetName val="งบลงทุน (10)"/>
      <sheetName val="NFMA46 (2)"/>
      <sheetName val="งบลงทุน (4)"/>
      <sheetName val="รายงาน "/>
      <sheetName val="ผลใช้จ่าย (67)"/>
      <sheetName val="ผลใช้จ่าย (7)"/>
      <sheetName val="ผลใช้จ่าย (66)"/>
      <sheetName val="ผลใช้จ่าย (พรบ)"/>
      <sheetName val="ผลใช้จ่าย (เหลือจ่าย)"/>
      <sheetName val="งบลงทุน (12)"/>
      <sheetName val="งบลงทุน (11)"/>
      <sheetName val="งบลงทุน (3)"/>
      <sheetName val="NFMA46 (5)"/>
      <sheetName val="NFMA46 (4)"/>
      <sheetName val="NFMA46"/>
      <sheetName val="งบลงทุน (6)"/>
      <sheetName val="ผลใช้จ่าย (4)"/>
      <sheetName val="Sheet2"/>
      <sheetName val="Sheet4"/>
      <sheetName val="46"/>
      <sheetName val="ผลใช้จ่าย (2)"/>
      <sheetName val="งบลงทุน (9)"/>
      <sheetName val="สรุปงบลงทุน "/>
      <sheetName val="งบลงทุน"/>
      <sheetName val="Sheet3"/>
      <sheetName val="ลงทุน-ส่วนกลาง "/>
      <sheetName val="งบลงทุน (7)"/>
      <sheetName val="งบลงทุน (จังหวัด)"/>
      <sheetName val="Sheet1"/>
      <sheetName val="ลงทุน-ศพช. "/>
      <sheetName val="สรุป-จังหวั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4">
          <cell r="I54">
            <v>114200</v>
          </cell>
        </row>
        <row r="57">
          <cell r="I57">
            <v>89100</v>
          </cell>
        </row>
        <row r="60">
          <cell r="I60">
            <v>23500</v>
          </cell>
        </row>
        <row r="75">
          <cell r="I75">
            <v>2141000</v>
          </cell>
        </row>
        <row r="78">
          <cell r="I78">
            <v>1604000</v>
          </cell>
        </row>
        <row r="84">
          <cell r="I84">
            <v>404000</v>
          </cell>
        </row>
        <row r="90">
          <cell r="I90">
            <v>572000</v>
          </cell>
        </row>
        <row r="93">
          <cell r="I93">
            <v>175000</v>
          </cell>
        </row>
        <row r="99">
          <cell r="I99">
            <v>143000</v>
          </cell>
        </row>
        <row r="108">
          <cell r="I108">
            <v>271400</v>
          </cell>
        </row>
        <row r="114">
          <cell r="I114">
            <v>1955000</v>
          </cell>
        </row>
        <row r="117">
          <cell r="I117">
            <v>140000</v>
          </cell>
        </row>
        <row r="123">
          <cell r="I123">
            <v>299600</v>
          </cell>
        </row>
        <row r="126">
          <cell r="I126">
            <v>100000</v>
          </cell>
        </row>
        <row r="129">
          <cell r="I129">
            <v>126000</v>
          </cell>
        </row>
        <row r="132">
          <cell r="I132">
            <v>210500</v>
          </cell>
        </row>
        <row r="135">
          <cell r="I135">
            <v>230900</v>
          </cell>
        </row>
        <row r="138">
          <cell r="I138">
            <v>209000</v>
          </cell>
        </row>
        <row r="141">
          <cell r="I141">
            <v>497000</v>
          </cell>
        </row>
        <row r="144">
          <cell r="I144">
            <v>287000</v>
          </cell>
        </row>
        <row r="153">
          <cell r="I153">
            <v>415000</v>
          </cell>
        </row>
        <row r="156">
          <cell r="I156">
            <v>71000</v>
          </cell>
        </row>
        <row r="160">
          <cell r="I160">
            <v>61200</v>
          </cell>
        </row>
        <row r="162">
          <cell r="I162">
            <v>61200</v>
          </cell>
        </row>
        <row r="165">
          <cell r="I165">
            <v>89200</v>
          </cell>
        </row>
        <row r="168">
          <cell r="I168">
            <v>71000</v>
          </cell>
        </row>
        <row r="174">
          <cell r="I174">
            <v>486000</v>
          </cell>
        </row>
        <row r="177">
          <cell r="I177">
            <v>265000</v>
          </cell>
        </row>
        <row r="183">
          <cell r="I183">
            <v>4868000</v>
          </cell>
        </row>
        <row r="186">
          <cell r="I186">
            <v>426900</v>
          </cell>
        </row>
        <row r="189">
          <cell r="I189">
            <v>3150000</v>
          </cell>
        </row>
        <row r="199">
          <cell r="I199">
            <v>728000</v>
          </cell>
        </row>
        <row r="201">
          <cell r="I201">
            <v>493000</v>
          </cell>
        </row>
        <row r="204">
          <cell r="I204">
            <v>405000</v>
          </cell>
        </row>
        <row r="213">
          <cell r="I213">
            <v>417900</v>
          </cell>
        </row>
        <row r="216">
          <cell r="I216">
            <v>258000</v>
          </cell>
        </row>
        <row r="219">
          <cell r="I219">
            <v>162000</v>
          </cell>
        </row>
        <row r="222">
          <cell r="I222">
            <v>266000</v>
          </cell>
        </row>
        <row r="225">
          <cell r="I225">
            <v>290000</v>
          </cell>
        </row>
        <row r="228">
          <cell r="I228">
            <v>280000</v>
          </cell>
        </row>
        <row r="237">
          <cell r="I237">
            <v>128700</v>
          </cell>
        </row>
        <row r="240">
          <cell r="I240">
            <v>85000</v>
          </cell>
        </row>
        <row r="243">
          <cell r="I243">
            <v>280000</v>
          </cell>
        </row>
        <row r="246">
          <cell r="I246">
            <v>5750000</v>
          </cell>
        </row>
        <row r="249">
          <cell r="I249">
            <v>59000</v>
          </cell>
        </row>
        <row r="252">
          <cell r="I252">
            <v>54290</v>
          </cell>
        </row>
        <row r="255">
          <cell r="I255">
            <v>20410</v>
          </cell>
        </row>
        <row r="264">
          <cell r="I264">
            <v>17236000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งาน 47"/>
      <sheetName val="งบลงทุน-แยกผลผลิต"/>
      <sheetName val="รายงาน 47 (2)"/>
      <sheetName val="รายงาน 46"/>
      <sheetName val="Sheet12"/>
      <sheetName val="คีย์งบลงทุน (3)"/>
      <sheetName val="Sheet7"/>
      <sheetName val="คีย์งบลงทุน (2)"/>
      <sheetName val="คีย์งบลงทุน (4)"/>
      <sheetName val="Sheet11"/>
      <sheetName val="คีย์งบลงทุน (5)"/>
      <sheetName val="คีย์งบลงทุน (6)"/>
      <sheetName val="คีย์งบลงทุน"/>
      <sheetName val="สรุป-ส่วนกลาง"/>
      <sheetName val="ลงทุน-ศพช."/>
      <sheetName val="สรุป-จังหวัด"/>
      <sheetName val="งบลงทุน (จังหวัด)"/>
      <sheetName val="คีย์งบลงทุน (จังหวัด)"/>
      <sheetName val="เรียงจังหวัด"/>
      <sheetName val="Sheet5"/>
      <sheetName val="Sheet1"/>
      <sheetName val="Sheet3"/>
      <sheetName val="Sheet2"/>
      <sheetName val="Sheet4"/>
      <sheetName val="Sheet6"/>
      <sheetName val="Sheet8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Z7">
            <v>1853600</v>
          </cell>
          <cell r="AA7">
            <v>0</v>
          </cell>
          <cell r="AB7">
            <v>0</v>
          </cell>
        </row>
        <row r="17">
          <cell r="Z17">
            <v>330000</v>
          </cell>
          <cell r="AA17">
            <v>45200</v>
          </cell>
          <cell r="AB17">
            <v>36000</v>
          </cell>
        </row>
        <row r="23">
          <cell r="AA23">
            <v>424679</v>
          </cell>
          <cell r="AB23">
            <v>0</v>
          </cell>
        </row>
        <row r="31">
          <cell r="Z31">
            <v>12399200</v>
          </cell>
          <cell r="AA31">
            <v>2720809.4000000004</v>
          </cell>
          <cell r="AB31">
            <v>4511829.6400000006</v>
          </cell>
        </row>
        <row r="64">
          <cell r="Z64">
            <v>5474400</v>
          </cell>
          <cell r="AA64">
            <v>2798998.06</v>
          </cell>
          <cell r="AB64">
            <v>612177.59</v>
          </cell>
        </row>
        <row r="76">
          <cell r="Z76">
            <v>6582000</v>
          </cell>
          <cell r="AA76">
            <v>514900</v>
          </cell>
          <cell r="AB76">
            <v>4348392.32</v>
          </cell>
        </row>
        <row r="94">
          <cell r="Z94">
            <v>3183200</v>
          </cell>
          <cell r="AA94">
            <v>1829150.23</v>
          </cell>
          <cell r="AB94">
            <v>555070</v>
          </cell>
        </row>
        <row r="104">
          <cell r="AA104">
            <v>5808646.7299999995</v>
          </cell>
          <cell r="AB104">
            <v>1116570</v>
          </cell>
        </row>
        <row r="120">
          <cell r="Z120">
            <v>9814400</v>
          </cell>
          <cell r="AA120">
            <v>5555130.5600000005</v>
          </cell>
          <cell r="AB120">
            <v>1435955.76</v>
          </cell>
        </row>
        <row r="143">
          <cell r="Z143">
            <v>3092000</v>
          </cell>
          <cell r="AA143">
            <v>1983972.57</v>
          </cell>
          <cell r="AB143">
            <v>37389.39</v>
          </cell>
        </row>
        <row r="156">
          <cell r="Z156">
            <v>3623639</v>
          </cell>
          <cell r="AA156">
            <v>2449684.2600000002</v>
          </cell>
          <cell r="AB156">
            <v>6900</v>
          </cell>
        </row>
        <row r="172">
          <cell r="Z172">
            <v>4628600</v>
          </cell>
          <cell r="AA172">
            <v>616420.74000000011</v>
          </cell>
          <cell r="AB172">
            <v>485000</v>
          </cell>
        </row>
        <row r="190">
          <cell r="Z190">
            <v>2976544</v>
          </cell>
          <cell r="AA190">
            <v>560408.26</v>
          </cell>
          <cell r="AB190">
            <v>1785011.02</v>
          </cell>
        </row>
        <row r="199">
          <cell r="Z199">
            <v>5772834</v>
          </cell>
          <cell r="AA199">
            <v>2305982.5300000003</v>
          </cell>
          <cell r="AB199">
            <v>1365362.44</v>
          </cell>
        </row>
        <row r="220">
          <cell r="Z220">
            <v>7872000</v>
          </cell>
          <cell r="AA220">
            <v>2125988.66</v>
          </cell>
          <cell r="AB220">
            <v>2856454</v>
          </cell>
        </row>
        <row r="233">
          <cell r="Z233">
            <v>10154600</v>
          </cell>
          <cell r="AA233">
            <v>3570282.3499999996</v>
          </cell>
          <cell r="AB233">
            <v>2470400</v>
          </cell>
        </row>
        <row r="244">
          <cell r="Z244">
            <v>1230600</v>
          </cell>
          <cell r="AA244">
            <v>1204958.3900000001</v>
          </cell>
          <cell r="AB244">
            <v>0</v>
          </cell>
        </row>
        <row r="246">
          <cell r="Z246">
            <v>8098000</v>
          </cell>
          <cell r="AA246">
            <v>4432028.99</v>
          </cell>
          <cell r="AB246">
            <v>2753600</v>
          </cell>
        </row>
        <row r="256">
          <cell r="Z256">
            <v>36007200</v>
          </cell>
          <cell r="AA256">
            <v>19243015.079999998</v>
          </cell>
          <cell r="AB256">
            <v>12716509.42</v>
          </cell>
        </row>
        <row r="299">
          <cell r="Z299">
            <v>38698840</v>
          </cell>
          <cell r="AA299">
            <v>33809226.099999994</v>
          </cell>
          <cell r="AB299">
            <v>4102397.4</v>
          </cell>
        </row>
        <row r="336">
          <cell r="Z336">
            <v>38121736</v>
          </cell>
          <cell r="AA336">
            <v>15732839.049999999</v>
          </cell>
          <cell r="AB336">
            <v>15852081.539999999</v>
          </cell>
        </row>
        <row r="392">
          <cell r="Z392">
            <v>48825420</v>
          </cell>
          <cell r="AA392">
            <v>23770653.419999998</v>
          </cell>
          <cell r="AB392">
            <v>18002345.460000001</v>
          </cell>
        </row>
        <row r="445">
          <cell r="Z445">
            <v>12283900</v>
          </cell>
          <cell r="AA445">
            <v>7026228.2599999998</v>
          </cell>
          <cell r="AB445">
            <v>3306592</v>
          </cell>
        </row>
        <row r="467">
          <cell r="Z467">
            <v>7209990</v>
          </cell>
          <cell r="AA467">
            <v>5539423.3900000006</v>
          </cell>
          <cell r="AB467">
            <v>0</v>
          </cell>
        </row>
        <row r="486">
          <cell r="Z486">
            <v>6384650</v>
          </cell>
          <cell r="AA486">
            <v>3334155.89</v>
          </cell>
          <cell r="AB486">
            <v>1901414.25</v>
          </cell>
        </row>
        <row r="502">
          <cell r="Z502">
            <v>3330800</v>
          </cell>
          <cell r="AA502">
            <v>2333099.2599999998</v>
          </cell>
          <cell r="AB502">
            <v>625390</v>
          </cell>
        </row>
        <row r="514">
          <cell r="Z514">
            <v>1277200</v>
          </cell>
          <cell r="AA514">
            <v>1018114.3099999999</v>
          </cell>
          <cell r="AB514">
            <v>104000</v>
          </cell>
        </row>
        <row r="517">
          <cell r="Z517">
            <v>25335115.350000001</v>
          </cell>
          <cell r="AA517">
            <v>10533828.440000001</v>
          </cell>
          <cell r="AB517">
            <v>2167143.8200000003</v>
          </cell>
        </row>
        <row r="570">
          <cell r="Z570">
            <v>5676400</v>
          </cell>
          <cell r="AA570">
            <v>3582382.2399999998</v>
          </cell>
          <cell r="AB570">
            <v>194400</v>
          </cell>
        </row>
        <row r="594">
          <cell r="Z594">
            <v>2135200</v>
          </cell>
          <cell r="AA594">
            <v>1614069.25</v>
          </cell>
          <cell r="AB594">
            <v>0</v>
          </cell>
        </row>
        <row r="601">
          <cell r="Z601">
            <v>2905540</v>
          </cell>
          <cell r="AA601">
            <v>2105413.2400000002</v>
          </cell>
          <cell r="AB601">
            <v>232180.57</v>
          </cell>
        </row>
        <row r="620">
          <cell r="Z620">
            <v>20818800</v>
          </cell>
          <cell r="AA620">
            <v>14629030.25</v>
          </cell>
          <cell r="AB620">
            <v>1194700</v>
          </cell>
        </row>
        <row r="642">
          <cell r="Z642">
            <v>40752000</v>
          </cell>
          <cell r="AA642">
            <v>30505307.120000001</v>
          </cell>
          <cell r="AB642">
            <v>1380805.6400000001</v>
          </cell>
        </row>
        <row r="683">
          <cell r="Z683">
            <v>6297600</v>
          </cell>
          <cell r="AA683">
            <v>5852352.4000000004</v>
          </cell>
          <cell r="AB683">
            <v>0</v>
          </cell>
        </row>
        <row r="697">
          <cell r="Z697">
            <v>9914932</v>
          </cell>
          <cell r="AA697">
            <v>9096690.7599999998</v>
          </cell>
          <cell r="AB697">
            <v>0</v>
          </cell>
        </row>
        <row r="713">
          <cell r="Z713">
            <v>7571733</v>
          </cell>
          <cell r="AA713">
            <v>5711955.0899999999</v>
          </cell>
          <cell r="AB713">
            <v>832410</v>
          </cell>
        </row>
        <row r="738">
          <cell r="Z738">
            <v>6698900</v>
          </cell>
          <cell r="AA738">
            <v>6147454.5500000007</v>
          </cell>
          <cell r="AB738">
            <v>0</v>
          </cell>
        </row>
        <row r="756">
          <cell r="Z756">
            <v>13048800</v>
          </cell>
          <cell r="AA756">
            <v>6033837.6999999993</v>
          </cell>
          <cell r="AB756">
            <v>1930870.67</v>
          </cell>
        </row>
        <row r="781">
          <cell r="Z781">
            <v>7328200</v>
          </cell>
          <cell r="AA781">
            <v>2724143.1900000004</v>
          </cell>
          <cell r="AB781">
            <v>123300</v>
          </cell>
        </row>
        <row r="796">
          <cell r="Z796">
            <v>6243200</v>
          </cell>
          <cell r="AA796">
            <v>2337524.2000000002</v>
          </cell>
          <cell r="AB796">
            <v>1436657.8399999999</v>
          </cell>
        </row>
        <row r="819">
          <cell r="Z819">
            <v>4445832</v>
          </cell>
          <cell r="AA819">
            <v>2661399.1199999996</v>
          </cell>
          <cell r="AB819">
            <v>671200</v>
          </cell>
        </row>
        <row r="835">
          <cell r="Z835">
            <v>7143800</v>
          </cell>
          <cell r="AA835">
            <v>3538808.01</v>
          </cell>
          <cell r="AB835">
            <v>1128077.19</v>
          </cell>
        </row>
        <row r="860">
          <cell r="Z860">
            <v>4439600</v>
          </cell>
          <cell r="AA860">
            <v>1487864.4900000002</v>
          </cell>
          <cell r="AB860">
            <v>1074024.93</v>
          </cell>
        </row>
        <row r="878">
          <cell r="Z878">
            <v>7426754</v>
          </cell>
          <cell r="AA878">
            <v>3950404.31</v>
          </cell>
          <cell r="AB878">
            <v>1372291.87</v>
          </cell>
        </row>
        <row r="895">
          <cell r="Z895">
            <v>6508200</v>
          </cell>
          <cell r="AA895">
            <v>4909515.58</v>
          </cell>
          <cell r="AB895">
            <v>0</v>
          </cell>
        </row>
        <row r="936">
          <cell r="Z936">
            <v>5662200</v>
          </cell>
          <cell r="AA936">
            <v>2794347.66</v>
          </cell>
          <cell r="AB936">
            <v>227320</v>
          </cell>
        </row>
        <row r="950">
          <cell r="Z950">
            <v>19459200</v>
          </cell>
          <cell r="AA950">
            <v>4651329.3000000007</v>
          </cell>
          <cell r="AB950">
            <v>6333567.3700000001</v>
          </cell>
        </row>
        <row r="971">
          <cell r="Z971">
            <v>17368000</v>
          </cell>
          <cell r="AA971">
            <v>13198003.73</v>
          </cell>
          <cell r="AB971">
            <v>2875352</v>
          </cell>
        </row>
        <row r="995">
          <cell r="Z995">
            <v>2079600</v>
          </cell>
          <cell r="AA995">
            <v>1623047.5</v>
          </cell>
          <cell r="AB995">
            <v>0</v>
          </cell>
        </row>
        <row r="998">
          <cell r="Z998">
            <v>3558459</v>
          </cell>
          <cell r="AA998">
            <v>2310670.02</v>
          </cell>
          <cell r="AB998">
            <v>235690</v>
          </cell>
        </row>
        <row r="1009">
          <cell r="Z1009">
            <v>1524600</v>
          </cell>
          <cell r="AA1009">
            <v>1044044.51</v>
          </cell>
          <cell r="AB1009">
            <v>0</v>
          </cell>
        </row>
        <row r="1013">
          <cell r="Z1013">
            <v>2328400</v>
          </cell>
          <cell r="AA1013">
            <v>1275828.01</v>
          </cell>
          <cell r="AB1013">
            <v>72800</v>
          </cell>
        </row>
        <row r="1020">
          <cell r="Z1020">
            <v>6496200</v>
          </cell>
          <cell r="AA1020">
            <v>5047106.4399999995</v>
          </cell>
          <cell r="AB1020">
            <v>0</v>
          </cell>
        </row>
        <row r="1039">
          <cell r="Z1039">
            <v>26333200</v>
          </cell>
          <cell r="AA1039">
            <v>17774492.400000002</v>
          </cell>
          <cell r="AB1039">
            <v>4344220.95</v>
          </cell>
        </row>
        <row r="1061">
          <cell r="Z1061">
            <v>5650400</v>
          </cell>
          <cell r="AA1061">
            <v>1053258.8</v>
          </cell>
          <cell r="AB1061">
            <v>510200</v>
          </cell>
        </row>
        <row r="1087">
          <cell r="Z1087">
            <v>19990900</v>
          </cell>
          <cell r="AA1087">
            <v>9063976.3699999992</v>
          </cell>
          <cell r="AB1087">
            <v>3218013.96</v>
          </cell>
        </row>
        <row r="1114">
          <cell r="Z1114">
            <v>7938000</v>
          </cell>
          <cell r="AA1114">
            <v>2913300</v>
          </cell>
          <cell r="AB1114">
            <v>3370500</v>
          </cell>
        </row>
        <row r="1123">
          <cell r="Z1123">
            <v>3734400</v>
          </cell>
          <cell r="AA1123">
            <v>395235.62</v>
          </cell>
          <cell r="AB1123">
            <v>264486.59999999998</v>
          </cell>
        </row>
        <row r="1136">
          <cell r="Z1136">
            <v>343600</v>
          </cell>
          <cell r="AA1136">
            <v>0</v>
          </cell>
          <cell r="AB1136">
            <v>145964.42000000001</v>
          </cell>
        </row>
        <row r="1139">
          <cell r="Z1139">
            <v>1387599.66</v>
          </cell>
          <cell r="AA1139">
            <v>365999.66</v>
          </cell>
          <cell r="AB1139">
            <v>104000</v>
          </cell>
        </row>
        <row r="1144">
          <cell r="Z1144">
            <v>4434800</v>
          </cell>
          <cell r="AA1144">
            <v>1310657.24</v>
          </cell>
          <cell r="AB1144">
            <v>1105533.5</v>
          </cell>
        </row>
        <row r="1159">
          <cell r="Z1159">
            <v>9467500</v>
          </cell>
          <cell r="AA1159">
            <v>1934747.09</v>
          </cell>
          <cell r="AB1159">
            <v>4443393.5</v>
          </cell>
        </row>
        <row r="1176">
          <cell r="Z1176">
            <v>9170500</v>
          </cell>
          <cell r="AA1176">
            <v>5478819.330000001</v>
          </cell>
          <cell r="AB1176">
            <v>953628.91</v>
          </cell>
        </row>
        <row r="1216">
          <cell r="Z1216">
            <v>6308260</v>
          </cell>
          <cell r="AA1216">
            <v>3196111.9400000004</v>
          </cell>
          <cell r="AB1216">
            <v>1250970.9700000002</v>
          </cell>
        </row>
        <row r="1235">
          <cell r="Z1235">
            <v>2734800</v>
          </cell>
          <cell r="AA1235">
            <v>717709.89</v>
          </cell>
          <cell r="AB1235">
            <v>1404200</v>
          </cell>
        </row>
        <row r="1245">
          <cell r="Z1245">
            <v>497200</v>
          </cell>
          <cell r="AA1245">
            <v>309630.73</v>
          </cell>
          <cell r="AB1245">
            <v>41185</v>
          </cell>
        </row>
        <row r="1248">
          <cell r="Z1248">
            <v>11152950</v>
          </cell>
          <cell r="AA1248">
            <v>5618678</v>
          </cell>
          <cell r="AB1248">
            <v>3125624.27</v>
          </cell>
        </row>
        <row r="1281">
          <cell r="Z1281">
            <v>3371500</v>
          </cell>
          <cell r="AA1281">
            <v>914600.3</v>
          </cell>
          <cell r="AB1281">
            <v>501061</v>
          </cell>
        </row>
        <row r="1291">
          <cell r="Z1291">
            <v>2503359</v>
          </cell>
          <cell r="AA1291">
            <v>1059542.1599999999</v>
          </cell>
          <cell r="AB1291">
            <v>208000</v>
          </cell>
        </row>
        <row r="1298">
          <cell r="Z1298">
            <v>12615990</v>
          </cell>
          <cell r="AA1298">
            <v>5803285.8700000001</v>
          </cell>
          <cell r="AB1298">
            <v>2776701.77</v>
          </cell>
        </row>
        <row r="1329">
          <cell r="Z1329">
            <v>5750700</v>
          </cell>
          <cell r="AA1329">
            <v>2414639.86</v>
          </cell>
          <cell r="AB1329">
            <v>1409672.32</v>
          </cell>
        </row>
        <row r="1344">
          <cell r="Z1344">
            <v>11764400</v>
          </cell>
          <cell r="AA1344">
            <v>9204845.8399999999</v>
          </cell>
          <cell r="AB1344">
            <v>786853</v>
          </cell>
        </row>
        <row r="1382">
          <cell r="Z1382">
            <v>9862346</v>
          </cell>
          <cell r="AA1382">
            <v>5443989.5499999998</v>
          </cell>
          <cell r="AB1382">
            <v>1128154</v>
          </cell>
        </row>
        <row r="1409">
          <cell r="Z1409">
            <v>7121388</v>
          </cell>
          <cell r="AA1409">
            <v>6598487.4699999997</v>
          </cell>
          <cell r="AB1409">
            <v>0</v>
          </cell>
        </row>
        <row r="1428">
          <cell r="Z1428">
            <v>8876900</v>
          </cell>
          <cell r="AA1428">
            <v>6370211.5</v>
          </cell>
          <cell r="AB1428">
            <v>1226045.5</v>
          </cell>
        </row>
        <row r="1476">
          <cell r="Z1476">
            <v>8922371</v>
          </cell>
          <cell r="AA1476">
            <v>6405302.8900000006</v>
          </cell>
          <cell r="AB1476">
            <v>63190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ืนเงินส่วนกลาง"/>
      <sheetName val="Sheet1"/>
      <sheetName val="Sheet14"/>
      <sheetName val="Sheet2"/>
      <sheetName val="zfma 47 คีย์ Link เบิกจ่าย"/>
      <sheetName val="BPMส่วนกลาง"/>
      <sheetName val="ส่วนกลาง (2)"/>
      <sheetName val="Sheet16"/>
      <sheetName val="ส่วนกลาง"/>
      <sheetName val="ส่วนกลาง+สพช11แห่ง"/>
      <sheetName val="Sheet20"/>
      <sheetName val="Sheet18"/>
      <sheetName val="จังหวัดหัก(D) (2)"/>
      <sheetName val="จังหวัดหัก(D)"/>
      <sheetName val=" ศูนย์"/>
      <sheetName val="รายจังหวัด"/>
      <sheetName val="จ.เรียงเขตตรวจ"/>
      <sheetName val="เรียงผู้ตรวจ"/>
      <sheetName val="ผลเบิกจ่ายเขตตรวจ"/>
      <sheetName val="เรียงเบิกจ่ายเขตตรวจ"/>
      <sheetName val="ปริ้นเรียงผู้ตรวจ"/>
      <sheetName val="ส่วนกลาง+สพช11แห่ง (2)"/>
      <sheetName val="คิดเบิกจ่ายแยกส่วน"/>
      <sheetName val="Sheet17"/>
      <sheetName val="งบลงทุนส่วนกลาง"/>
      <sheetName val="งบลงทุน( ศพช.)"/>
      <sheetName val="รายละเอียดงบลงทุน1"/>
      <sheetName val="รายละเอียดงบลงทุน"/>
      <sheetName val="งบลงทุนจังหวัด"/>
      <sheetName val="งบกลาง 2559"/>
      <sheetName val="งบลงทุน(จังหวัด)"/>
      <sheetName val="งบลงทุนภาพรวม"/>
      <sheetName val="ภาพรวมงบลงทุนแยกครุภัณฑ์"/>
      <sheetName val="Sheet19"/>
      <sheetName val="คีย์รายละเอียดงบลงทุน"/>
      <sheetName val="รายละเอียดงบลงทุนทั้งหมด"/>
      <sheetName val="ครุภัณฑ์-ยุทธศาสตร์"/>
      <sheetName val="งบรายจ่ายอื่น"/>
      <sheetName val="งบรายจ่ายอื่นรายหน่วย"/>
      <sheetName val="งบลงทุนเหลือจ่าย"/>
      <sheetName val="Sheet12"/>
      <sheetName val="เบิกแทน ตท.ชท"/>
      <sheetName val="งบลงทุน (2)"/>
      <sheetName val="งบลงทุนจังหวัด ปี58(2)"/>
      <sheetName val="ประมาณการกองคลัง"/>
      <sheetName val="คาดการไตรมาส 3-4"/>
      <sheetName val="ประมาณการ"/>
      <sheetName val="สัมมนา"/>
      <sheetName val="Sheet13"/>
      <sheetName val="สตรี1"/>
      <sheetName val="สตรี"/>
      <sheetName val="Sheet3"/>
      <sheetName val="Sheet5"/>
      <sheetName val="Sheet4"/>
      <sheetName val="Sheet6"/>
      <sheetName val="ทศนิยม.จ."/>
      <sheetName val="กลางทศนิยม"/>
      <sheetName val="ทศนิยมศูนย์"/>
      <sheetName val="Sheet7"/>
      <sheetName val="Sheet8"/>
      <sheetName val="Sheet11"/>
      <sheetName val="Sheet10"/>
      <sheetName val="Sheet9"/>
      <sheetName val="Sheet15"/>
      <sheetName val="Sheet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S8">
            <v>32.322158310764493</v>
          </cell>
          <cell r="U8" t="e">
            <v>#REF!</v>
          </cell>
        </row>
      </sheetData>
      <sheetData sheetId="33"/>
      <sheetData sheetId="34">
        <row r="9">
          <cell r="F9">
            <v>612062.36</v>
          </cell>
        </row>
      </sheetData>
      <sheetData sheetId="35">
        <row r="9">
          <cell r="H9">
            <v>81298890.489999995</v>
          </cell>
          <cell r="I9">
            <v>31.148021590892544</v>
          </cell>
          <cell r="K9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อนเปลี่ยนแปลง (2)"/>
      <sheetName val="โอนเปลี่ยนแปลง"/>
      <sheetName val="รายงานผล"/>
      <sheetName val="รายงานเสนอ (2)"/>
      <sheetName val="zfma46"/>
      <sheetName val="Sheet1"/>
      <sheetName val="รายงานเสนอ"/>
      <sheetName val="หน้างบเพิ่มเติม"/>
      <sheetName val="ราละเอียดโครงการงบเพิ่มเติม"/>
      <sheetName val="ให้ ผอ.ทุกศุกร์"/>
      <sheetName val="รายละเอียด-งบเพิ่มเติม"/>
      <sheetName val="ทศนิยมงบเพิ่มเติม"/>
      <sheetName val="Power"/>
      <sheetName val="แผนเป้า"/>
      <sheetName val="Sheet3"/>
      <sheetName val="รายละเอียดจัดสรร"/>
      <sheetName val="Sheet5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91782000</v>
          </cell>
          <cell r="D9">
            <v>0</v>
          </cell>
        </row>
        <row r="10">
          <cell r="D10">
            <v>0</v>
          </cell>
        </row>
        <row r="24">
          <cell r="C24">
            <v>10000000</v>
          </cell>
        </row>
        <row r="25">
          <cell r="C25">
            <v>16552200</v>
          </cell>
        </row>
        <row r="26">
          <cell r="C26">
            <v>52500000</v>
          </cell>
        </row>
        <row r="27">
          <cell r="C27">
            <v>5000000</v>
          </cell>
        </row>
        <row r="28">
          <cell r="C28">
            <v>4302400</v>
          </cell>
        </row>
        <row r="29">
          <cell r="C29">
            <v>20000000</v>
          </cell>
        </row>
        <row r="32">
          <cell r="C32">
            <v>5888000</v>
          </cell>
        </row>
      </sheetData>
      <sheetData sheetId="9"/>
      <sheetData sheetId="10">
        <row r="18">
          <cell r="C18">
            <v>18390000</v>
          </cell>
        </row>
        <row r="20">
          <cell r="C20">
            <v>27585000</v>
          </cell>
        </row>
        <row r="21">
          <cell r="C21">
            <v>21455000</v>
          </cell>
        </row>
        <row r="23">
          <cell r="C23">
            <v>18335000</v>
          </cell>
          <cell r="F23">
            <v>0</v>
          </cell>
        </row>
        <row r="24">
          <cell r="C24">
            <v>1290000</v>
          </cell>
        </row>
        <row r="28">
          <cell r="C28">
            <v>21052000</v>
          </cell>
        </row>
        <row r="30">
          <cell r="C30">
            <v>6144000</v>
          </cell>
        </row>
        <row r="31">
          <cell r="C31">
            <v>9408000</v>
          </cell>
        </row>
        <row r="35">
          <cell r="C35">
            <v>33720000</v>
          </cell>
        </row>
        <row r="37">
          <cell r="C37">
            <v>1720000</v>
          </cell>
        </row>
        <row r="38">
          <cell r="C38">
            <v>1720000</v>
          </cell>
        </row>
        <row r="43">
          <cell r="C43">
            <v>5502000</v>
          </cell>
        </row>
        <row r="45">
          <cell r="C45">
            <v>6052200</v>
          </cell>
        </row>
        <row r="46">
          <cell r="C46">
            <v>3851400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 (รายจ่ายลงทุน 22)"/>
      <sheetName val="รายงาน  (รายจ่ายลงทุน) (2)"/>
      <sheetName val="รายงาน  (รายจ่ายลงทุน) (3)"/>
      <sheetName val="รายงาน  (รายจ่ายลงทุน)"/>
      <sheetName val="NFMA46"/>
      <sheetName val="NFMA46 สาธา"/>
      <sheetName val="Sheet12"/>
      <sheetName val="Sheet9"/>
      <sheetName val="คีย์ข้อมูล"/>
      <sheetName val="โอนเปลี่ยนแปลง "/>
      <sheetName val="โอนเปลี่ยนแปลง"/>
      <sheetName val="รายงาน (2)"/>
      <sheetName val="รายงาน"/>
      <sheetName val="รายงาน "/>
      <sheetName val="Sheet10"/>
      <sheetName val="Sheet11"/>
      <sheetName val="Sheet8"/>
      <sheetName val="รายงานเสนอ (2)"/>
      <sheetName val="zfma46"/>
      <sheetName val="Sheet1"/>
      <sheetName val="งบเพิ่มเติม61 OTOP นวัตวิถี"/>
      <sheetName val="Sheet6"/>
      <sheetName val="สรุปเงินกันงบเพิ่มเติม60"/>
      <sheetName val="ราละเอียดโครงการงบเพิ่มเติม"/>
      <sheetName val="ให้ ผอ.ทุกศุกร์"/>
      <sheetName val="รายละเอียด-งบเพิ่มเติม"/>
      <sheetName val="ทศนิยมงบเพิ่มเติม"/>
      <sheetName val="Sheet7"/>
      <sheetName val="GF งบเพิ่มเติม"/>
      <sheetName val="แผนเป้า"/>
      <sheetName val="Sheet3"/>
      <sheetName val="Sheet5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 xml:space="preserve">ข้อมูลสะสมตั้งแต่วันที่ 1 ตุลาคม 2566 - ถึงวันที่ 15 กันยายน 2567 </v>
          </cell>
        </row>
        <row r="9">
          <cell r="G9">
            <v>0</v>
          </cell>
          <cell r="H9">
            <v>2850722786.2800002</v>
          </cell>
        </row>
        <row r="10">
          <cell r="G10">
            <v>0</v>
          </cell>
          <cell r="H10">
            <v>252572280.02000001</v>
          </cell>
        </row>
        <row r="13">
          <cell r="G13">
            <v>0</v>
          </cell>
        </row>
        <row r="20">
          <cell r="G20">
            <v>2396200</v>
          </cell>
          <cell r="H20">
            <v>325161706.02999997</v>
          </cell>
        </row>
        <row r="24">
          <cell r="G24">
            <v>0</v>
          </cell>
          <cell r="H24">
            <v>0</v>
          </cell>
          <cell r="I24">
            <v>0</v>
          </cell>
        </row>
        <row r="31">
          <cell r="G31">
            <v>4085414.02</v>
          </cell>
          <cell r="H31">
            <v>207089152.65000001</v>
          </cell>
        </row>
        <row r="32">
          <cell r="G32">
            <v>236663.85</v>
          </cell>
          <cell r="H32">
            <v>40114987.009999998</v>
          </cell>
        </row>
        <row r="33">
          <cell r="G33">
            <v>1680756</v>
          </cell>
          <cell r="H33">
            <v>72797263.879999995</v>
          </cell>
        </row>
        <row r="34">
          <cell r="C34">
            <v>0</v>
          </cell>
        </row>
        <row r="35">
          <cell r="G35">
            <v>152700482</v>
          </cell>
          <cell r="H35">
            <v>15767499</v>
          </cell>
        </row>
        <row r="38">
          <cell r="G38">
            <v>0</v>
          </cell>
          <cell r="H38">
            <v>79000</v>
          </cell>
        </row>
        <row r="41">
          <cell r="G41">
            <v>12678806.029999999</v>
          </cell>
          <cell r="H41">
            <v>395767040.43000001</v>
          </cell>
        </row>
        <row r="44">
          <cell r="G44">
            <v>19441528.150000002</v>
          </cell>
          <cell r="H44">
            <v>34693355.650000006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การตลาดและการจำหน่าวยผลิตภัณฑ์ชุมชน (15004400006002000000)</v>
          </cell>
          <cell r="G49">
            <v>247811550.5</v>
          </cell>
          <cell r="H49">
            <v>403687495.87</v>
          </cell>
        </row>
        <row r="52">
          <cell r="G52">
            <v>247811550.5</v>
          </cell>
          <cell r="H52">
            <v>403687495.87</v>
          </cell>
        </row>
        <row r="58">
          <cell r="B58" t="str">
            <v>แผนงานบูรณาการป้องกัน ปราบปราม และบำบัดรักษาผู้ติดยาเสพติด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โครงการป้องกันและแก้ไขปัญหายาเสพติดโดยกองทุนแม่ของแผ่นดิน(15004060009002000000)</v>
          </cell>
        </row>
        <row r="61">
          <cell r="G61">
            <v>149700</v>
          </cell>
          <cell r="H61">
            <v>18088687</v>
          </cell>
        </row>
        <row r="64">
          <cell r="G64">
            <v>0</v>
          </cell>
          <cell r="H64">
            <v>0</v>
          </cell>
        </row>
        <row r="71">
          <cell r="G71">
            <v>0</v>
          </cell>
          <cell r="H71">
            <v>29790466.699999999</v>
          </cell>
          <cell r="I71">
            <v>0</v>
          </cell>
        </row>
        <row r="74">
          <cell r="G74">
            <v>0</v>
          </cell>
          <cell r="H74">
            <v>0</v>
          </cell>
        </row>
        <row r="81">
          <cell r="G81">
            <v>327300</v>
          </cell>
          <cell r="H81">
            <v>19488221.23</v>
          </cell>
        </row>
        <row r="84">
          <cell r="G84">
            <v>0</v>
          </cell>
          <cell r="H84">
            <v>0</v>
          </cell>
        </row>
      </sheetData>
      <sheetData sheetId="9">
        <row r="6">
          <cell r="C6">
            <v>2942439200</v>
          </cell>
          <cell r="D6">
            <v>124712800</v>
          </cell>
          <cell r="F6">
            <v>3067152000</v>
          </cell>
        </row>
        <row r="7">
          <cell r="B7" t="str">
            <v>รายการค่าใช้จ่ายบุคลากรภาครัฐ (15004678636300000)</v>
          </cell>
          <cell r="C7">
            <v>2942439200</v>
          </cell>
          <cell r="D7">
            <v>124712800</v>
          </cell>
          <cell r="F7">
            <v>3067152000</v>
          </cell>
        </row>
        <row r="8">
          <cell r="C8">
            <v>2678098300</v>
          </cell>
          <cell r="D8">
            <v>114177200</v>
          </cell>
          <cell r="F8">
            <v>2792275500</v>
          </cell>
        </row>
        <row r="9">
          <cell r="C9">
            <v>264340900</v>
          </cell>
          <cell r="D9">
            <v>10535600</v>
          </cell>
          <cell r="F9">
            <v>274876500</v>
          </cell>
        </row>
        <row r="12">
          <cell r="C12">
            <v>0</v>
          </cell>
          <cell r="D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1654898500</v>
          </cell>
          <cell r="D16">
            <v>0</v>
          </cell>
          <cell r="E16">
            <v>0</v>
          </cell>
          <cell r="F16">
            <v>1654898500</v>
          </cell>
        </row>
        <row r="17">
          <cell r="B17" t="str">
            <v>ผลผลิต การจัดการฐานข้อมูลเพื่อการพัฒนาชุมชน (15004360004002000000)</v>
          </cell>
          <cell r="C17">
            <v>444978100</v>
          </cell>
          <cell r="D17">
            <v>0</v>
          </cell>
          <cell r="E17">
            <v>0</v>
          </cell>
          <cell r="F17">
            <v>444978100</v>
          </cell>
        </row>
        <row r="19">
          <cell r="C19">
            <v>444978100</v>
          </cell>
          <cell r="D19">
            <v>0</v>
          </cell>
          <cell r="E19">
            <v>0</v>
          </cell>
          <cell r="F19">
            <v>444978100</v>
          </cell>
        </row>
        <row r="23">
          <cell r="D23">
            <v>0</v>
          </cell>
          <cell r="F23">
            <v>0</v>
          </cell>
        </row>
        <row r="26">
          <cell r="C26">
            <v>0</v>
          </cell>
          <cell r="D26">
            <v>0</v>
          </cell>
          <cell r="F26">
            <v>0</v>
          </cell>
        </row>
        <row r="27">
          <cell r="B27" t="str">
            <v>ผลผลิตเสริมสร้างขีดความสามารถในการบริหารจัดการชุมชน(15004360001002000000)</v>
          </cell>
          <cell r="C27">
            <v>601648300</v>
          </cell>
          <cell r="F27">
            <v>601648300</v>
          </cell>
        </row>
        <row r="29">
          <cell r="D29">
            <v>-132500</v>
          </cell>
        </row>
        <row r="30">
          <cell r="C30">
            <v>347372300</v>
          </cell>
        </row>
        <row r="34">
          <cell r="C34">
            <v>254276000</v>
          </cell>
          <cell r="D34">
            <v>53500</v>
          </cell>
        </row>
        <row r="37">
          <cell r="D37">
            <v>79000</v>
          </cell>
        </row>
        <row r="38">
          <cell r="B38" t="str">
            <v>ผลผลิตสร้างความมั่นคงทางอาชีพและรายได้ (15004360005002000000)</v>
          </cell>
          <cell r="C38">
            <v>608272100</v>
          </cell>
          <cell r="D38">
            <v>0</v>
          </cell>
          <cell r="F38">
            <v>608272100</v>
          </cell>
        </row>
        <row r="40">
          <cell r="C40">
            <v>431151000</v>
          </cell>
          <cell r="D40">
            <v>-3768556.09</v>
          </cell>
          <cell r="F40">
            <v>427382443.91000003</v>
          </cell>
        </row>
        <row r="43">
          <cell r="C43">
            <v>177121100</v>
          </cell>
          <cell r="D43">
            <v>-189692</v>
          </cell>
          <cell r="F43">
            <v>176931408</v>
          </cell>
        </row>
        <row r="46">
          <cell r="D46">
            <v>3958248.09</v>
          </cell>
          <cell r="F46">
            <v>3958248.09</v>
          </cell>
        </row>
        <row r="47">
          <cell r="C47">
            <v>679792600</v>
          </cell>
        </row>
        <row r="48">
          <cell r="C48">
            <v>679792600</v>
          </cell>
        </row>
        <row r="51">
          <cell r="C51">
            <v>679792600</v>
          </cell>
        </row>
        <row r="57">
          <cell r="C57">
            <v>18768300</v>
          </cell>
          <cell r="F57">
            <v>18768300</v>
          </cell>
        </row>
        <row r="58">
          <cell r="C58">
            <v>18768300</v>
          </cell>
          <cell r="D58">
            <v>0</v>
          </cell>
          <cell r="F58">
            <v>18768300</v>
          </cell>
        </row>
        <row r="60">
          <cell r="D60">
            <v>0</v>
          </cell>
          <cell r="F60">
            <v>18768300</v>
          </cell>
        </row>
        <row r="61">
          <cell r="C61">
            <v>18768300</v>
          </cell>
        </row>
        <row r="63">
          <cell r="C63">
            <v>0</v>
          </cell>
          <cell r="D63">
            <v>0</v>
          </cell>
          <cell r="F63">
            <v>0</v>
          </cell>
        </row>
        <row r="66">
          <cell r="D66">
            <v>0</v>
          </cell>
          <cell r="F66">
            <v>0</v>
          </cell>
        </row>
        <row r="67">
          <cell r="C67">
            <v>43000000</v>
          </cell>
          <cell r="D67">
            <v>0</v>
          </cell>
          <cell r="E67" t="e">
            <v>#REF!</v>
          </cell>
          <cell r="F67">
            <v>43000000</v>
          </cell>
        </row>
        <row r="68">
          <cell r="B68" t="str">
            <v>โครงการส่งเสริมการท่องเที่ยวชุมชน (15004170024002000000)</v>
          </cell>
          <cell r="C68">
            <v>43000000</v>
          </cell>
          <cell r="D68">
            <v>0</v>
          </cell>
          <cell r="E68">
            <v>0</v>
          </cell>
          <cell r="F68">
            <v>43000000</v>
          </cell>
        </row>
        <row r="70">
          <cell r="C70">
            <v>43000000</v>
          </cell>
          <cell r="D70">
            <v>0</v>
          </cell>
          <cell r="E70">
            <v>0</v>
          </cell>
          <cell r="F70">
            <v>43000000</v>
          </cell>
        </row>
        <row r="73">
          <cell r="C73">
            <v>0</v>
          </cell>
          <cell r="D73">
            <v>0</v>
          </cell>
          <cell r="F73">
            <v>0</v>
          </cell>
        </row>
        <row r="76">
          <cell r="C76">
            <v>0</v>
          </cell>
          <cell r="D76">
            <v>0</v>
          </cell>
          <cell r="F76">
            <v>0</v>
          </cell>
        </row>
        <row r="77">
          <cell r="C77">
            <v>20664600</v>
          </cell>
          <cell r="D77">
            <v>0</v>
          </cell>
          <cell r="E77">
            <v>0</v>
          </cell>
          <cell r="F77">
            <v>20664600</v>
          </cell>
        </row>
        <row r="78">
          <cell r="B78" t="str">
            <v>โครงการส่งเสริมการพัฒนาชุมชนธรรมาภิบาล (15004560011002000000)</v>
          </cell>
          <cell r="C78">
            <v>20664600</v>
          </cell>
          <cell r="D78">
            <v>0</v>
          </cell>
          <cell r="E78">
            <v>0</v>
          </cell>
          <cell r="F78">
            <v>20664600</v>
          </cell>
        </row>
        <row r="80">
          <cell r="C80">
            <v>20664600</v>
          </cell>
          <cell r="D80">
            <v>0</v>
          </cell>
          <cell r="E80">
            <v>0</v>
          </cell>
          <cell r="F80">
            <v>20664600</v>
          </cell>
        </row>
        <row r="83">
          <cell r="C83">
            <v>0</v>
          </cell>
          <cell r="D83">
            <v>0</v>
          </cell>
          <cell r="F83">
            <v>0</v>
          </cell>
        </row>
        <row r="86">
          <cell r="C86">
            <v>0</v>
          </cell>
          <cell r="D86">
            <v>0</v>
          </cell>
          <cell r="F8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NFMA47"/>
      <sheetName val="BPMส่วนกลาง"/>
      <sheetName val="จังหวัด (เสนอ)"/>
      <sheetName val="จังหวัด"/>
      <sheetName val="Sheet8"/>
      <sheetName val="เรียงผู้ตรวจ"/>
      <sheetName val="Sheet5"/>
      <sheetName val="ส่วนกลาง+ศพช. 11 ศูนย์ (เสนอ)"/>
      <sheetName val="ส่วนกลาง+ศพช. 11 ศูนย์ (5)"/>
      <sheetName val="ส่วนกลาง+ศพช. 11 ศูนย์"/>
      <sheetName val="ศพช. (เสนอ)"/>
      <sheetName val="ศพช.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587">
          <cell r="K2587">
            <v>0</v>
          </cell>
          <cell r="L2587">
            <v>2854497.71</v>
          </cell>
        </row>
        <row r="2599">
          <cell r="K2599">
            <v>3700</v>
          </cell>
          <cell r="L2599">
            <v>4135459.15</v>
          </cell>
        </row>
        <row r="2611">
          <cell r="K2611">
            <v>0</v>
          </cell>
          <cell r="L2611">
            <v>3778909.31</v>
          </cell>
        </row>
        <row r="2622">
          <cell r="K2622">
            <v>146000</v>
          </cell>
          <cell r="L2622">
            <v>3886488.68</v>
          </cell>
        </row>
        <row r="2634">
          <cell r="K2634">
            <v>0</v>
          </cell>
          <cell r="L2634">
            <v>4412353.5199999996</v>
          </cell>
        </row>
        <row r="2644">
          <cell r="K2644">
            <v>1903000</v>
          </cell>
          <cell r="L2644">
            <v>4093928.35</v>
          </cell>
        </row>
        <row r="2658">
          <cell r="K2658">
            <v>626000</v>
          </cell>
          <cell r="L2658">
            <v>3926160.6</v>
          </cell>
        </row>
        <row r="2669">
          <cell r="K2669">
            <v>18190</v>
          </cell>
          <cell r="L2669">
            <v>3914129.22</v>
          </cell>
        </row>
        <row r="2681">
          <cell r="K2681">
            <v>0</v>
          </cell>
          <cell r="L2681">
            <v>2942615.84</v>
          </cell>
        </row>
        <row r="2691">
          <cell r="K2691">
            <v>0</v>
          </cell>
          <cell r="L2691">
            <v>3733323.02</v>
          </cell>
        </row>
        <row r="2704">
          <cell r="K2704">
            <v>5000</v>
          </cell>
          <cell r="L2704">
            <v>4373206.88</v>
          </cell>
        </row>
      </sheetData>
      <sheetData sheetId="13">
        <row r="3">
          <cell r="G3">
            <v>11081518.85</v>
          </cell>
          <cell r="I3">
            <v>9383379.7000000011</v>
          </cell>
          <cell r="J3">
            <v>729440.4</v>
          </cell>
        </row>
        <row r="4">
          <cell r="G4">
            <v>547563060.11000001</v>
          </cell>
          <cell r="I4">
            <v>342556648.46999997</v>
          </cell>
          <cell r="J4">
            <v>189265000</v>
          </cell>
        </row>
        <row r="5">
          <cell r="G5">
            <v>12228337.949999999</v>
          </cell>
          <cell r="I5">
            <v>10228773.42</v>
          </cell>
          <cell r="J5">
            <v>1500000</v>
          </cell>
        </row>
        <row r="6">
          <cell r="G6">
            <v>6088297.5800000001</v>
          </cell>
          <cell r="I6">
            <v>5445427.5800000001</v>
          </cell>
          <cell r="J6">
            <v>0</v>
          </cell>
        </row>
        <row r="7">
          <cell r="G7">
            <v>7491972.6999999993</v>
          </cell>
          <cell r="I7">
            <v>6000570.0999999996</v>
          </cell>
          <cell r="J7">
            <v>30000</v>
          </cell>
        </row>
        <row r="8">
          <cell r="G8">
            <v>137566111.17000002</v>
          </cell>
          <cell r="I8">
            <v>14339577.739999998</v>
          </cell>
          <cell r="J8">
            <v>1073678.58</v>
          </cell>
        </row>
        <row r="9">
          <cell r="G9">
            <v>10002406.23</v>
          </cell>
          <cell r="I9">
            <v>3073031.93</v>
          </cell>
          <cell r="J9">
            <v>6260000</v>
          </cell>
        </row>
        <row r="10">
          <cell r="G10">
            <v>1699690.4</v>
          </cell>
          <cell r="I10">
            <v>1618335.92</v>
          </cell>
          <cell r="J10">
            <v>0</v>
          </cell>
        </row>
        <row r="11">
          <cell r="G11">
            <v>37946780</v>
          </cell>
          <cell r="I11">
            <v>14241044</v>
          </cell>
          <cell r="J11">
            <v>2360000</v>
          </cell>
        </row>
        <row r="12">
          <cell r="G12">
            <v>402867</v>
          </cell>
          <cell r="I12">
            <v>402867</v>
          </cell>
          <cell r="J12">
            <v>0</v>
          </cell>
        </row>
        <row r="13">
          <cell r="G13">
            <v>372418.1</v>
          </cell>
          <cell r="I13">
            <v>372418.1</v>
          </cell>
          <cell r="J13">
            <v>0</v>
          </cell>
        </row>
        <row r="14">
          <cell r="G14">
            <v>4905492.76</v>
          </cell>
          <cell r="I14">
            <v>4239918.26</v>
          </cell>
          <cell r="J14">
            <v>0</v>
          </cell>
        </row>
        <row r="15">
          <cell r="G15">
            <v>5419555</v>
          </cell>
          <cell r="I15">
            <v>4854619.24</v>
          </cell>
          <cell r="J15">
            <v>0</v>
          </cell>
        </row>
        <row r="16">
          <cell r="G16">
            <v>468745</v>
          </cell>
          <cell r="I16">
            <v>468745</v>
          </cell>
          <cell r="J16">
            <v>0</v>
          </cell>
        </row>
      </sheetData>
      <sheetData sheetId="14"/>
      <sheetData sheetId="15">
        <row r="5">
          <cell r="A5" t="str">
            <v xml:space="preserve">ข้อมูลสะสมตั้งแต่วันที่ 1 ตุลาคม 2566  ถึงวันที่ 15 กันยายน 2567 </v>
          </cell>
        </row>
        <row r="7">
          <cell r="A7" t="str">
            <v xml:space="preserve">เรียงลำดับร้อยละผลการใช้จ่ายจากมากไปหาน้อย </v>
          </cell>
        </row>
        <row r="14">
          <cell r="G14">
            <v>14405539.220000001</v>
          </cell>
          <cell r="H14">
            <v>13348533.26</v>
          </cell>
          <cell r="J14">
            <v>608992</v>
          </cell>
        </row>
        <row r="15">
          <cell r="G15">
            <v>10689707.130000001</v>
          </cell>
          <cell r="H15">
            <v>8998594.3200000003</v>
          </cell>
          <cell r="J15">
            <v>1025000</v>
          </cell>
        </row>
        <row r="16">
          <cell r="G16">
            <v>12830437.449999999</v>
          </cell>
          <cell r="H16">
            <v>11354041.91</v>
          </cell>
          <cell r="J16">
            <v>956000</v>
          </cell>
        </row>
        <row r="17">
          <cell r="G17">
            <v>23208398.760000002</v>
          </cell>
          <cell r="H17">
            <v>20898166.399999999</v>
          </cell>
          <cell r="J17">
            <v>1180500</v>
          </cell>
        </row>
        <row r="18">
          <cell r="G18">
            <v>13187800.640000001</v>
          </cell>
          <cell r="H18">
            <v>11096699.09</v>
          </cell>
          <cell r="J18">
            <v>1860500</v>
          </cell>
        </row>
        <row r="19">
          <cell r="G19">
            <v>17565020.5</v>
          </cell>
          <cell r="H19">
            <v>16114476.52</v>
          </cell>
          <cell r="J19">
            <v>811847.75</v>
          </cell>
        </row>
        <row r="20">
          <cell r="G20">
            <v>9806277.5199999996</v>
          </cell>
          <cell r="H20">
            <v>7730754.04</v>
          </cell>
          <cell r="J20">
            <v>1622255</v>
          </cell>
        </row>
        <row r="21">
          <cell r="G21">
            <v>11743974.689999999</v>
          </cell>
          <cell r="H21">
            <v>10023160.16</v>
          </cell>
          <cell r="J21">
            <v>1397425</v>
          </cell>
        </row>
        <row r="22">
          <cell r="G22">
            <v>19120611.43</v>
          </cell>
          <cell r="H22">
            <v>15202568.25</v>
          </cell>
          <cell r="J22">
            <v>2580700</v>
          </cell>
        </row>
        <row r="23">
          <cell r="G23">
            <v>17855306.010000002</v>
          </cell>
          <cell r="H23">
            <v>16214019.869999999</v>
          </cell>
          <cell r="J23">
            <v>447000</v>
          </cell>
        </row>
        <row r="24">
          <cell r="G24">
            <v>12878653.68</v>
          </cell>
          <cell r="H24">
            <v>11165968.130000001</v>
          </cell>
          <cell r="J24">
            <v>1131800</v>
          </cell>
        </row>
        <row r="25">
          <cell r="G25">
            <v>14361094.289999999</v>
          </cell>
          <cell r="H25">
            <v>13288895.91</v>
          </cell>
          <cell r="J25">
            <v>427600</v>
          </cell>
        </row>
        <row r="26">
          <cell r="G26">
            <v>9774520.4499999993</v>
          </cell>
          <cell r="H26">
            <v>8394547.2699999996</v>
          </cell>
          <cell r="J26">
            <v>813500</v>
          </cell>
        </row>
        <row r="27">
          <cell r="G27">
            <v>15455747.34</v>
          </cell>
          <cell r="H27">
            <v>13515663.529999999</v>
          </cell>
          <cell r="J27">
            <v>1075950</v>
          </cell>
        </row>
        <row r="28">
          <cell r="G28">
            <v>14387331.24</v>
          </cell>
          <cell r="H28">
            <v>12092239.539999999</v>
          </cell>
          <cell r="J28">
            <v>1406900</v>
          </cell>
        </row>
        <row r="29">
          <cell r="G29">
            <v>8845003.6099999994</v>
          </cell>
          <cell r="H29">
            <v>8272610.5499999998</v>
          </cell>
          <cell r="J29">
            <v>0</v>
          </cell>
        </row>
        <row r="30">
          <cell r="G30">
            <v>13993154.869999999</v>
          </cell>
          <cell r="H30">
            <v>13031832.42</v>
          </cell>
          <cell r="J30">
            <v>570050</v>
          </cell>
        </row>
        <row r="31">
          <cell r="G31">
            <v>54676522.200000003</v>
          </cell>
          <cell r="H31">
            <v>46210422.700000003</v>
          </cell>
          <cell r="J31">
            <v>3316000</v>
          </cell>
        </row>
        <row r="32">
          <cell r="G32">
            <v>34064751.310000002</v>
          </cell>
          <cell r="H32">
            <v>32483203.969999999</v>
          </cell>
          <cell r="J32">
            <v>1314955</v>
          </cell>
        </row>
        <row r="33">
          <cell r="G33">
            <v>28328537.34</v>
          </cell>
          <cell r="H33">
            <v>25810199.75</v>
          </cell>
          <cell r="J33">
            <v>1419750</v>
          </cell>
        </row>
        <row r="34">
          <cell r="G34">
            <v>36565484.640000001</v>
          </cell>
          <cell r="H34">
            <v>31250175.050000001</v>
          </cell>
          <cell r="J34">
            <v>4061797.64</v>
          </cell>
        </row>
        <row r="35">
          <cell r="G35">
            <v>37237958.600000001</v>
          </cell>
          <cell r="H35">
            <v>35978895.039999999</v>
          </cell>
          <cell r="J35">
            <v>359953.38</v>
          </cell>
        </row>
        <row r="36">
          <cell r="G36">
            <v>18544447.379999999</v>
          </cell>
          <cell r="H36">
            <v>15470325.25</v>
          </cell>
          <cell r="J36">
            <v>2158050</v>
          </cell>
        </row>
        <row r="37">
          <cell r="G37">
            <v>26635742.829999998</v>
          </cell>
          <cell r="H37">
            <v>25149300.789999999</v>
          </cell>
          <cell r="J37">
            <v>694000</v>
          </cell>
        </row>
        <row r="38">
          <cell r="G38">
            <v>12973830.08</v>
          </cell>
          <cell r="H38">
            <v>11828715.66</v>
          </cell>
          <cell r="J38">
            <v>702500</v>
          </cell>
        </row>
        <row r="39">
          <cell r="G39">
            <v>14767463.130000001</v>
          </cell>
          <cell r="H39">
            <v>12455861.82</v>
          </cell>
          <cell r="J39">
            <v>1814140.51</v>
          </cell>
        </row>
        <row r="40">
          <cell r="G40">
            <v>42192028.079999998</v>
          </cell>
          <cell r="H40">
            <v>38193105.460000001</v>
          </cell>
          <cell r="J40">
            <v>1044003</v>
          </cell>
        </row>
        <row r="41">
          <cell r="G41">
            <v>30127598.350000001</v>
          </cell>
          <cell r="H41">
            <v>26869930.27</v>
          </cell>
          <cell r="J41">
            <v>1055640</v>
          </cell>
        </row>
        <row r="42">
          <cell r="G42">
            <v>23279209.91</v>
          </cell>
          <cell r="H42">
            <v>22121302.93</v>
          </cell>
          <cell r="J42">
            <v>549033.85</v>
          </cell>
        </row>
        <row r="43">
          <cell r="G43">
            <v>15522587.66</v>
          </cell>
          <cell r="H43">
            <v>13798541.789999999</v>
          </cell>
          <cell r="J43">
            <v>950900</v>
          </cell>
        </row>
        <row r="44">
          <cell r="G44">
            <v>24734479.16</v>
          </cell>
          <cell r="H44">
            <v>23163488.170000002</v>
          </cell>
          <cell r="J44">
            <v>658000</v>
          </cell>
        </row>
        <row r="45">
          <cell r="G45">
            <v>34174235.039999999</v>
          </cell>
          <cell r="H45">
            <v>29508816.510000002</v>
          </cell>
          <cell r="J45">
            <v>3079000</v>
          </cell>
        </row>
        <row r="46">
          <cell r="G46">
            <v>25157145.690000001</v>
          </cell>
          <cell r="H46">
            <v>23950289.690000001</v>
          </cell>
          <cell r="J46">
            <v>307000</v>
          </cell>
        </row>
        <row r="47">
          <cell r="G47">
            <v>34233293.759999998</v>
          </cell>
          <cell r="H47">
            <v>32412613.960000001</v>
          </cell>
          <cell r="J47">
            <v>781350</v>
          </cell>
        </row>
        <row r="48">
          <cell r="G48">
            <v>21333914.57</v>
          </cell>
          <cell r="H48">
            <v>18775032.739999998</v>
          </cell>
          <cell r="J48">
            <v>1648768</v>
          </cell>
        </row>
        <row r="49">
          <cell r="G49">
            <v>11761027.449999999</v>
          </cell>
          <cell r="H49">
            <v>10280308.789999999</v>
          </cell>
          <cell r="J49">
            <v>1274000</v>
          </cell>
        </row>
        <row r="50">
          <cell r="G50">
            <v>35649682.009999998</v>
          </cell>
          <cell r="H50">
            <v>31970181.190000001</v>
          </cell>
          <cell r="J50">
            <v>1164528</v>
          </cell>
        </row>
        <row r="51">
          <cell r="G51">
            <v>12366631.449999999</v>
          </cell>
          <cell r="H51">
            <v>11023138.470000001</v>
          </cell>
          <cell r="J51">
            <v>668190</v>
          </cell>
        </row>
        <row r="52">
          <cell r="G52">
            <v>18480353.82</v>
          </cell>
          <cell r="H52">
            <v>17430101.190000001</v>
          </cell>
          <cell r="J52">
            <v>544654.31000000006</v>
          </cell>
        </row>
        <row r="53">
          <cell r="G53">
            <v>13472305.869999999</v>
          </cell>
          <cell r="H53">
            <v>12702494.74</v>
          </cell>
          <cell r="J53">
            <v>392700</v>
          </cell>
        </row>
        <row r="54">
          <cell r="G54">
            <v>12831953.130000001</v>
          </cell>
          <cell r="H54">
            <v>11967962.83</v>
          </cell>
          <cell r="J54">
            <v>520500</v>
          </cell>
        </row>
        <row r="55">
          <cell r="G55">
            <v>19577161.93</v>
          </cell>
          <cell r="H55">
            <v>16852999.210000001</v>
          </cell>
          <cell r="J55">
            <v>1462160</v>
          </cell>
        </row>
        <row r="56">
          <cell r="G56">
            <v>14440014.869999999</v>
          </cell>
          <cell r="H56">
            <v>13372636.02</v>
          </cell>
          <cell r="J56">
            <v>558115</v>
          </cell>
        </row>
        <row r="57">
          <cell r="G57">
            <v>31231476.969999999</v>
          </cell>
          <cell r="H57">
            <v>27728292.609999999</v>
          </cell>
          <cell r="J57">
            <v>2349965</v>
          </cell>
        </row>
        <row r="58">
          <cell r="G58">
            <v>11660562.869999999</v>
          </cell>
          <cell r="H58">
            <v>9708337.8300000001</v>
          </cell>
          <cell r="J58">
            <v>1104600</v>
          </cell>
        </row>
        <row r="59">
          <cell r="G59">
            <v>22793703.129999999</v>
          </cell>
          <cell r="H59">
            <v>20746012.559999999</v>
          </cell>
          <cell r="J59">
            <v>1077500</v>
          </cell>
        </row>
        <row r="60">
          <cell r="G60">
            <v>12353095.050000001</v>
          </cell>
          <cell r="H60">
            <v>10898428.98</v>
          </cell>
          <cell r="J60">
            <v>1053060</v>
          </cell>
        </row>
        <row r="61">
          <cell r="G61">
            <v>17200714.109999999</v>
          </cell>
          <cell r="H61">
            <v>14706659.699999999</v>
          </cell>
          <cell r="J61">
            <v>1588984</v>
          </cell>
        </row>
        <row r="62">
          <cell r="G62">
            <v>15152797.08</v>
          </cell>
          <cell r="H62">
            <v>13136421.27</v>
          </cell>
          <cell r="J62">
            <v>1101212</v>
          </cell>
        </row>
        <row r="63">
          <cell r="G63">
            <v>14261348.449999999</v>
          </cell>
          <cell r="H63">
            <v>13272904.949999999</v>
          </cell>
          <cell r="J63">
            <v>505000</v>
          </cell>
        </row>
        <row r="64">
          <cell r="G64">
            <v>20494982.969999999</v>
          </cell>
          <cell r="H64">
            <v>15862118.699999999</v>
          </cell>
          <cell r="J64">
            <v>8000</v>
          </cell>
        </row>
        <row r="65">
          <cell r="G65">
            <v>16427362.34</v>
          </cell>
          <cell r="H65">
            <v>14686642.529999999</v>
          </cell>
          <cell r="J65">
            <v>902800</v>
          </cell>
        </row>
        <row r="66">
          <cell r="G66">
            <v>20255140.079999998</v>
          </cell>
          <cell r="H66">
            <v>17956892.25</v>
          </cell>
          <cell r="J66">
            <v>1671930</v>
          </cell>
        </row>
        <row r="67">
          <cell r="G67">
            <v>14664569.970000001</v>
          </cell>
          <cell r="H67">
            <v>12715372.09</v>
          </cell>
          <cell r="J67">
            <v>1451333.63</v>
          </cell>
        </row>
        <row r="68">
          <cell r="G68">
            <v>19408426.920000002</v>
          </cell>
          <cell r="H68">
            <v>16875299.559999999</v>
          </cell>
          <cell r="J68">
            <v>1412400</v>
          </cell>
        </row>
        <row r="69">
          <cell r="G69">
            <v>17793573.690000001</v>
          </cell>
          <cell r="H69">
            <v>16298638.51</v>
          </cell>
          <cell r="J69">
            <v>775000</v>
          </cell>
        </row>
        <row r="70">
          <cell r="G70">
            <v>12554357.32</v>
          </cell>
          <cell r="H70">
            <v>11029828.82</v>
          </cell>
          <cell r="J70">
            <v>844800</v>
          </cell>
        </row>
        <row r="71">
          <cell r="G71">
            <v>8544815.4000000004</v>
          </cell>
          <cell r="H71">
            <v>6610130.1600000001</v>
          </cell>
          <cell r="J71">
            <v>1313800</v>
          </cell>
        </row>
        <row r="72">
          <cell r="G72">
            <v>7011892.04</v>
          </cell>
          <cell r="H72">
            <v>5725047.1699999999</v>
          </cell>
          <cell r="J72">
            <v>1051340</v>
          </cell>
        </row>
        <row r="73">
          <cell r="G73">
            <v>14495301.789999999</v>
          </cell>
          <cell r="H73">
            <v>12584165.07</v>
          </cell>
          <cell r="J73">
            <v>990700</v>
          </cell>
        </row>
        <row r="74">
          <cell r="G74">
            <v>13243930.66</v>
          </cell>
          <cell r="H74">
            <v>11373237.720000001</v>
          </cell>
          <cell r="J74">
            <v>959895</v>
          </cell>
        </row>
        <row r="75">
          <cell r="G75">
            <v>34036070.810000002</v>
          </cell>
          <cell r="H75">
            <v>30442696.52</v>
          </cell>
          <cell r="J75">
            <v>1984799</v>
          </cell>
        </row>
        <row r="76">
          <cell r="G76">
            <v>13070325.449999999</v>
          </cell>
          <cell r="H76">
            <v>10662173.1</v>
          </cell>
          <cell r="J76">
            <v>1949700</v>
          </cell>
        </row>
        <row r="77">
          <cell r="G77">
            <v>11785039.23</v>
          </cell>
          <cell r="H77">
            <v>9321262.25</v>
          </cell>
          <cell r="J77">
            <v>1484600</v>
          </cell>
        </row>
        <row r="78">
          <cell r="G78">
            <v>9811169.8499999996</v>
          </cell>
          <cell r="H78">
            <v>7302211.5999999996</v>
          </cell>
          <cell r="J78">
            <v>1764760</v>
          </cell>
        </row>
        <row r="79">
          <cell r="G79">
            <v>24229987.32</v>
          </cell>
          <cell r="H79">
            <v>20636529.469999999</v>
          </cell>
          <cell r="J79">
            <v>1183950</v>
          </cell>
        </row>
        <row r="80">
          <cell r="G80">
            <v>9230532.6799999997</v>
          </cell>
          <cell r="H80">
            <v>7419647.6799999997</v>
          </cell>
          <cell r="J80">
            <v>1578700</v>
          </cell>
        </row>
        <row r="81">
          <cell r="G81">
            <v>12590083.82</v>
          </cell>
          <cell r="H81">
            <v>10916460.859999999</v>
          </cell>
          <cell r="J81">
            <v>1150700</v>
          </cell>
        </row>
        <row r="82">
          <cell r="G82">
            <v>24234443.32</v>
          </cell>
          <cell r="H82">
            <v>21129130.850000001</v>
          </cell>
          <cell r="J82">
            <v>1150700</v>
          </cell>
        </row>
        <row r="83">
          <cell r="G83">
            <v>11748337.07</v>
          </cell>
          <cell r="H83">
            <v>9705758.4800000004</v>
          </cell>
          <cell r="J83">
            <v>1720820</v>
          </cell>
        </row>
        <row r="84">
          <cell r="G84">
            <v>15492178.789999999</v>
          </cell>
          <cell r="H84">
            <v>13900739.789999999</v>
          </cell>
          <cell r="J84">
            <v>1582100</v>
          </cell>
        </row>
        <row r="85">
          <cell r="G85">
            <v>16172192.08</v>
          </cell>
          <cell r="H85">
            <v>13495240.99</v>
          </cell>
          <cell r="J85">
            <v>1180355</v>
          </cell>
        </row>
        <row r="86">
          <cell r="G86">
            <v>19817025.98</v>
          </cell>
          <cell r="H86">
            <v>18106827.260000002</v>
          </cell>
          <cell r="J86">
            <v>1124712.5</v>
          </cell>
        </row>
        <row r="87">
          <cell r="G87">
            <v>15899376.82</v>
          </cell>
          <cell r="H87">
            <v>14162550.85</v>
          </cell>
          <cell r="J87">
            <v>1519690</v>
          </cell>
        </row>
        <row r="88">
          <cell r="G88">
            <v>20258366.710000001</v>
          </cell>
          <cell r="H88">
            <v>18224086.699999999</v>
          </cell>
          <cell r="J88">
            <v>827900</v>
          </cell>
        </row>
        <row r="89">
          <cell r="G89">
            <v>19126134.870000001</v>
          </cell>
          <cell r="H89">
            <v>14922438.369999999</v>
          </cell>
          <cell r="J89">
            <v>3750700</v>
          </cell>
        </row>
      </sheetData>
      <sheetData sheetId="16" refreshError="1"/>
      <sheetData sheetId="17"/>
      <sheetData sheetId="18" refreshError="1"/>
      <sheetData sheetId="19"/>
      <sheetData sheetId="20" refreshError="1"/>
      <sheetData sheetId="21">
        <row r="10">
          <cell r="B10" t="str">
            <v>1500400001</v>
          </cell>
        </row>
        <row r="11">
          <cell r="B11" t="str">
            <v>1500400002</v>
          </cell>
        </row>
        <row r="12">
          <cell r="B12" t="str">
            <v>1500400003</v>
          </cell>
        </row>
        <row r="13">
          <cell r="B13" t="str">
            <v>1500400004</v>
          </cell>
        </row>
        <row r="14">
          <cell r="B14" t="str">
            <v>1500400004</v>
          </cell>
        </row>
        <row r="15">
          <cell r="B15" t="str">
            <v>1500400006</v>
          </cell>
        </row>
        <row r="16">
          <cell r="B16" t="str">
            <v>1500400007</v>
          </cell>
        </row>
        <row r="17">
          <cell r="B17" t="str">
            <v>1500400008</v>
          </cell>
        </row>
        <row r="18">
          <cell r="B18" t="str">
            <v>1500400009</v>
          </cell>
        </row>
        <row r="19">
          <cell r="B19" t="str">
            <v>1500400010</v>
          </cell>
        </row>
        <row r="20">
          <cell r="B20" t="str">
            <v>1500400011</v>
          </cell>
        </row>
        <row r="21">
          <cell r="B21" t="str">
            <v>1500400111</v>
          </cell>
        </row>
        <row r="22">
          <cell r="B22" t="str">
            <v>1500400112</v>
          </cell>
        </row>
        <row r="23">
          <cell r="B23" t="str">
            <v>1500400125</v>
          </cell>
        </row>
      </sheetData>
      <sheetData sheetId="22">
        <row r="9">
          <cell r="G9">
            <v>47000105</v>
          </cell>
        </row>
      </sheetData>
      <sheetData sheetId="23">
        <row r="9">
          <cell r="L9">
            <v>42051072.280000001</v>
          </cell>
          <cell r="N9">
            <v>2701890</v>
          </cell>
        </row>
        <row r="10">
          <cell r="G10">
            <v>2947060.43</v>
          </cell>
        </row>
        <row r="11">
          <cell r="G11">
            <v>4357443.21</v>
          </cell>
        </row>
        <row r="12">
          <cell r="G12">
            <v>3939020.03</v>
          </cell>
        </row>
        <row r="13">
          <cell r="G13">
            <v>4167529.34</v>
          </cell>
        </row>
        <row r="14">
          <cell r="G14">
            <v>4589084.5999999996</v>
          </cell>
        </row>
        <row r="15">
          <cell r="G15">
            <v>6145845.54</v>
          </cell>
        </row>
        <row r="16">
          <cell r="G16">
            <v>4712838.97</v>
          </cell>
        </row>
        <row r="17">
          <cell r="G17">
            <v>4124012.75</v>
          </cell>
        </row>
        <row r="18">
          <cell r="G18">
            <v>3075422.98</v>
          </cell>
        </row>
        <row r="19">
          <cell r="G19">
            <v>4312830.8099999996</v>
          </cell>
        </row>
        <row r="20">
          <cell r="G20">
            <v>4629016.34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ืนเงินส่วนกลาง"/>
      <sheetName val="Sheet1"/>
      <sheetName val="Sheet14"/>
      <sheetName val="Sheet2"/>
      <sheetName val="zfma 47 คีย์ Link เบิกจ่าย"/>
      <sheetName val="BPMส่วนกลาง"/>
      <sheetName val="ส่วนกลาง (2)"/>
      <sheetName val="Sheet16"/>
      <sheetName val="ส่วนกลาง"/>
      <sheetName val="สก+สพช+จว"/>
      <sheetName val="Sheet20"/>
      <sheetName val="Sheet18"/>
      <sheetName val="จังหวัดหัก(D) (2)"/>
      <sheetName val="จังหวัดหัก(D)"/>
      <sheetName val="ส่วนกลาง+สพช11แห่ง"/>
      <sheetName val="ส่วนกลาง+สพช11แห่ง (ส่งรอง)"/>
      <sheetName val=" ศูนย์"/>
      <sheetName val=" ศูนย์ (2)"/>
      <sheetName val="จังหวัด "/>
      <sheetName val="Sheet22"/>
      <sheetName val="จังหวัด  (2)"/>
      <sheetName val="จังหวัด (ส่งรอง)"/>
      <sheetName val="จ.เรียงเขตตรวจ"/>
      <sheetName val="จังหวัด (ส่งรอง) แยกกลุ่ม"/>
      <sheetName val="Sheet9"/>
      <sheetName val="เรียงผู้ตรวจ"/>
      <sheetName val="Sheet21"/>
      <sheetName val="ผลเบิกจ่ายเขตตรวจ"/>
      <sheetName val="เรียงเบิกจ่ายเขตตรวจ"/>
      <sheetName val="ปริ้นเรียงผู้ตรวจ"/>
      <sheetName val="ส่วนกลาง+สพช11แห่ง (2)"/>
      <sheetName val="คิดเบิกจ่ายแยกส่วน"/>
      <sheetName val="Sheet17"/>
      <sheetName val="รายละเอียดงบลงทุน1"/>
      <sheetName val="รายละเอียดงบลงทุน"/>
      <sheetName val="งบลงทุนจังหวัด"/>
      <sheetName val="งบกลาง 2559"/>
      <sheetName val="งบลงทุนภาพรวม"/>
      <sheetName val="Sheet23"/>
      <sheetName val="Sheet19"/>
      <sheetName val="งบรายจ่ายอื่น "/>
      <sheetName val="งบรายจ่ายอื่น"/>
      <sheetName val="งบรายจ่ายอื่นรายหน่วย"/>
      <sheetName val="Sheet12"/>
      <sheetName val="เบิกแทน ตท.ชท"/>
      <sheetName val="งบลงทุน (2)"/>
      <sheetName val="งบลงทุนจังหวัด ปี58(2)"/>
      <sheetName val="ประมาณการกองคลัง"/>
      <sheetName val="คาดการไตรมาส 3-4"/>
      <sheetName val="ประมาณการ"/>
      <sheetName val="สัมมนา"/>
      <sheetName val="Sheet13"/>
      <sheetName val="สตรี1"/>
      <sheetName val="สตรี"/>
      <sheetName val="Sheet3"/>
      <sheetName val="Sheet5"/>
      <sheetName val="Sheet4"/>
      <sheetName val="Sheet6"/>
      <sheetName val="ทศนิยม.จ."/>
      <sheetName val="กลางทศนิยม"/>
      <sheetName val="ทศนิยมศูนย์"/>
      <sheetName val="Sheet7"/>
      <sheetName val="Sheet8"/>
      <sheetName val="Sheet11"/>
      <sheetName val="Sheet10"/>
      <sheetName val="Sheet15"/>
    </sheetNames>
    <sheetDataSet>
      <sheetData sheetId="0">
        <row r="25">
          <cell r="C25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</sheetData>
      <sheetData sheetId="1"/>
      <sheetData sheetId="2"/>
      <sheetData sheetId="3"/>
      <sheetData sheetId="4">
        <row r="1751">
          <cell r="H1751">
            <v>15387248.699999999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8">
          <cell r="H38">
            <v>96.745416536839414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EG89"/>
  <sheetViews>
    <sheetView showGridLines="0" zoomScaleNormal="100" workbookViewId="0">
      <pane xSplit="7" ySplit="5" topLeftCell="H6" activePane="bottomRight" state="frozenSplit"/>
      <selection activeCell="A25" sqref="A25:A33"/>
      <selection pane="topRight" activeCell="A25" sqref="A25:A33"/>
      <selection pane="bottomLeft" activeCell="A25" sqref="A25:A33"/>
      <selection pane="bottomRight" activeCell="B5" sqref="B5"/>
    </sheetView>
  </sheetViews>
  <sheetFormatPr defaultRowHeight="21.75"/>
  <cols>
    <col min="1" max="1" width="43.7109375" style="19" customWidth="1"/>
    <col min="2" max="2" width="16.5703125" style="18" bestFit="1" customWidth="1"/>
    <col min="3" max="3" width="17.7109375" style="18" bestFit="1" customWidth="1"/>
    <col min="4" max="4" width="16.7109375" style="18" bestFit="1" customWidth="1"/>
    <col min="5" max="5" width="7" style="18" hidden="1" customWidth="1"/>
    <col min="6" max="6" width="21.5703125" style="18" hidden="1" customWidth="1"/>
    <col min="7" max="7" width="9" style="18" hidden="1" customWidth="1"/>
    <col min="8" max="8" width="16.42578125" style="33" bestFit="1" customWidth="1"/>
    <col min="9" max="11" width="14.28515625" style="19" bestFit="1" customWidth="1"/>
    <col min="12" max="12" width="17.85546875" style="19" bestFit="1" customWidth="1"/>
    <col min="13" max="13" width="14.28515625" style="33" bestFit="1" customWidth="1"/>
    <col min="14" max="15" width="14.28515625" style="19" bestFit="1" customWidth="1"/>
    <col min="16" max="16" width="14.5703125" style="19" bestFit="1" customWidth="1"/>
    <col min="17" max="22" width="17.7109375" style="19" customWidth="1"/>
    <col min="23" max="24" width="19.42578125" style="19" customWidth="1"/>
    <col min="25" max="25" width="17.7109375" style="19" customWidth="1"/>
    <col min="26" max="26" width="19.5703125" style="19" customWidth="1"/>
    <col min="27" max="27" width="17.7109375" style="19" customWidth="1"/>
    <col min="28" max="29" width="22.140625" style="19" bestFit="1" customWidth="1"/>
    <col min="30" max="35" width="17.7109375" style="19" customWidth="1"/>
    <col min="36" max="36" width="22.140625" style="19" bestFit="1" customWidth="1"/>
    <col min="37" max="37" width="17.7109375" style="19" customWidth="1"/>
    <col min="38" max="38" width="17.28515625" style="19" bestFit="1" customWidth="1"/>
    <col min="39" max="44" width="17.28515625" style="19" customWidth="1"/>
    <col min="45" max="46" width="17.42578125" style="19" bestFit="1" customWidth="1"/>
    <col min="47" max="48" width="15.28515625" style="19" customWidth="1"/>
    <col min="49" max="49" width="16.85546875" style="19" bestFit="1" customWidth="1"/>
    <col min="50" max="51" width="17.7109375" style="19" customWidth="1"/>
    <col min="52" max="52" width="19.7109375" style="19" customWidth="1"/>
    <col min="53" max="68" width="17.7109375" style="19" customWidth="1"/>
    <col min="69" max="69" width="19.85546875" style="19" customWidth="1"/>
    <col min="70" max="101" width="17.7109375" style="19" customWidth="1"/>
    <col min="102" max="103" width="22.140625" style="19" bestFit="1" customWidth="1"/>
    <col min="104" max="137" width="17.7109375" style="19" customWidth="1"/>
    <col min="138" max="16384" width="9.140625" style="19"/>
  </cols>
  <sheetData>
    <row r="1" spans="1:137" s="2" customFormat="1" ht="23.1" customHeight="1">
      <c r="A1" s="1998" t="s">
        <v>21</v>
      </c>
      <c r="B1" s="1998"/>
      <c r="C1" s="1998"/>
      <c r="D1" s="1998"/>
      <c r="E1" s="44"/>
      <c r="F1" s="1"/>
      <c r="G1" s="1"/>
      <c r="H1" s="45"/>
      <c r="M1" s="45"/>
    </row>
    <row r="2" spans="1:137" s="2" customFormat="1" ht="23.1" customHeight="1" thickBot="1">
      <c r="A2" s="1997" t="s">
        <v>298</v>
      </c>
      <c r="B2" s="1997"/>
      <c r="C2" s="1997"/>
      <c r="D2" s="1997"/>
      <c r="E2" s="44"/>
      <c r="F2" s="1"/>
      <c r="G2" s="1"/>
      <c r="H2" s="45"/>
      <c r="M2" s="45"/>
    </row>
    <row r="3" spans="1:137" s="3" customFormat="1" ht="23.1" customHeight="1" thickBot="1">
      <c r="A3" s="1999" t="s">
        <v>3</v>
      </c>
      <c r="B3" s="2001" t="s">
        <v>8</v>
      </c>
      <c r="C3" s="2001" t="s">
        <v>18</v>
      </c>
      <c r="D3" s="2003" t="s">
        <v>4</v>
      </c>
      <c r="E3" s="42"/>
      <c r="F3" s="42" t="s">
        <v>9</v>
      </c>
      <c r="G3" s="46" t="s">
        <v>11</v>
      </c>
      <c r="H3" s="174"/>
      <c r="I3" s="47"/>
      <c r="J3" s="48"/>
      <c r="K3" s="47"/>
      <c r="L3" s="174"/>
      <c r="M3" s="184"/>
      <c r="N3" s="47"/>
      <c r="O3" s="47"/>
      <c r="P3" s="47"/>
      <c r="Q3" s="47"/>
      <c r="R3" s="47"/>
      <c r="S3" s="47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</row>
    <row r="4" spans="1:137" s="3" customFormat="1" ht="23.1" customHeight="1" thickBot="1">
      <c r="A4" s="2000"/>
      <c r="B4" s="2002"/>
      <c r="C4" s="2002"/>
      <c r="D4" s="2004"/>
      <c r="E4" s="43"/>
      <c r="F4" s="43" t="s">
        <v>10</v>
      </c>
      <c r="G4" s="50" t="s">
        <v>12</v>
      </c>
      <c r="H4" s="175"/>
      <c r="I4" s="183"/>
      <c r="J4" s="51"/>
      <c r="K4" s="51"/>
      <c r="L4" s="183"/>
      <c r="M4" s="184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4"/>
      <c r="EF4" s="53"/>
      <c r="EG4" s="53"/>
    </row>
    <row r="5" spans="1:137" s="9" customFormat="1" ht="23.1" customHeight="1" thickBot="1">
      <c r="A5" s="55" t="s">
        <v>2</v>
      </c>
      <c r="B5" s="56">
        <f>B6+B16+B26+B36+B46+B56</f>
        <v>3848475800</v>
      </c>
      <c r="C5" s="56">
        <f>C6+C16+C26+C36+C46+C56</f>
        <v>0</v>
      </c>
      <c r="D5" s="56">
        <f>D6+D16+D26+D36+D46+D56</f>
        <v>3848475800</v>
      </c>
      <c r="E5" s="56">
        <f>E6+E16</f>
        <v>642534200</v>
      </c>
      <c r="F5" s="56" t="e">
        <f>F6+F16</f>
        <v>#REF!</v>
      </c>
      <c r="G5" s="56" t="e">
        <f>G6+G16</f>
        <v>#REF!</v>
      </c>
      <c r="H5" s="17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</row>
    <row r="6" spans="1:137" s="9" customFormat="1" ht="23.1" customHeight="1" thickTop="1">
      <c r="A6" s="196" t="s">
        <v>300</v>
      </c>
      <c r="B6" s="193">
        <f>B7+B8+B12+B15</f>
        <v>1699479700</v>
      </c>
      <c r="C6" s="193">
        <f>C7+C8+C12+C15</f>
        <v>0</v>
      </c>
      <c r="D6" s="193">
        <f>D7+D8+D12+D15</f>
        <v>1699479700</v>
      </c>
      <c r="E6" s="60"/>
      <c r="F6" s="60" t="e">
        <f>SUM(F7:F15)</f>
        <v>#REF!</v>
      </c>
      <c r="G6" s="61" t="e">
        <f>SUM(F6*100/B6)</f>
        <v>#REF!</v>
      </c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</row>
    <row r="7" spans="1:137" s="9" customFormat="1" ht="23.1" customHeight="1">
      <c r="A7" s="65" t="s">
        <v>0</v>
      </c>
      <c r="B7" s="66">
        <v>1278572700</v>
      </c>
      <c r="C7" s="36">
        <f>SUM(H7:FG7)</f>
        <v>0</v>
      </c>
      <c r="D7" s="67">
        <f t="shared" ref="D7:D16" si="0">+B7+C7</f>
        <v>1278572700</v>
      </c>
      <c r="E7" s="68" t="e">
        <f>SUM(#REF!+#REF!)</f>
        <v>#REF!</v>
      </c>
      <c r="F7" s="68">
        <f>SUM(C7+D7)</f>
        <v>1278572700</v>
      </c>
      <c r="G7" s="69" t="e">
        <f>SUM(#REF!+E7)</f>
        <v>#REF!</v>
      </c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</row>
    <row r="8" spans="1:137" s="9" customFormat="1" ht="23.1" customHeight="1">
      <c r="A8" s="23" t="s">
        <v>1</v>
      </c>
      <c r="B8" s="73">
        <f>SUM(B9:B11)</f>
        <v>119393000</v>
      </c>
      <c r="C8" s="73">
        <f>SUM(C9:C11)</f>
        <v>0</v>
      </c>
      <c r="D8" s="73">
        <f t="shared" si="0"/>
        <v>119393000</v>
      </c>
      <c r="E8" s="68"/>
      <c r="F8" s="68" t="e">
        <f>SUM(B8-#REF!)</f>
        <v>#REF!</v>
      </c>
      <c r="G8" s="74" t="e">
        <f>SUM(F8*100/B8)</f>
        <v>#REF!</v>
      </c>
      <c r="H8" s="7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</row>
    <row r="9" spans="1:137" ht="23.1" customHeight="1">
      <c r="A9" s="27" t="s">
        <v>14</v>
      </c>
      <c r="B9" s="36">
        <f>119393000-B10-B11</f>
        <v>63299800</v>
      </c>
      <c r="C9" s="36">
        <f>SUM(H9:FG9)</f>
        <v>0</v>
      </c>
      <c r="D9" s="67">
        <f t="shared" si="0"/>
        <v>63299800</v>
      </c>
      <c r="E9" s="68" t="e">
        <f>SUM(#REF!+#REF!)</f>
        <v>#REF!</v>
      </c>
      <c r="F9" s="68">
        <f>SUM(C9+D9)</f>
        <v>63299800</v>
      </c>
      <c r="G9" s="69" t="e">
        <f>SUM(#REF!+E9)</f>
        <v>#REF!</v>
      </c>
      <c r="H9" s="75"/>
      <c r="I9" s="26"/>
      <c r="J9" s="26"/>
      <c r="K9" s="26"/>
      <c r="L9" s="26"/>
      <c r="M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</row>
    <row r="10" spans="1:137" ht="23.1" customHeight="1">
      <c r="A10" s="27" t="s">
        <v>13</v>
      </c>
      <c r="B10" s="36">
        <v>56093200</v>
      </c>
      <c r="C10" s="36">
        <f>SUM(H10:FG10)</f>
        <v>0</v>
      </c>
      <c r="D10" s="67">
        <f t="shared" si="0"/>
        <v>56093200</v>
      </c>
      <c r="E10" s="68" t="e">
        <f>SUM(#REF!+#REF!)</f>
        <v>#REF!</v>
      </c>
      <c r="F10" s="68">
        <f>SUM(C10+D10)</f>
        <v>56093200</v>
      </c>
      <c r="G10" s="69" t="e">
        <f>SUM(#REF!+E10)</f>
        <v>#REF!</v>
      </c>
      <c r="H10" s="7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</row>
    <row r="11" spans="1:137" ht="23.1" customHeight="1">
      <c r="A11" s="27" t="s">
        <v>24</v>
      </c>
      <c r="B11" s="36"/>
      <c r="C11" s="36">
        <f>SUM(H11:FG11)</f>
        <v>0</v>
      </c>
      <c r="D11" s="67">
        <f t="shared" si="0"/>
        <v>0</v>
      </c>
      <c r="E11" s="77"/>
      <c r="F11" s="68"/>
      <c r="G11" s="78"/>
      <c r="H11" s="7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</row>
    <row r="12" spans="1:137" s="9" customFormat="1" ht="23.1" customHeight="1">
      <c r="A12" s="23" t="s">
        <v>7</v>
      </c>
      <c r="B12" s="73">
        <f>SUM(B13:B14)</f>
        <v>301514000</v>
      </c>
      <c r="C12" s="73">
        <f>SUM(C13:C14)</f>
        <v>0</v>
      </c>
      <c r="D12" s="73">
        <f t="shared" si="0"/>
        <v>301514000</v>
      </c>
      <c r="E12" s="77"/>
      <c r="F12" s="68" t="e">
        <f>SUM(B12-#REF!)</f>
        <v>#REF!</v>
      </c>
      <c r="G12" s="74" t="e">
        <f>SUM(F12*100/B12)</f>
        <v>#REF!</v>
      </c>
      <c r="H12" s="7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</row>
    <row r="13" spans="1:137" ht="23.1" customHeight="1">
      <c r="A13" s="27" t="s">
        <v>15</v>
      </c>
      <c r="B13" s="36">
        <v>135937000</v>
      </c>
      <c r="C13" s="36">
        <f>SUM(H13:FG13)</f>
        <v>0</v>
      </c>
      <c r="D13" s="67">
        <f t="shared" si="0"/>
        <v>135937000</v>
      </c>
      <c r="E13" s="79"/>
      <c r="F13" s="79"/>
      <c r="G13" s="74"/>
      <c r="H13" s="75"/>
      <c r="I13" s="26"/>
      <c r="J13" s="26"/>
      <c r="K13" s="26"/>
      <c r="L13" s="26"/>
      <c r="M13" s="26"/>
      <c r="N13" s="33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</row>
    <row r="14" spans="1:137" ht="23.1" customHeight="1">
      <c r="A14" s="27" t="s">
        <v>16</v>
      </c>
      <c r="B14" s="36">
        <v>165577000</v>
      </c>
      <c r="C14" s="36">
        <f>SUM(H14:FG14)</f>
        <v>0</v>
      </c>
      <c r="D14" s="67">
        <f t="shared" si="0"/>
        <v>165577000</v>
      </c>
      <c r="E14" s="79"/>
      <c r="F14" s="79"/>
      <c r="G14" s="74"/>
      <c r="H14" s="7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</row>
    <row r="15" spans="1:137" s="9" customFormat="1" ht="23.1" customHeight="1" thickBot="1">
      <c r="A15" s="28" t="s">
        <v>5</v>
      </c>
      <c r="B15" s="80"/>
      <c r="C15" s="37">
        <f>SUM(H15:FG15)</f>
        <v>0</v>
      </c>
      <c r="D15" s="81">
        <f t="shared" si="0"/>
        <v>0</v>
      </c>
      <c r="E15" s="68"/>
      <c r="F15" s="68" t="e">
        <f>SUM(B15-#REF!)</f>
        <v>#REF!</v>
      </c>
      <c r="G15" s="74">
        <v>0</v>
      </c>
      <c r="H15" s="17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</row>
    <row r="16" spans="1:137" s="9" customFormat="1" ht="23.1" customHeight="1" thickTop="1">
      <c r="A16" s="194" t="s">
        <v>299</v>
      </c>
      <c r="B16" s="195">
        <f>B18+B19+B22+B25</f>
        <v>642534200</v>
      </c>
      <c r="C16" s="195">
        <f>+C18+C19+C22+C25</f>
        <v>0</v>
      </c>
      <c r="D16" s="195">
        <f t="shared" si="0"/>
        <v>642534200</v>
      </c>
      <c r="E16" s="82">
        <f>+C16+D16</f>
        <v>642534200</v>
      </c>
      <c r="F16" s="82">
        <f>+D16+E16</f>
        <v>1285068400</v>
      </c>
      <c r="G16" s="82">
        <f>+E16+F16</f>
        <v>1927602600</v>
      </c>
      <c r="H16" s="177">
        <f>+H18</f>
        <v>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</row>
    <row r="17" spans="1:137" s="9" customFormat="1" ht="23.1" customHeight="1">
      <c r="A17" s="191" t="s">
        <v>301</v>
      </c>
      <c r="B17" s="185"/>
      <c r="C17" s="185"/>
      <c r="D17" s="186"/>
      <c r="E17" s="186"/>
      <c r="F17" s="186"/>
      <c r="G17" s="187"/>
      <c r="H17" s="188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</row>
    <row r="18" spans="1:137" s="9" customFormat="1" ht="23.1" customHeight="1">
      <c r="A18" s="65" t="s">
        <v>0</v>
      </c>
      <c r="B18" s="66"/>
      <c r="C18" s="36">
        <f>SUM(H18:FG18)</f>
        <v>0</v>
      </c>
      <c r="D18" s="67">
        <f t="shared" ref="D18:D26" si="1">+B18+C18</f>
        <v>0</v>
      </c>
      <c r="E18" s="68"/>
      <c r="F18" s="68" t="e">
        <f>SUM(B18-#REF!)</f>
        <v>#REF!</v>
      </c>
      <c r="G18" s="61" t="e">
        <f>SUM(F18*100/B18)</f>
        <v>#REF!</v>
      </c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</row>
    <row r="19" spans="1:137" s="9" customFormat="1" ht="23.1" customHeight="1">
      <c r="A19" s="23" t="s">
        <v>1</v>
      </c>
      <c r="B19" s="73">
        <f>SUM(B20:B21)</f>
        <v>642534200</v>
      </c>
      <c r="C19" s="73">
        <f>SUM(H20:FG20)</f>
        <v>0</v>
      </c>
      <c r="D19" s="73">
        <f t="shared" si="1"/>
        <v>642534200</v>
      </c>
      <c r="E19" s="68"/>
      <c r="F19" s="68" t="e">
        <f>SUM(B19-#REF!)</f>
        <v>#REF!</v>
      </c>
      <c r="G19" s="74" t="e">
        <f>SUM(F19*100/B19)</f>
        <v>#REF!</v>
      </c>
      <c r="H19" s="7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</row>
    <row r="20" spans="1:137" ht="23.1" customHeight="1">
      <c r="A20" s="27" t="s">
        <v>14</v>
      </c>
      <c r="B20" s="36">
        <v>642534200</v>
      </c>
      <c r="C20" s="36">
        <f>SUM(H20:FG20)</f>
        <v>0</v>
      </c>
      <c r="D20" s="67">
        <f t="shared" si="1"/>
        <v>642534200</v>
      </c>
      <c r="E20" s="79"/>
      <c r="F20" s="79"/>
      <c r="G20" s="74"/>
      <c r="H20" s="7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</row>
    <row r="21" spans="1:137" ht="23.1" customHeight="1">
      <c r="A21" s="27" t="s">
        <v>13</v>
      </c>
      <c r="B21" s="36"/>
      <c r="C21" s="36">
        <f>SUM(H21:FG21)</f>
        <v>0</v>
      </c>
      <c r="D21" s="67">
        <f t="shared" si="1"/>
        <v>0</v>
      </c>
      <c r="E21" s="79"/>
      <c r="F21" s="79"/>
      <c r="G21" s="74"/>
      <c r="H21" s="7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</row>
    <row r="22" spans="1:137" s="9" customFormat="1" ht="23.1" hidden="1" customHeight="1">
      <c r="A22" s="23" t="s">
        <v>7</v>
      </c>
      <c r="B22" s="73">
        <f>SUM(B23:B24)</f>
        <v>0</v>
      </c>
      <c r="C22" s="73">
        <f>SUM(C23:C24)</f>
        <v>0</v>
      </c>
      <c r="D22" s="73">
        <f t="shared" si="1"/>
        <v>0</v>
      </c>
      <c r="E22" s="77"/>
      <c r="F22" s="68" t="e">
        <f>SUM(B22-#REF!)</f>
        <v>#REF!</v>
      </c>
      <c r="G22" s="74" t="e">
        <f>SUM(F22*100/B22)</f>
        <v>#REF!</v>
      </c>
      <c r="H22" s="7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</row>
    <row r="23" spans="1:137" ht="23.1" hidden="1" customHeight="1">
      <c r="A23" s="27" t="s">
        <v>15</v>
      </c>
      <c r="B23" s="36"/>
      <c r="C23" s="36">
        <f>SUM(H23:FG23)</f>
        <v>0</v>
      </c>
      <c r="D23" s="67">
        <f t="shared" si="1"/>
        <v>0</v>
      </c>
      <c r="E23" s="79"/>
      <c r="F23" s="79"/>
      <c r="G23" s="74"/>
      <c r="H23" s="7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</row>
    <row r="24" spans="1:137" ht="23.1" hidden="1" customHeight="1">
      <c r="A24" s="27" t="s">
        <v>16</v>
      </c>
      <c r="B24" s="36"/>
      <c r="C24" s="36">
        <f>SUM(H24:FG24)</f>
        <v>0</v>
      </c>
      <c r="D24" s="67">
        <f t="shared" si="1"/>
        <v>0</v>
      </c>
      <c r="E24" s="79"/>
      <c r="F24" s="79"/>
      <c r="G24" s="74"/>
      <c r="H24" s="7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</row>
    <row r="25" spans="1:137" s="9" customFormat="1" ht="22.5" customHeight="1" thickBot="1">
      <c r="A25" s="28" t="s">
        <v>5</v>
      </c>
      <c r="B25" s="80">
        <v>0</v>
      </c>
      <c r="C25" s="83">
        <f>SUM(H25:FG25)</f>
        <v>0</v>
      </c>
      <c r="D25" s="81">
        <f t="shared" si="1"/>
        <v>0</v>
      </c>
      <c r="E25" s="68"/>
      <c r="F25" s="68" t="e">
        <f>SUM(B25-#REF!)</f>
        <v>#REF!</v>
      </c>
      <c r="G25" s="74" t="e">
        <f>SUM(F25*100/B25)</f>
        <v>#REF!</v>
      </c>
      <c r="H25" s="7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</row>
    <row r="26" spans="1:137" s="9" customFormat="1" ht="23.1" customHeight="1" thickTop="1">
      <c r="A26" s="194" t="s">
        <v>302</v>
      </c>
      <c r="B26" s="195">
        <f>B28+B29+B32+B35</f>
        <v>876480200</v>
      </c>
      <c r="C26" s="195">
        <f>+C28+C29+C32+C35</f>
        <v>0</v>
      </c>
      <c r="D26" s="195">
        <f t="shared" si="1"/>
        <v>876480200</v>
      </c>
      <c r="E26" s="82">
        <f>+C26+D26</f>
        <v>876480200</v>
      </c>
      <c r="F26" s="82">
        <f>+D26+E26</f>
        <v>1752960400</v>
      </c>
      <c r="G26" s="82">
        <f>+E26+F26</f>
        <v>2629440600</v>
      </c>
      <c r="H26" s="177">
        <f>+H28</f>
        <v>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</row>
    <row r="27" spans="1:137" s="9" customFormat="1" ht="23.1" customHeight="1">
      <c r="A27" s="191" t="s">
        <v>303</v>
      </c>
      <c r="B27" s="185"/>
      <c r="C27" s="185"/>
      <c r="D27" s="186"/>
      <c r="E27" s="186"/>
      <c r="F27" s="186"/>
      <c r="G27" s="187"/>
      <c r="H27" s="18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90"/>
      <c r="EC27" s="190"/>
      <c r="ED27" s="190"/>
      <c r="EE27" s="190"/>
      <c r="EF27" s="190"/>
      <c r="EG27" s="190"/>
    </row>
    <row r="28" spans="1:137" s="9" customFormat="1" ht="23.1" customHeight="1">
      <c r="A28" s="65" t="s">
        <v>0</v>
      </c>
      <c r="B28" s="66"/>
      <c r="C28" s="36">
        <f>SUM(H28:FG28)</f>
        <v>0</v>
      </c>
      <c r="D28" s="67">
        <f t="shared" ref="D28:D36" si="2">+B28+C28</f>
        <v>0</v>
      </c>
      <c r="E28" s="68"/>
      <c r="F28" s="68" t="e">
        <f>SUM(B28-#REF!)</f>
        <v>#REF!</v>
      </c>
      <c r="G28" s="61" t="e">
        <f>SUM(F28*100/B28)</f>
        <v>#REF!</v>
      </c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</row>
    <row r="29" spans="1:137" s="9" customFormat="1" ht="23.1" customHeight="1">
      <c r="A29" s="23" t="s">
        <v>1</v>
      </c>
      <c r="B29" s="73">
        <f>SUM(B30:B31)</f>
        <v>876480200</v>
      </c>
      <c r="C29" s="73">
        <f>SUM(H30:FG30)</f>
        <v>0</v>
      </c>
      <c r="D29" s="73">
        <f t="shared" si="2"/>
        <v>876480200</v>
      </c>
      <c r="E29" s="68"/>
      <c r="F29" s="68" t="e">
        <f>SUM(B29-#REF!)</f>
        <v>#REF!</v>
      </c>
      <c r="G29" s="74" t="e">
        <f>SUM(F29*100/B29)</f>
        <v>#REF!</v>
      </c>
      <c r="H29" s="7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</row>
    <row r="30" spans="1:137" ht="23.1" customHeight="1">
      <c r="A30" s="27" t="s">
        <v>14</v>
      </c>
      <c r="B30" s="36">
        <v>876480200</v>
      </c>
      <c r="C30" s="36">
        <f>SUM(H30:FG30)</f>
        <v>0</v>
      </c>
      <c r="D30" s="67">
        <f t="shared" si="2"/>
        <v>876480200</v>
      </c>
      <c r="E30" s="79"/>
      <c r="F30" s="79"/>
      <c r="G30" s="74"/>
      <c r="H30" s="7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</row>
    <row r="31" spans="1:137" ht="23.1" customHeight="1">
      <c r="A31" s="27" t="s">
        <v>13</v>
      </c>
      <c r="B31" s="36"/>
      <c r="C31" s="36">
        <f>SUM(H31:FG31)</f>
        <v>0</v>
      </c>
      <c r="D31" s="67">
        <f t="shared" si="2"/>
        <v>0</v>
      </c>
      <c r="E31" s="79"/>
      <c r="F31" s="79"/>
      <c r="G31" s="74"/>
      <c r="H31" s="7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</row>
    <row r="32" spans="1:137" s="9" customFormat="1" ht="23.1" hidden="1" customHeight="1">
      <c r="A32" s="23" t="s">
        <v>7</v>
      </c>
      <c r="B32" s="73">
        <f>SUM(B33:B34)</f>
        <v>0</v>
      </c>
      <c r="C32" s="73">
        <f>SUM(C33:C34)</f>
        <v>0</v>
      </c>
      <c r="D32" s="73">
        <f t="shared" si="2"/>
        <v>0</v>
      </c>
      <c r="E32" s="77"/>
      <c r="F32" s="68" t="e">
        <f>SUM(B32-#REF!)</f>
        <v>#REF!</v>
      </c>
      <c r="G32" s="74" t="e">
        <f>SUM(F32*100/B32)</f>
        <v>#REF!</v>
      </c>
      <c r="H32" s="7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</row>
    <row r="33" spans="1:137" ht="23.1" hidden="1" customHeight="1">
      <c r="A33" s="27" t="s">
        <v>15</v>
      </c>
      <c r="B33" s="36"/>
      <c r="C33" s="36">
        <f>SUM(H33:FG33)</f>
        <v>0</v>
      </c>
      <c r="D33" s="67">
        <f t="shared" si="2"/>
        <v>0</v>
      </c>
      <c r="E33" s="79"/>
      <c r="F33" s="79"/>
      <c r="G33" s="74"/>
      <c r="H33" s="7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</row>
    <row r="34" spans="1:137" ht="23.1" hidden="1" customHeight="1">
      <c r="A34" s="27" t="s">
        <v>16</v>
      </c>
      <c r="B34" s="36"/>
      <c r="C34" s="36">
        <f>SUM(H34:FG34)</f>
        <v>0</v>
      </c>
      <c r="D34" s="67">
        <f t="shared" si="2"/>
        <v>0</v>
      </c>
      <c r="E34" s="79"/>
      <c r="F34" s="79"/>
      <c r="G34" s="74"/>
      <c r="H34" s="7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</row>
    <row r="35" spans="1:137" s="9" customFormat="1" ht="22.5" customHeight="1" thickBot="1">
      <c r="A35" s="28" t="s">
        <v>5</v>
      </c>
      <c r="B35" s="80">
        <v>0</v>
      </c>
      <c r="C35" s="83">
        <f>SUM(H35:FG35)</f>
        <v>0</v>
      </c>
      <c r="D35" s="81">
        <f t="shared" si="2"/>
        <v>0</v>
      </c>
      <c r="E35" s="68"/>
      <c r="F35" s="68" t="e">
        <f>SUM(B35-#REF!)</f>
        <v>#REF!</v>
      </c>
      <c r="G35" s="74" t="e">
        <f>SUM(F35*100/B35)</f>
        <v>#REF!</v>
      </c>
      <c r="H35" s="7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</row>
    <row r="36" spans="1:137" s="9" customFormat="1" ht="23.1" customHeight="1" thickTop="1">
      <c r="A36" s="194" t="s">
        <v>305</v>
      </c>
      <c r="B36" s="195">
        <f>B38+B39+B42+B45</f>
        <v>112871400</v>
      </c>
      <c r="C36" s="195">
        <f>+C38+C39+C42+C45</f>
        <v>0</v>
      </c>
      <c r="D36" s="195">
        <f t="shared" si="2"/>
        <v>112871400</v>
      </c>
      <c r="E36" s="82">
        <f>+C36+D36</f>
        <v>112871400</v>
      </c>
      <c r="F36" s="82">
        <f>+D36+E36</f>
        <v>225742800</v>
      </c>
      <c r="G36" s="82">
        <f>+E36+F36</f>
        <v>338614200</v>
      </c>
      <c r="H36" s="177">
        <f>+H38</f>
        <v>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</row>
    <row r="37" spans="1:137" s="9" customFormat="1" ht="23.1" customHeight="1">
      <c r="A37" s="191" t="s">
        <v>304</v>
      </c>
      <c r="B37" s="185"/>
      <c r="C37" s="185"/>
      <c r="D37" s="186"/>
      <c r="E37" s="186"/>
      <c r="F37" s="186"/>
      <c r="G37" s="187"/>
      <c r="H37" s="188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189"/>
      <c r="BP37" s="189"/>
      <c r="BQ37" s="189"/>
      <c r="BR37" s="189"/>
      <c r="BS37" s="189"/>
      <c r="BT37" s="189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</row>
    <row r="38" spans="1:137" s="9" customFormat="1" ht="23.1" customHeight="1">
      <c r="A38" s="65" t="s">
        <v>0</v>
      </c>
      <c r="B38" s="66"/>
      <c r="C38" s="36">
        <f>SUM(H38:FG38)</f>
        <v>0</v>
      </c>
      <c r="D38" s="67">
        <f t="shared" ref="D38:D46" si="3">+B38+C38</f>
        <v>0</v>
      </c>
      <c r="E38" s="68"/>
      <c r="F38" s="68" t="e">
        <f>SUM(B38-#REF!)</f>
        <v>#REF!</v>
      </c>
      <c r="G38" s="61" t="e">
        <f>SUM(F38*100/B38)</f>
        <v>#REF!</v>
      </c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</row>
    <row r="39" spans="1:137" s="9" customFormat="1" ht="23.1" customHeight="1">
      <c r="A39" s="23" t="s">
        <v>1</v>
      </c>
      <c r="B39" s="73">
        <f>SUM(B40:B41)</f>
        <v>112871400</v>
      </c>
      <c r="C39" s="73">
        <f>SUM(H40:FG40)</f>
        <v>0</v>
      </c>
      <c r="D39" s="73">
        <f t="shared" si="3"/>
        <v>112871400</v>
      </c>
      <c r="E39" s="68"/>
      <c r="F39" s="68" t="e">
        <f>SUM(B39-#REF!)</f>
        <v>#REF!</v>
      </c>
      <c r="G39" s="74" t="e">
        <f>SUM(F39*100/B39)</f>
        <v>#REF!</v>
      </c>
      <c r="H39" s="7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</row>
    <row r="40" spans="1:137" ht="23.1" customHeight="1">
      <c r="A40" s="27" t="s">
        <v>14</v>
      </c>
      <c r="B40" s="36">
        <v>112871400</v>
      </c>
      <c r="C40" s="36">
        <f>SUM(H40:FG40)</f>
        <v>0</v>
      </c>
      <c r="D40" s="67">
        <f t="shared" si="3"/>
        <v>112871400</v>
      </c>
      <c r="E40" s="79"/>
      <c r="F40" s="79"/>
      <c r="G40" s="74"/>
      <c r="H40" s="7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</row>
    <row r="41" spans="1:137" ht="23.1" customHeight="1">
      <c r="A41" s="27" t="s">
        <v>13</v>
      </c>
      <c r="B41" s="36"/>
      <c r="C41" s="36">
        <f>SUM(H41:FG41)</f>
        <v>0</v>
      </c>
      <c r="D41" s="67">
        <f t="shared" si="3"/>
        <v>0</v>
      </c>
      <c r="E41" s="79"/>
      <c r="F41" s="79"/>
      <c r="G41" s="74"/>
      <c r="H41" s="7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</row>
    <row r="42" spans="1:137" s="9" customFormat="1" ht="23.1" customHeight="1">
      <c r="A42" s="23" t="s">
        <v>7</v>
      </c>
      <c r="B42" s="73">
        <f>SUM(B43:B44)</f>
        <v>0</v>
      </c>
      <c r="C42" s="73">
        <f>SUM(C43:C44)</f>
        <v>0</v>
      </c>
      <c r="D42" s="73">
        <f t="shared" si="3"/>
        <v>0</v>
      </c>
      <c r="E42" s="77"/>
      <c r="F42" s="68" t="e">
        <f>SUM(B42-#REF!)</f>
        <v>#REF!</v>
      </c>
      <c r="G42" s="74" t="e">
        <f>SUM(F42*100/B42)</f>
        <v>#REF!</v>
      </c>
      <c r="H42" s="7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</row>
    <row r="43" spans="1:137" ht="23.1" customHeight="1">
      <c r="A43" s="27" t="s">
        <v>15</v>
      </c>
      <c r="B43" s="36"/>
      <c r="C43" s="36">
        <f>SUM(H43:FG43)</f>
        <v>0</v>
      </c>
      <c r="D43" s="67">
        <f t="shared" si="3"/>
        <v>0</v>
      </c>
      <c r="E43" s="79"/>
      <c r="F43" s="79"/>
      <c r="G43" s="74"/>
      <c r="H43" s="7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</row>
    <row r="44" spans="1:137" ht="23.1" customHeight="1">
      <c r="A44" s="27" t="s">
        <v>16</v>
      </c>
      <c r="B44" s="36"/>
      <c r="C44" s="36">
        <f>SUM(H44:FG44)</f>
        <v>0</v>
      </c>
      <c r="D44" s="67">
        <f t="shared" si="3"/>
        <v>0</v>
      </c>
      <c r="E44" s="79"/>
      <c r="F44" s="79"/>
      <c r="G44" s="74"/>
      <c r="H44" s="7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</row>
    <row r="45" spans="1:137" s="9" customFormat="1" ht="22.5" customHeight="1" thickBot="1">
      <c r="A45" s="28" t="s">
        <v>5</v>
      </c>
      <c r="B45" s="80">
        <v>0</v>
      </c>
      <c r="C45" s="83">
        <f>SUM(H45:FG45)</f>
        <v>0</v>
      </c>
      <c r="D45" s="81">
        <f t="shared" si="3"/>
        <v>0</v>
      </c>
      <c r="E45" s="68"/>
      <c r="F45" s="68" t="e">
        <f>SUM(B45-#REF!)</f>
        <v>#REF!</v>
      </c>
      <c r="G45" s="74" t="e">
        <f>SUM(F45*100/B45)</f>
        <v>#REF!</v>
      </c>
      <c r="H45" s="7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</row>
    <row r="46" spans="1:137" s="9" customFormat="1" ht="23.1" customHeight="1" thickTop="1">
      <c r="A46" s="194" t="s">
        <v>306</v>
      </c>
      <c r="B46" s="195">
        <f>B48+B49+B52+B55</f>
        <v>249305600</v>
      </c>
      <c r="C46" s="195">
        <f>+C48+C49+C52+C55</f>
        <v>0</v>
      </c>
      <c r="D46" s="195">
        <f t="shared" si="3"/>
        <v>249305600</v>
      </c>
      <c r="E46" s="82">
        <f>+C46+D46</f>
        <v>249305600</v>
      </c>
      <c r="F46" s="82">
        <f>+D46+E46</f>
        <v>498611200</v>
      </c>
      <c r="G46" s="82">
        <f>+E46+F46</f>
        <v>747916800</v>
      </c>
      <c r="H46" s="177">
        <f>+H48</f>
        <v>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</row>
    <row r="47" spans="1:137" s="9" customFormat="1" ht="23.1" customHeight="1">
      <c r="A47" s="191" t="s">
        <v>308</v>
      </c>
      <c r="B47" s="185"/>
      <c r="C47" s="185"/>
      <c r="D47" s="186"/>
      <c r="E47" s="186"/>
      <c r="F47" s="186"/>
      <c r="G47" s="187"/>
      <c r="H47" s="188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  <c r="DW47" s="190"/>
      <c r="DX47" s="190"/>
      <c r="DY47" s="190"/>
      <c r="DZ47" s="190"/>
      <c r="EA47" s="190"/>
      <c r="EB47" s="190"/>
      <c r="EC47" s="190"/>
      <c r="ED47" s="190"/>
      <c r="EE47" s="190"/>
      <c r="EF47" s="190"/>
      <c r="EG47" s="190"/>
    </row>
    <row r="48" spans="1:137" s="9" customFormat="1" ht="23.1" customHeight="1">
      <c r="A48" s="65" t="s">
        <v>0</v>
      </c>
      <c r="B48" s="66"/>
      <c r="C48" s="36">
        <f>SUM(H48:FG48)</f>
        <v>0</v>
      </c>
      <c r="D48" s="67">
        <f t="shared" ref="D48:D56" si="4">+B48+C48</f>
        <v>0</v>
      </c>
      <c r="E48" s="68"/>
      <c r="F48" s="68" t="e">
        <f>SUM(B48-#REF!)</f>
        <v>#REF!</v>
      </c>
      <c r="G48" s="61" t="e">
        <f>SUM(F48*100/B48)</f>
        <v>#REF!</v>
      </c>
      <c r="H48" s="70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</row>
    <row r="49" spans="1:137" s="9" customFormat="1" ht="23.1" customHeight="1">
      <c r="A49" s="23" t="s">
        <v>1</v>
      </c>
      <c r="B49" s="73">
        <f>SUM(B50:B51)</f>
        <v>249305600</v>
      </c>
      <c r="C49" s="73">
        <f>SUM(H50:FG50)</f>
        <v>0</v>
      </c>
      <c r="D49" s="73">
        <f t="shared" si="4"/>
        <v>249305600</v>
      </c>
      <c r="E49" s="68"/>
      <c r="F49" s="68" t="e">
        <f>SUM(B49-#REF!)</f>
        <v>#REF!</v>
      </c>
      <c r="G49" s="74" t="e">
        <f>SUM(F49*100/B49)</f>
        <v>#REF!</v>
      </c>
      <c r="H49" s="7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</row>
    <row r="50" spans="1:137" ht="23.1" customHeight="1">
      <c r="A50" s="27" t="s">
        <v>14</v>
      </c>
      <c r="B50" s="36">
        <v>249305600</v>
      </c>
      <c r="C50" s="36">
        <f>SUM(H50:FG50)</f>
        <v>0</v>
      </c>
      <c r="D50" s="67">
        <f t="shared" si="4"/>
        <v>249305600</v>
      </c>
      <c r="E50" s="79"/>
      <c r="F50" s="79"/>
      <c r="G50" s="74"/>
      <c r="H50" s="7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</row>
    <row r="51" spans="1:137" ht="23.1" customHeight="1">
      <c r="A51" s="27" t="s">
        <v>13</v>
      </c>
      <c r="B51" s="36"/>
      <c r="C51" s="36">
        <f>SUM(H51:FG51)</f>
        <v>0</v>
      </c>
      <c r="D51" s="67">
        <f t="shared" si="4"/>
        <v>0</v>
      </c>
      <c r="E51" s="79"/>
      <c r="F51" s="79"/>
      <c r="G51" s="74"/>
      <c r="H51" s="7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</row>
    <row r="52" spans="1:137" s="9" customFormat="1" ht="23.1" customHeight="1">
      <c r="A52" s="23" t="s">
        <v>7</v>
      </c>
      <c r="B52" s="73">
        <f>SUM(B53:B54)</f>
        <v>0</v>
      </c>
      <c r="C52" s="73">
        <f>SUM(C53:C54)</f>
        <v>0</v>
      </c>
      <c r="D52" s="73">
        <f t="shared" si="4"/>
        <v>0</v>
      </c>
      <c r="E52" s="77"/>
      <c r="F52" s="68" t="e">
        <f>SUM(B52-#REF!)</f>
        <v>#REF!</v>
      </c>
      <c r="G52" s="74" t="e">
        <f>SUM(F52*100/B52)</f>
        <v>#REF!</v>
      </c>
      <c r="H52" s="7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</row>
    <row r="53" spans="1:137" ht="23.1" customHeight="1">
      <c r="A53" s="27" t="s">
        <v>15</v>
      </c>
      <c r="B53" s="36"/>
      <c r="C53" s="36">
        <f>SUM(H53:FG53)</f>
        <v>0</v>
      </c>
      <c r="D53" s="67">
        <f t="shared" si="4"/>
        <v>0</v>
      </c>
      <c r="E53" s="79"/>
      <c r="F53" s="79"/>
      <c r="G53" s="74"/>
      <c r="H53" s="7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</row>
    <row r="54" spans="1:137" ht="23.1" customHeight="1">
      <c r="A54" s="27" t="s">
        <v>16</v>
      </c>
      <c r="B54" s="36"/>
      <c r="C54" s="36">
        <f>SUM(H54:FG54)</f>
        <v>0</v>
      </c>
      <c r="D54" s="67">
        <f t="shared" si="4"/>
        <v>0</v>
      </c>
      <c r="E54" s="79"/>
      <c r="F54" s="79"/>
      <c r="G54" s="74"/>
      <c r="H54" s="7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</row>
    <row r="55" spans="1:137" s="9" customFormat="1" ht="22.5" customHeight="1" thickBot="1">
      <c r="A55" s="28" t="s">
        <v>5</v>
      </c>
      <c r="B55" s="80">
        <v>0</v>
      </c>
      <c r="C55" s="83">
        <f>SUM(H55:FG55)</f>
        <v>0</v>
      </c>
      <c r="D55" s="81">
        <f t="shared" si="4"/>
        <v>0</v>
      </c>
      <c r="E55" s="68"/>
      <c r="F55" s="68" t="e">
        <f>SUM(B55-#REF!)</f>
        <v>#REF!</v>
      </c>
      <c r="G55" s="74" t="e">
        <f>SUM(F55*100/B55)</f>
        <v>#REF!</v>
      </c>
      <c r="H55" s="7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</row>
    <row r="56" spans="1:137" s="9" customFormat="1" ht="23.1" customHeight="1" thickTop="1">
      <c r="A56" s="194" t="s">
        <v>307</v>
      </c>
      <c r="B56" s="195">
        <f>B58+B59+B62+B65</f>
        <v>267804700</v>
      </c>
      <c r="C56" s="195">
        <f>+C58+C59+C62+C65</f>
        <v>0</v>
      </c>
      <c r="D56" s="195">
        <f t="shared" si="4"/>
        <v>267804700</v>
      </c>
      <c r="E56" s="82">
        <f>+C56+D56</f>
        <v>267804700</v>
      </c>
      <c r="F56" s="82">
        <f>+D56+E56</f>
        <v>535609400</v>
      </c>
      <c r="G56" s="82">
        <f>+E56+F56</f>
        <v>803414100</v>
      </c>
      <c r="H56" s="177">
        <f>+H58</f>
        <v>0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</row>
    <row r="57" spans="1:137" s="9" customFormat="1" ht="23.1" customHeight="1">
      <c r="A57" s="191" t="s">
        <v>309</v>
      </c>
      <c r="B57" s="185"/>
      <c r="C57" s="185"/>
      <c r="D57" s="186"/>
      <c r="E57" s="186"/>
      <c r="F57" s="186"/>
      <c r="G57" s="187"/>
      <c r="H57" s="188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</row>
    <row r="58" spans="1:137" s="9" customFormat="1" ht="23.1" customHeight="1">
      <c r="A58" s="65" t="s">
        <v>0</v>
      </c>
      <c r="B58" s="66"/>
      <c r="C58" s="36">
        <f>SUM(H58:FG58)</f>
        <v>0</v>
      </c>
      <c r="D58" s="67">
        <f t="shared" ref="D58:D65" si="5">+B58+C58</f>
        <v>0</v>
      </c>
      <c r="E58" s="68"/>
      <c r="F58" s="68" t="e">
        <f>SUM(B58-#REF!)</f>
        <v>#REF!</v>
      </c>
      <c r="G58" s="61" t="e">
        <f>SUM(F58*100/B58)</f>
        <v>#REF!</v>
      </c>
      <c r="H58" s="70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</row>
    <row r="59" spans="1:137" s="9" customFormat="1" ht="23.1" customHeight="1">
      <c r="A59" s="23" t="s">
        <v>1</v>
      </c>
      <c r="B59" s="73">
        <f>SUM(B60:B61)</f>
        <v>267804700</v>
      </c>
      <c r="C59" s="73">
        <f>SUM(H60:FG60)</f>
        <v>0</v>
      </c>
      <c r="D59" s="73">
        <f t="shared" si="5"/>
        <v>267804700</v>
      </c>
      <c r="E59" s="68"/>
      <c r="F59" s="68" t="e">
        <f>SUM(B59-#REF!)</f>
        <v>#REF!</v>
      </c>
      <c r="G59" s="74" t="e">
        <f>SUM(F59*100/B59)</f>
        <v>#REF!</v>
      </c>
      <c r="H59" s="7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</row>
    <row r="60" spans="1:137" ht="23.1" customHeight="1">
      <c r="A60" s="27" t="s">
        <v>14</v>
      </c>
      <c r="B60" s="36">
        <v>267804700</v>
      </c>
      <c r="C60" s="36">
        <f>SUM(H60:FG60)</f>
        <v>0</v>
      </c>
      <c r="D60" s="67">
        <f t="shared" si="5"/>
        <v>267804700</v>
      </c>
      <c r="E60" s="79"/>
      <c r="F60" s="79"/>
      <c r="G60" s="74"/>
      <c r="H60" s="7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</row>
    <row r="61" spans="1:137" ht="23.1" customHeight="1">
      <c r="A61" s="27" t="s">
        <v>13</v>
      </c>
      <c r="B61" s="36"/>
      <c r="C61" s="36">
        <f>SUM(H61:FG61)</f>
        <v>0</v>
      </c>
      <c r="D61" s="67">
        <f t="shared" si="5"/>
        <v>0</v>
      </c>
      <c r="E61" s="79"/>
      <c r="F61" s="79"/>
      <c r="G61" s="74"/>
      <c r="H61" s="7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</row>
    <row r="62" spans="1:137" s="9" customFormat="1" ht="23.1" customHeight="1">
      <c r="A62" s="23" t="s">
        <v>7</v>
      </c>
      <c r="B62" s="73">
        <f>SUM(B63:B64)</f>
        <v>0</v>
      </c>
      <c r="C62" s="73">
        <f>SUM(C63:C64)</f>
        <v>0</v>
      </c>
      <c r="D62" s="73">
        <f t="shared" si="5"/>
        <v>0</v>
      </c>
      <c r="E62" s="77"/>
      <c r="F62" s="68" t="e">
        <f>SUM(B62-#REF!)</f>
        <v>#REF!</v>
      </c>
      <c r="G62" s="74" t="e">
        <f>SUM(F62*100/B62)</f>
        <v>#REF!</v>
      </c>
      <c r="H62" s="7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</row>
    <row r="63" spans="1:137" ht="23.1" customHeight="1">
      <c r="A63" s="27" t="s">
        <v>15</v>
      </c>
      <c r="B63" s="36"/>
      <c r="C63" s="36">
        <f>SUM(H63:FG63)</f>
        <v>0</v>
      </c>
      <c r="D63" s="67">
        <f t="shared" si="5"/>
        <v>0</v>
      </c>
      <c r="E63" s="79"/>
      <c r="F63" s="79"/>
      <c r="G63" s="74"/>
      <c r="H63" s="7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</row>
    <row r="64" spans="1:137" ht="23.1" customHeight="1">
      <c r="A64" s="27" t="s">
        <v>16</v>
      </c>
      <c r="B64" s="36"/>
      <c r="C64" s="36">
        <f>SUM(H64:FG64)</f>
        <v>0</v>
      </c>
      <c r="D64" s="67">
        <f t="shared" si="5"/>
        <v>0</v>
      </c>
      <c r="E64" s="79"/>
      <c r="F64" s="79"/>
      <c r="G64" s="74"/>
      <c r="H64" s="7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</row>
    <row r="65" spans="1:137" s="9" customFormat="1" ht="22.5" customHeight="1" thickBot="1">
      <c r="A65" s="28" t="s">
        <v>5</v>
      </c>
      <c r="B65" s="80">
        <v>0</v>
      </c>
      <c r="C65" s="83">
        <f>SUM(H65:FG65)</f>
        <v>0</v>
      </c>
      <c r="D65" s="81">
        <f t="shared" si="5"/>
        <v>0</v>
      </c>
      <c r="E65" s="68"/>
      <c r="F65" s="68" t="e">
        <f>SUM(B65-#REF!)</f>
        <v>#REF!</v>
      </c>
      <c r="G65" s="74" t="e">
        <f>SUM(F65*100/B65)</f>
        <v>#REF!</v>
      </c>
      <c r="H65" s="7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</row>
    <row r="66" spans="1:137" s="9" customFormat="1" ht="23.1" customHeight="1" thickTop="1">
      <c r="A66" s="192" t="s">
        <v>310</v>
      </c>
      <c r="B66" s="193">
        <f>SUM(B6+B16+B26+B36+B46+B56)</f>
        <v>3848475800</v>
      </c>
      <c r="C66" s="193">
        <f>SUM(C6+C16+C26+C36+C46+C56)</f>
        <v>0</v>
      </c>
      <c r="D66" s="193">
        <f>SUM(D6+D16+D26+D36+D46+D56)</f>
        <v>3848475800</v>
      </c>
      <c r="E66" s="84">
        <f>SUM(E67+E68+E72+E75)</f>
        <v>0</v>
      </c>
      <c r="F66" s="85" t="e">
        <f>SUM(F67+F68+F72+F75)</f>
        <v>#REF!</v>
      </c>
      <c r="G66" s="86" t="e">
        <f>SUM(G67+G68+G72+G75)</f>
        <v>#REF!</v>
      </c>
      <c r="H66" s="62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</row>
    <row r="67" spans="1:137" s="9" customFormat="1" ht="23.1" customHeight="1">
      <c r="A67" s="65" t="s">
        <v>0</v>
      </c>
      <c r="B67" s="66">
        <f>B7+B18</f>
        <v>1278572700</v>
      </c>
      <c r="C67" s="118">
        <f>C7+C18</f>
        <v>0</v>
      </c>
      <c r="D67" s="66">
        <f t="shared" ref="D67:D75" si="6">+B67+C67</f>
        <v>1278572700</v>
      </c>
      <c r="E67" s="77"/>
      <c r="F67" s="68" t="e">
        <f>SUM(B67-#REF!)</f>
        <v>#REF!</v>
      </c>
      <c r="G67" s="61" t="e">
        <f>SUM(F67*100/B67)</f>
        <v>#REF!</v>
      </c>
      <c r="H67" s="70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</row>
    <row r="68" spans="1:137" s="9" customFormat="1" ht="23.1" customHeight="1">
      <c r="A68" s="23" t="s">
        <v>1</v>
      </c>
      <c r="B68" s="66">
        <f>SUM(B69:B71)</f>
        <v>2268389100</v>
      </c>
      <c r="C68" s="66">
        <f>SUM(C8+C19)</f>
        <v>0</v>
      </c>
      <c r="D68" s="66">
        <f t="shared" si="6"/>
        <v>2268389100</v>
      </c>
      <c r="E68" s="77"/>
      <c r="F68" s="68" t="e">
        <f>SUM(B68-#REF!)</f>
        <v>#REF!</v>
      </c>
      <c r="G68" s="74" t="e">
        <f>SUM(F68*100/B68)</f>
        <v>#REF!</v>
      </c>
      <c r="H68" s="7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</row>
    <row r="69" spans="1:137" ht="23.1" customHeight="1">
      <c r="A69" s="27" t="s">
        <v>14</v>
      </c>
      <c r="B69" s="66">
        <f>B9+B20+B30+B40+B50+B60</f>
        <v>2212295900</v>
      </c>
      <c r="C69" s="66">
        <f>C9+C20</f>
        <v>0</v>
      </c>
      <c r="D69" s="66">
        <f t="shared" si="6"/>
        <v>2212295900</v>
      </c>
      <c r="E69" s="87"/>
      <c r="F69" s="79"/>
      <c r="G69" s="74"/>
      <c r="H69" s="7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</row>
    <row r="70" spans="1:137" ht="23.1" customHeight="1">
      <c r="A70" s="27" t="s">
        <v>13</v>
      </c>
      <c r="B70" s="66">
        <f>B10</f>
        <v>56093200</v>
      </c>
      <c r="C70" s="66">
        <f>C10+C21</f>
        <v>0</v>
      </c>
      <c r="D70" s="66">
        <f t="shared" si="6"/>
        <v>56093200</v>
      </c>
      <c r="E70" s="87"/>
      <c r="F70" s="79"/>
      <c r="G70" s="74"/>
      <c r="H70" s="7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</row>
    <row r="71" spans="1:137" ht="23.1" customHeight="1">
      <c r="A71" s="27" t="s">
        <v>24</v>
      </c>
      <c r="B71" s="66">
        <f>B11</f>
        <v>0</v>
      </c>
      <c r="C71" s="66">
        <f>C11</f>
        <v>0</v>
      </c>
      <c r="D71" s="66">
        <f t="shared" si="6"/>
        <v>0</v>
      </c>
      <c r="E71" s="87"/>
      <c r="F71" s="79"/>
      <c r="G71" s="74"/>
      <c r="H71" s="7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</row>
    <row r="72" spans="1:137" s="9" customFormat="1" ht="23.1" customHeight="1">
      <c r="A72" s="23" t="s">
        <v>7</v>
      </c>
      <c r="B72" s="66">
        <f>SUM(B73:B74)</f>
        <v>301514000</v>
      </c>
      <c r="C72" s="66">
        <f>SUM(C73:C74)</f>
        <v>0</v>
      </c>
      <c r="D72" s="66">
        <f t="shared" si="6"/>
        <v>301514000</v>
      </c>
      <c r="E72" s="77"/>
      <c r="F72" s="68" t="e">
        <f>SUM(B72-#REF!)</f>
        <v>#REF!</v>
      </c>
      <c r="G72" s="74" t="e">
        <f>SUM(F72*100/B72)</f>
        <v>#REF!</v>
      </c>
      <c r="H72" s="7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</row>
    <row r="73" spans="1:137" ht="23.1" customHeight="1">
      <c r="A73" s="27" t="s">
        <v>15</v>
      </c>
      <c r="B73" s="66">
        <f t="shared" ref="B73:C75" si="7">B13+B23</f>
        <v>135937000</v>
      </c>
      <c r="C73" s="66">
        <f t="shared" si="7"/>
        <v>0</v>
      </c>
      <c r="D73" s="66">
        <f t="shared" si="6"/>
        <v>135937000</v>
      </c>
      <c r="E73" s="87"/>
      <c r="F73" s="79"/>
      <c r="G73" s="74"/>
      <c r="H73" s="7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</row>
    <row r="74" spans="1:137" ht="23.1" customHeight="1">
      <c r="A74" s="27" t="s">
        <v>16</v>
      </c>
      <c r="B74" s="66">
        <f t="shared" si="7"/>
        <v>165577000</v>
      </c>
      <c r="C74" s="66">
        <f t="shared" si="7"/>
        <v>0</v>
      </c>
      <c r="D74" s="66">
        <f t="shared" si="6"/>
        <v>165577000</v>
      </c>
      <c r="E74" s="88"/>
      <c r="F74" s="89"/>
      <c r="G74" s="90"/>
      <c r="H74" s="91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</row>
    <row r="75" spans="1:137" s="9" customFormat="1" ht="23.1" customHeight="1" thickBot="1">
      <c r="A75" s="28" t="s">
        <v>5</v>
      </c>
      <c r="B75" s="80">
        <f t="shared" si="7"/>
        <v>0</v>
      </c>
      <c r="C75" s="80">
        <f t="shared" si="7"/>
        <v>0</v>
      </c>
      <c r="D75" s="80">
        <f t="shared" si="6"/>
        <v>0</v>
      </c>
      <c r="E75" s="93"/>
      <c r="F75" s="94" t="e">
        <f>SUM(B75-#REF!)</f>
        <v>#REF!</v>
      </c>
      <c r="G75" s="95" t="e">
        <f>SUM(F75*100/B75)</f>
        <v>#REF!</v>
      </c>
      <c r="H75" s="96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</row>
    <row r="76" spans="1:137" ht="22.5" customHeight="1" thickTop="1">
      <c r="B76" s="18">
        <v>3848475800</v>
      </c>
    </row>
    <row r="77" spans="1:137" ht="24" customHeight="1">
      <c r="A77" s="99"/>
      <c r="B77" s="18">
        <f>+B5-B76</f>
        <v>0</v>
      </c>
      <c r="F77" s="18" t="e">
        <f>SUM(F66-1119300700)</f>
        <v>#REF!</v>
      </c>
    </row>
    <row r="78" spans="1:137">
      <c r="D78" s="34"/>
      <c r="E78" s="34"/>
      <c r="F78" s="34" t="s">
        <v>6</v>
      </c>
    </row>
    <row r="79" spans="1:137">
      <c r="D79" s="35"/>
      <c r="E79" s="35"/>
      <c r="F79" s="35"/>
    </row>
    <row r="89" spans="9:9">
      <c r="I89" s="33"/>
    </row>
  </sheetData>
  <mergeCells count="6">
    <mergeCell ref="A2:D2"/>
    <mergeCell ref="A1:D1"/>
    <mergeCell ref="A3:A4"/>
    <mergeCell ref="B3:B4"/>
    <mergeCell ref="C3:C4"/>
    <mergeCell ref="D3:D4"/>
  </mergeCells>
  <phoneticPr fontId="60" type="noConversion"/>
  <printOptions horizontalCentered="1"/>
  <pageMargins left="0.39" right="0.14000000000000001" top="0.5" bottom="0.3" header="0.5" footer="0"/>
  <pageSetup paperSize="5" scale="65" orientation="landscape" verticalDpi="200" r:id="rId1"/>
  <headerFooter alignWithMargins="0">
    <oddFooter>&amp;L&amp;6&amp;D-&amp;T&amp;R&amp;"6,ธรรมดา"&amp;6&amp;Z&amp;F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:AM1272"/>
  <sheetViews>
    <sheetView zoomScale="50" zoomScaleNormal="50" zoomScaleSheetLayoutView="70" zoomScalePageLayoutView="60" workbookViewId="0">
      <pane xSplit="6" ySplit="7" topLeftCell="G1051" activePane="bottomRight" state="frozen"/>
      <selection pane="topRight" activeCell="G1" sqref="G1"/>
      <selection pane="bottomLeft" activeCell="A8" sqref="A8"/>
      <selection pane="bottomRight" activeCell="H1182" sqref="H1182"/>
    </sheetView>
  </sheetViews>
  <sheetFormatPr defaultColWidth="9.140625" defaultRowHeight="26.25"/>
  <cols>
    <col min="1" max="1" width="9.5703125" style="1040" customWidth="1"/>
    <col min="2" max="2" width="110.140625" style="1041" customWidth="1"/>
    <col min="3" max="3" width="22" style="941" hidden="1" customWidth="1"/>
    <col min="4" max="4" width="22.28515625" style="941" hidden="1" customWidth="1"/>
    <col min="5" max="5" width="27.42578125" style="1041" hidden="1" customWidth="1"/>
    <col min="6" max="6" width="14" style="1042" hidden="1" customWidth="1"/>
    <col min="7" max="7" width="29.42578125" style="1043" customWidth="1"/>
    <col min="8" max="8" width="26.85546875" style="1044" customWidth="1"/>
    <col min="9" max="9" width="10.5703125" style="1068" hidden="1" customWidth="1"/>
    <col min="10" max="10" width="23.140625" style="1068" hidden="1" customWidth="1"/>
    <col min="11" max="11" width="26" style="1069" hidden="1" customWidth="1"/>
    <col min="12" max="12" width="4.85546875" style="1068" hidden="1" customWidth="1"/>
    <col min="13" max="13" width="25.42578125" style="1070" hidden="1" customWidth="1"/>
    <col min="14" max="14" width="28.5703125" style="1043" customWidth="1"/>
    <col min="15" max="15" width="22.5703125" style="1043" hidden="1" customWidth="1"/>
    <col min="16" max="16" width="31.140625" style="1043" hidden="1" customWidth="1"/>
    <col min="17" max="17" width="27.85546875" style="1043" customWidth="1"/>
    <col min="18" max="18" width="12.7109375" style="1043" customWidth="1"/>
    <col min="19" max="19" width="25.5703125" style="1045" customWidth="1"/>
    <col min="20" max="20" width="12.7109375" style="1043" customWidth="1"/>
    <col min="21" max="21" width="28.5703125" style="1043" customWidth="1"/>
    <col min="22" max="22" width="12.28515625" style="1043" customWidth="1"/>
    <col min="23" max="23" width="26.28515625" style="1043" customWidth="1"/>
    <col min="24" max="24" width="25.28515625" style="1043" customWidth="1"/>
    <col min="25" max="25" width="23.42578125" style="1042" customWidth="1"/>
    <col min="26" max="26" width="9.140625" style="941" customWidth="1"/>
    <col min="27" max="16384" width="9.140625" style="941"/>
  </cols>
  <sheetData>
    <row r="1" spans="1:25" s="911" customFormat="1" ht="44.25" customHeight="1">
      <c r="A1" s="2169" t="s">
        <v>1245</v>
      </c>
      <c r="B1" s="2169"/>
      <c r="C1" s="2169"/>
      <c r="D1" s="2169"/>
      <c r="E1" s="2169"/>
      <c r="F1" s="2169"/>
      <c r="G1" s="2169"/>
      <c r="H1" s="2169"/>
      <c r="I1" s="2169"/>
      <c r="J1" s="2169"/>
      <c r="K1" s="2169"/>
      <c r="L1" s="2169"/>
      <c r="M1" s="2169"/>
      <c r="N1" s="2169"/>
      <c r="O1" s="2169"/>
      <c r="P1" s="2169"/>
      <c r="Q1" s="2169"/>
      <c r="R1" s="2169"/>
      <c r="S1" s="2169"/>
      <c r="T1" s="2169"/>
      <c r="U1" s="2169"/>
      <c r="V1" s="2169"/>
      <c r="W1" s="2169"/>
      <c r="X1" s="2169"/>
      <c r="Y1" s="910"/>
    </row>
    <row r="2" spans="1:25" s="911" customFormat="1" ht="39.75" customHeight="1">
      <c r="A2" s="2170" t="s">
        <v>4624</v>
      </c>
      <c r="B2" s="2170"/>
      <c r="C2" s="2170"/>
      <c r="D2" s="2170"/>
      <c r="E2" s="2170"/>
      <c r="F2" s="2170"/>
      <c r="G2" s="2170"/>
      <c r="H2" s="2170"/>
      <c r="I2" s="2170"/>
      <c r="J2" s="2170"/>
      <c r="K2" s="2170"/>
      <c r="L2" s="2170"/>
      <c r="M2" s="2170"/>
      <c r="N2" s="2170"/>
      <c r="O2" s="2170"/>
      <c r="P2" s="2170"/>
      <c r="Q2" s="2170"/>
      <c r="R2" s="2170"/>
      <c r="S2" s="2170"/>
      <c r="T2" s="2170"/>
      <c r="U2" s="2170"/>
      <c r="V2" s="2170"/>
      <c r="W2" s="2170"/>
      <c r="X2" s="2170"/>
      <c r="Y2" s="910"/>
    </row>
    <row r="3" spans="1:25" s="914" customFormat="1" ht="59.25" customHeight="1">
      <c r="A3" s="2171" t="s">
        <v>376</v>
      </c>
      <c r="B3" s="2172" t="s">
        <v>899</v>
      </c>
      <c r="C3" s="912"/>
      <c r="D3" s="912"/>
      <c r="E3" s="913"/>
      <c r="F3" s="913"/>
      <c r="G3" s="2173" t="s">
        <v>837</v>
      </c>
      <c r="H3" s="2174"/>
      <c r="I3" s="1073"/>
      <c r="J3" s="2175" t="s">
        <v>1246</v>
      </c>
      <c r="K3" s="2175" t="s">
        <v>1247</v>
      </c>
      <c r="L3" s="2175" t="s">
        <v>1248</v>
      </c>
      <c r="M3" s="2175" t="s">
        <v>1249</v>
      </c>
      <c r="N3" s="2178" t="s">
        <v>4628</v>
      </c>
      <c r="O3" s="2191" t="s">
        <v>3152</v>
      </c>
      <c r="P3" s="2192"/>
      <c r="Q3" s="2192"/>
      <c r="R3" s="2193"/>
      <c r="S3" s="2194" t="s">
        <v>753</v>
      </c>
      <c r="T3" s="2195"/>
      <c r="U3" s="2196" t="s">
        <v>4363</v>
      </c>
      <c r="V3" s="2196"/>
      <c r="W3" s="2178" t="s">
        <v>404</v>
      </c>
      <c r="X3" s="2183" t="s">
        <v>4</v>
      </c>
      <c r="Y3" s="2186" t="s">
        <v>1148</v>
      </c>
    </row>
    <row r="4" spans="1:25" s="914" customFormat="1" ht="17.25" customHeight="1">
      <c r="A4" s="2171"/>
      <c r="B4" s="2172"/>
      <c r="C4" s="915"/>
      <c r="D4" s="915"/>
      <c r="E4" s="2181"/>
      <c r="F4" s="2181"/>
      <c r="G4" s="2183" t="s">
        <v>901</v>
      </c>
      <c r="H4" s="2183" t="s">
        <v>902</v>
      </c>
      <c r="I4" s="2184" t="s">
        <v>2</v>
      </c>
      <c r="J4" s="2176"/>
      <c r="K4" s="2176"/>
      <c r="L4" s="2176"/>
      <c r="M4" s="2176"/>
      <c r="N4" s="2179"/>
      <c r="O4" s="2197">
        <v>23832</v>
      </c>
      <c r="P4" s="2187" t="s">
        <v>4330</v>
      </c>
      <c r="Q4" s="2183" t="s">
        <v>803</v>
      </c>
      <c r="R4" s="2183" t="s">
        <v>12</v>
      </c>
      <c r="S4" s="2189" t="s">
        <v>803</v>
      </c>
      <c r="T4" s="2189" t="s">
        <v>12</v>
      </c>
      <c r="U4" s="2183" t="s">
        <v>803</v>
      </c>
      <c r="V4" s="2183" t="s">
        <v>12</v>
      </c>
      <c r="W4" s="2179"/>
      <c r="X4" s="2183"/>
      <c r="Y4" s="2171"/>
    </row>
    <row r="5" spans="1:25" s="914" customFormat="1" ht="66.75" customHeight="1">
      <c r="A5" s="2171"/>
      <c r="B5" s="2172"/>
      <c r="C5" s="915"/>
      <c r="D5" s="915"/>
      <c r="E5" s="2182"/>
      <c r="F5" s="2182"/>
      <c r="G5" s="2183"/>
      <c r="H5" s="2183"/>
      <c r="I5" s="2185"/>
      <c r="J5" s="2177"/>
      <c r="K5" s="2177"/>
      <c r="L5" s="2177"/>
      <c r="M5" s="2177"/>
      <c r="N5" s="2180"/>
      <c r="O5" s="2188"/>
      <c r="P5" s="2188"/>
      <c r="Q5" s="2183"/>
      <c r="R5" s="2183"/>
      <c r="S5" s="2190"/>
      <c r="T5" s="2190"/>
      <c r="U5" s="2183"/>
      <c r="V5" s="2183"/>
      <c r="W5" s="2180"/>
      <c r="X5" s="2183"/>
      <c r="Y5" s="2171"/>
    </row>
    <row r="6" spans="1:25" s="910" customFormat="1" ht="36" customHeight="1" thickBot="1">
      <c r="A6" s="916"/>
      <c r="B6" s="916" t="s">
        <v>1137</v>
      </c>
      <c r="C6" s="916"/>
      <c r="D6" s="916"/>
      <c r="E6" s="916"/>
      <c r="F6" s="916"/>
      <c r="G6" s="917">
        <f t="shared" ref="G6:L6" si="0">+G7+G116</f>
        <v>374374255.5</v>
      </c>
      <c r="H6" s="917">
        <f t="shared" si="0"/>
        <v>39154800</v>
      </c>
      <c r="I6" s="1049" t="e">
        <f t="shared" si="0"/>
        <v>#REF!</v>
      </c>
      <c r="J6" s="1049">
        <f t="shared" si="0"/>
        <v>36000</v>
      </c>
      <c r="K6" s="1049">
        <f t="shared" si="0"/>
        <v>-21083350.870000005</v>
      </c>
      <c r="L6" s="1049">
        <f t="shared" si="0"/>
        <v>827625</v>
      </c>
      <c r="M6" s="1050">
        <f>+M7</f>
        <v>-834595.40999999992</v>
      </c>
      <c r="N6" s="917">
        <f>N7+N116</f>
        <v>388151349.13000011</v>
      </c>
      <c r="O6" s="917"/>
      <c r="P6" s="917"/>
      <c r="Q6" s="917">
        <f>+Q7+Q116</f>
        <v>305433464.63</v>
      </c>
      <c r="R6" s="917">
        <f t="shared" ref="R6:R69" si="1">+Q6*100/N6</f>
        <v>78.68927038759405</v>
      </c>
      <c r="S6" s="917">
        <f>S7+S116</f>
        <v>71357447.039999992</v>
      </c>
      <c r="T6" s="918">
        <f t="shared" ref="T6:T69" si="2">S6/N6*100</f>
        <v>18.383923487562289</v>
      </c>
      <c r="U6" s="917">
        <f>+U7+U116</f>
        <v>376790911.67000002</v>
      </c>
      <c r="V6" s="917">
        <f>+U6*100/N6</f>
        <v>97.073193875156349</v>
      </c>
      <c r="W6" s="917">
        <f>W7+W116</f>
        <v>3454000</v>
      </c>
      <c r="X6" s="917">
        <f>+N6-U6-W6</f>
        <v>7906437.4600000978</v>
      </c>
      <c r="Y6" s="916"/>
    </row>
    <row r="7" spans="1:25" s="911" customFormat="1" ht="79.5" thickTop="1">
      <c r="A7" s="920"/>
      <c r="B7" s="921" t="s">
        <v>4581</v>
      </c>
      <c r="C7" s="921"/>
      <c r="D7" s="922" t="s">
        <v>3382</v>
      </c>
      <c r="E7" s="921"/>
      <c r="F7" s="923"/>
      <c r="G7" s="924">
        <f>SUM(G8:G84)</f>
        <v>102431055.5</v>
      </c>
      <c r="H7" s="924">
        <f>SUM(H8:H84)</f>
        <v>25984800</v>
      </c>
      <c r="I7" s="1051">
        <f>SUM(I8:I77)</f>
        <v>0</v>
      </c>
      <c r="J7" s="1051">
        <f>SUM(J8:J85)</f>
        <v>36000</v>
      </c>
      <c r="K7" s="1051">
        <f>SUM(K8:K77)</f>
        <v>-409265</v>
      </c>
      <c r="L7" s="1051">
        <f>SUM(L8:L77)</f>
        <v>827625</v>
      </c>
      <c r="M7" s="1052">
        <f>SUM(M8:M95)</f>
        <v>-834595.40999999992</v>
      </c>
      <c r="N7" s="924">
        <f>SUM(N8:N115)</f>
        <v>136882234.99999997</v>
      </c>
      <c r="O7" s="924"/>
      <c r="P7" s="924"/>
      <c r="Q7" s="924">
        <f>SUM(Q8:Q115)</f>
        <v>71742158.590000004</v>
      </c>
      <c r="R7" s="924">
        <f>+Q7*100/N7</f>
        <v>52.41159204479677</v>
      </c>
      <c r="S7" s="925">
        <f>SUM(S8:S115)</f>
        <v>60982878</v>
      </c>
      <c r="T7" s="926">
        <f>S7/N7*100</f>
        <v>44.551345906939652</v>
      </c>
      <c r="U7" s="924">
        <f>SUM(U8:U115)</f>
        <v>132725036.58999999</v>
      </c>
      <c r="V7" s="924">
        <f>+U7*100/N7</f>
        <v>96.962937951736407</v>
      </c>
      <c r="W7" s="924">
        <f>SUM(W8:W115)</f>
        <v>3454000</v>
      </c>
      <c r="X7" s="924">
        <f>+N7-U7-W7</f>
        <v>703198.40999998152</v>
      </c>
      <c r="Y7" s="927"/>
    </row>
    <row r="8" spans="1:25" s="938" customFormat="1" ht="54.75" customHeight="1">
      <c r="A8" s="928">
        <v>1</v>
      </c>
      <c r="B8" s="929" t="s">
        <v>1250</v>
      </c>
      <c r="C8" s="930"/>
      <c r="D8" s="930" t="s">
        <v>3383</v>
      </c>
      <c r="E8" s="931" t="s">
        <v>1251</v>
      </c>
      <c r="F8" s="932" t="s">
        <v>903</v>
      </c>
      <c r="G8" s="933"/>
      <c r="H8" s="934">
        <v>17640000</v>
      </c>
      <c r="I8" s="1053"/>
      <c r="J8" s="1053"/>
      <c r="K8" s="1054"/>
      <c r="L8" s="1053"/>
      <c r="M8" s="1055">
        <v>-759600</v>
      </c>
      <c r="N8" s="933">
        <f t="shared" ref="N8:N22" si="3">+G8+H8+K8+L8+M8</f>
        <v>16880400</v>
      </c>
      <c r="O8" s="933"/>
      <c r="P8" s="933"/>
      <c r="Q8" s="933">
        <v>16880400</v>
      </c>
      <c r="R8" s="933">
        <f t="shared" si="1"/>
        <v>100</v>
      </c>
      <c r="S8" s="935"/>
      <c r="T8" s="933">
        <f t="shared" si="2"/>
        <v>0</v>
      </c>
      <c r="U8" s="933">
        <f t="shared" ref="U8:U70" si="4">+Q8+S8</f>
        <v>16880400</v>
      </c>
      <c r="V8" s="933">
        <f>U8/N8*100</f>
        <v>100</v>
      </c>
      <c r="W8" s="933"/>
      <c r="X8" s="933">
        <f t="shared" ref="X8:X71" si="5">+N8-U8</f>
        <v>0</v>
      </c>
      <c r="Y8" s="936" t="s">
        <v>903</v>
      </c>
    </row>
    <row r="9" spans="1:25" ht="34.5" customHeight="1">
      <c r="A9" s="939">
        <v>2</v>
      </c>
      <c r="B9" s="940" t="s">
        <v>1252</v>
      </c>
      <c r="D9" s="942" t="s">
        <v>3384</v>
      </c>
      <c r="E9" s="943" t="s">
        <v>1253</v>
      </c>
      <c r="F9" s="936" t="s">
        <v>867</v>
      </c>
      <c r="G9" s="944"/>
      <c r="H9" s="945">
        <v>5550000</v>
      </c>
      <c r="I9" s="1056"/>
      <c r="J9" s="1056"/>
      <c r="K9" s="1057"/>
      <c r="L9" s="1056"/>
      <c r="M9" s="1058"/>
      <c r="N9" s="944">
        <f t="shared" si="3"/>
        <v>5550000</v>
      </c>
      <c r="O9" s="944"/>
      <c r="P9" s="944"/>
      <c r="Q9" s="944">
        <v>5550000</v>
      </c>
      <c r="R9" s="944">
        <f t="shared" si="1"/>
        <v>100</v>
      </c>
      <c r="S9" s="946">
        <v>0</v>
      </c>
      <c r="T9" s="944">
        <f t="shared" si="2"/>
        <v>0</v>
      </c>
      <c r="U9" s="944">
        <f t="shared" si="4"/>
        <v>5550000</v>
      </c>
      <c r="V9" s="944">
        <f t="shared" ref="V9:V72" si="6">+U9*100/N9</f>
        <v>100</v>
      </c>
      <c r="W9" s="944"/>
      <c r="X9" s="944">
        <f t="shared" si="5"/>
        <v>0</v>
      </c>
      <c r="Y9" s="936" t="s">
        <v>867</v>
      </c>
    </row>
    <row r="10" spans="1:25" s="950" customFormat="1" ht="34.5" customHeight="1">
      <c r="A10" s="939">
        <v>3</v>
      </c>
      <c r="B10" s="947" t="s">
        <v>1254</v>
      </c>
      <c r="C10" s="930"/>
      <c r="D10" s="948" t="s">
        <v>3385</v>
      </c>
      <c r="E10" s="943" t="s">
        <v>1255</v>
      </c>
      <c r="F10" s="949" t="s">
        <v>867</v>
      </c>
      <c r="G10" s="944"/>
      <c r="H10" s="945">
        <v>2568000</v>
      </c>
      <c r="I10" s="1056"/>
      <c r="J10" s="1056"/>
      <c r="K10" s="1057"/>
      <c r="L10" s="1056"/>
      <c r="M10" s="1058"/>
      <c r="N10" s="944">
        <f t="shared" si="3"/>
        <v>2568000</v>
      </c>
      <c r="O10" s="944"/>
      <c r="P10" s="944"/>
      <c r="Q10" s="944">
        <v>2568000</v>
      </c>
      <c r="R10" s="944">
        <f>+Q10*100/N10</f>
        <v>100</v>
      </c>
      <c r="S10" s="946"/>
      <c r="T10" s="944">
        <f t="shared" si="2"/>
        <v>0</v>
      </c>
      <c r="U10" s="944">
        <f>+Q10+S10</f>
        <v>2568000</v>
      </c>
      <c r="V10" s="944">
        <f t="shared" si="6"/>
        <v>100</v>
      </c>
      <c r="W10" s="944"/>
      <c r="X10" s="944">
        <f t="shared" si="5"/>
        <v>0</v>
      </c>
      <c r="Y10" s="936" t="s">
        <v>867</v>
      </c>
    </row>
    <row r="11" spans="1:25" s="950" customFormat="1" ht="54" customHeight="1">
      <c r="A11" s="939">
        <v>4</v>
      </c>
      <c r="B11" s="947" t="s">
        <v>1262</v>
      </c>
      <c r="C11" s="930"/>
      <c r="D11" s="948" t="s">
        <v>3386</v>
      </c>
      <c r="E11" s="943" t="s">
        <v>1263</v>
      </c>
      <c r="F11" s="949" t="s">
        <v>866</v>
      </c>
      <c r="G11" s="944">
        <v>4200000</v>
      </c>
      <c r="H11" s="945"/>
      <c r="I11" s="1056"/>
      <c r="J11" s="1056"/>
      <c r="K11" s="1057"/>
      <c r="L11" s="1056"/>
      <c r="M11" s="1058"/>
      <c r="N11" s="944">
        <f t="shared" si="3"/>
        <v>4200000</v>
      </c>
      <c r="O11" s="944"/>
      <c r="P11" s="944"/>
      <c r="Q11" s="944">
        <v>4200000</v>
      </c>
      <c r="R11" s="944">
        <f t="shared" si="1"/>
        <v>100</v>
      </c>
      <c r="S11" s="946"/>
      <c r="T11" s="944">
        <f t="shared" si="2"/>
        <v>0</v>
      </c>
      <c r="U11" s="944">
        <f t="shared" si="4"/>
        <v>4200000</v>
      </c>
      <c r="V11" s="944">
        <f t="shared" si="6"/>
        <v>100</v>
      </c>
      <c r="W11" s="944"/>
      <c r="X11" s="944">
        <f t="shared" si="5"/>
        <v>0</v>
      </c>
      <c r="Y11" s="936" t="s">
        <v>866</v>
      </c>
    </row>
    <row r="12" spans="1:25" s="950" customFormat="1" ht="57.75" customHeight="1" thickBot="1">
      <c r="A12" s="939">
        <v>5</v>
      </c>
      <c r="B12" s="947" t="s">
        <v>4582</v>
      </c>
      <c r="C12" s="930"/>
      <c r="D12" s="951" t="s">
        <v>4583</v>
      </c>
      <c r="E12" s="943" t="s">
        <v>1268</v>
      </c>
      <c r="F12" s="949" t="s">
        <v>866</v>
      </c>
      <c r="G12" s="952">
        <v>3750000</v>
      </c>
      <c r="H12" s="953"/>
      <c r="I12" s="1056"/>
      <c r="J12" s="1056"/>
      <c r="K12" s="1057"/>
      <c r="L12" s="1056"/>
      <c r="M12" s="1058"/>
      <c r="N12" s="944">
        <f t="shared" si="3"/>
        <v>3750000</v>
      </c>
      <c r="O12" s="944"/>
      <c r="P12" s="944"/>
      <c r="Q12" s="944">
        <v>0</v>
      </c>
      <c r="R12" s="944">
        <f t="shared" si="1"/>
        <v>0</v>
      </c>
      <c r="S12" s="946">
        <v>3750000</v>
      </c>
      <c r="T12" s="944">
        <f t="shared" si="2"/>
        <v>100</v>
      </c>
      <c r="U12" s="944">
        <f t="shared" si="4"/>
        <v>3750000</v>
      </c>
      <c r="V12" s="944">
        <f t="shared" si="6"/>
        <v>100</v>
      </c>
      <c r="W12" s="944"/>
      <c r="X12" s="944">
        <f t="shared" si="5"/>
        <v>0</v>
      </c>
      <c r="Y12" s="936" t="s">
        <v>866</v>
      </c>
    </row>
    <row r="13" spans="1:25" s="950" customFormat="1" ht="32.25" customHeight="1" thickBot="1">
      <c r="A13" s="939">
        <v>6</v>
      </c>
      <c r="B13" s="947" t="s">
        <v>1300</v>
      </c>
      <c r="C13" s="930"/>
      <c r="D13" s="954" t="s">
        <v>4584</v>
      </c>
      <c r="E13" s="943" t="s">
        <v>1301</v>
      </c>
      <c r="F13" s="949" t="s">
        <v>866</v>
      </c>
      <c r="G13" s="944">
        <f>4407265-27455</f>
        <v>4379810</v>
      </c>
      <c r="H13" s="945"/>
      <c r="I13" s="1056"/>
      <c r="J13" s="1056"/>
      <c r="K13" s="1057">
        <v>-381810</v>
      </c>
      <c r="L13" s="1056"/>
      <c r="M13" s="1058"/>
      <c r="N13" s="944">
        <f>+G13+H13+K13+L13+M13</f>
        <v>3998000</v>
      </c>
      <c r="O13" s="944"/>
      <c r="P13" s="944"/>
      <c r="Q13" s="944">
        <v>999500</v>
      </c>
      <c r="R13" s="944">
        <f t="shared" si="1"/>
        <v>25</v>
      </c>
      <c r="S13" s="946">
        <v>2998500</v>
      </c>
      <c r="T13" s="944">
        <f t="shared" si="2"/>
        <v>75</v>
      </c>
      <c r="U13" s="944">
        <f t="shared" si="4"/>
        <v>3998000</v>
      </c>
      <c r="V13" s="944">
        <f t="shared" si="6"/>
        <v>100</v>
      </c>
      <c r="W13" s="944"/>
      <c r="X13" s="944">
        <f t="shared" si="5"/>
        <v>0</v>
      </c>
      <c r="Y13" s="936" t="s">
        <v>866</v>
      </c>
    </row>
    <row r="14" spans="1:25" s="950" customFormat="1" ht="30.75" customHeight="1">
      <c r="A14" s="939">
        <v>7</v>
      </c>
      <c r="B14" s="947" t="s">
        <v>1320</v>
      </c>
      <c r="C14" s="930"/>
      <c r="D14" s="939" t="s">
        <v>3387</v>
      </c>
      <c r="E14" s="943" t="s">
        <v>1321</v>
      </c>
      <c r="F14" s="949" t="s">
        <v>866</v>
      </c>
      <c r="G14" s="944">
        <v>5747000</v>
      </c>
      <c r="H14" s="945"/>
      <c r="I14" s="1056"/>
      <c r="J14" s="1056"/>
      <c r="K14" s="1057"/>
      <c r="L14" s="1056"/>
      <c r="M14" s="1058"/>
      <c r="N14" s="944">
        <f t="shared" si="3"/>
        <v>5747000</v>
      </c>
      <c r="O14" s="944"/>
      <c r="P14" s="944"/>
      <c r="Q14" s="944">
        <v>1724100</v>
      </c>
      <c r="R14" s="944">
        <f t="shared" si="1"/>
        <v>30</v>
      </c>
      <c r="S14" s="946">
        <v>4022900</v>
      </c>
      <c r="T14" s="944">
        <f t="shared" si="2"/>
        <v>70</v>
      </c>
      <c r="U14" s="944">
        <f t="shared" si="4"/>
        <v>5747000</v>
      </c>
      <c r="V14" s="944">
        <f t="shared" si="6"/>
        <v>100</v>
      </c>
      <c r="W14" s="944"/>
      <c r="X14" s="944">
        <f t="shared" si="5"/>
        <v>0</v>
      </c>
      <c r="Y14" s="936" t="s">
        <v>866</v>
      </c>
    </row>
    <row r="15" spans="1:25" s="950" customFormat="1" ht="29.25" customHeight="1">
      <c r="A15" s="939">
        <v>8</v>
      </c>
      <c r="B15" s="947" t="s">
        <v>1322</v>
      </c>
      <c r="C15" s="930"/>
      <c r="D15" s="948" t="s">
        <v>3388</v>
      </c>
      <c r="E15" s="943" t="s">
        <v>1323</v>
      </c>
      <c r="F15" s="949" t="s">
        <v>866</v>
      </c>
      <c r="G15" s="944">
        <f>'[3]46'!I183-519520</f>
        <v>4348480</v>
      </c>
      <c r="H15" s="945"/>
      <c r="I15" s="1056"/>
      <c r="J15" s="1056"/>
      <c r="K15" s="1057"/>
      <c r="L15" s="1056"/>
      <c r="M15" s="1058"/>
      <c r="N15" s="944">
        <f>+G15+H15+K15+L15+M15</f>
        <v>4348480</v>
      </c>
      <c r="O15" s="944"/>
      <c r="P15" s="944"/>
      <c r="Q15" s="944">
        <v>1304544</v>
      </c>
      <c r="R15" s="944">
        <f t="shared" si="1"/>
        <v>30</v>
      </c>
      <c r="S15" s="946">
        <v>3043936</v>
      </c>
      <c r="T15" s="944">
        <f t="shared" si="2"/>
        <v>70</v>
      </c>
      <c r="U15" s="944">
        <f t="shared" si="4"/>
        <v>4348480</v>
      </c>
      <c r="V15" s="944">
        <f t="shared" si="6"/>
        <v>100</v>
      </c>
      <c r="W15" s="944"/>
      <c r="X15" s="944">
        <f t="shared" si="5"/>
        <v>0</v>
      </c>
      <c r="Y15" s="936" t="s">
        <v>866</v>
      </c>
    </row>
    <row r="16" spans="1:25" s="950" customFormat="1" ht="29.25" customHeight="1">
      <c r="A16" s="939">
        <v>9</v>
      </c>
      <c r="B16" s="947" t="s">
        <v>1326</v>
      </c>
      <c r="C16" s="930"/>
      <c r="D16" s="948" t="s">
        <v>3389</v>
      </c>
      <c r="E16" s="943" t="s">
        <v>1327</v>
      </c>
      <c r="F16" s="949" t="s">
        <v>866</v>
      </c>
      <c r="G16" s="952">
        <f>'[3]46'!I189-190000</f>
        <v>2960000</v>
      </c>
      <c r="H16" s="953"/>
      <c r="I16" s="1056"/>
      <c r="J16" s="1056"/>
      <c r="K16" s="1057"/>
      <c r="L16" s="1056"/>
      <c r="M16" s="1058"/>
      <c r="N16" s="944">
        <f t="shared" si="3"/>
        <v>2960000</v>
      </c>
      <c r="O16" s="944"/>
      <c r="P16" s="944"/>
      <c r="Q16" s="944">
        <v>1332000</v>
      </c>
      <c r="R16" s="944">
        <f t="shared" si="1"/>
        <v>45</v>
      </c>
      <c r="S16" s="946">
        <v>1628000</v>
      </c>
      <c r="T16" s="944">
        <f t="shared" si="2"/>
        <v>55.000000000000007</v>
      </c>
      <c r="U16" s="944">
        <f t="shared" si="4"/>
        <v>2960000</v>
      </c>
      <c r="V16" s="944">
        <f t="shared" si="6"/>
        <v>100</v>
      </c>
      <c r="W16" s="944"/>
      <c r="X16" s="944">
        <f t="shared" si="5"/>
        <v>0</v>
      </c>
      <c r="Y16" s="936" t="s">
        <v>866</v>
      </c>
    </row>
    <row r="17" spans="1:25" ht="29.25" customHeight="1">
      <c r="A17" s="939">
        <v>10</v>
      </c>
      <c r="B17" s="947" t="s">
        <v>1329</v>
      </c>
      <c r="C17" s="930"/>
      <c r="D17" s="948" t="s">
        <v>3390</v>
      </c>
      <c r="E17" s="943" t="s">
        <v>1330</v>
      </c>
      <c r="F17" s="949" t="s">
        <v>866</v>
      </c>
      <c r="G17" s="944">
        <v>1064000</v>
      </c>
      <c r="H17" s="945"/>
      <c r="I17" s="1056"/>
      <c r="J17" s="1056"/>
      <c r="K17" s="1057"/>
      <c r="L17" s="1056"/>
      <c r="M17" s="1058"/>
      <c r="N17" s="944">
        <f t="shared" si="3"/>
        <v>1064000</v>
      </c>
      <c r="O17" s="944"/>
      <c r="P17" s="944"/>
      <c r="Q17" s="944">
        <v>1064000</v>
      </c>
      <c r="R17" s="944">
        <f t="shared" si="1"/>
        <v>100</v>
      </c>
      <c r="S17" s="946"/>
      <c r="T17" s="944">
        <f t="shared" si="2"/>
        <v>0</v>
      </c>
      <c r="U17" s="944">
        <f t="shared" si="4"/>
        <v>1064000</v>
      </c>
      <c r="V17" s="944">
        <f t="shared" si="6"/>
        <v>100</v>
      </c>
      <c r="W17" s="944"/>
      <c r="X17" s="944">
        <f t="shared" si="5"/>
        <v>0</v>
      </c>
      <c r="Y17" s="936" t="s">
        <v>866</v>
      </c>
    </row>
    <row r="18" spans="1:25" ht="29.25" customHeight="1">
      <c r="A18" s="939">
        <v>11</v>
      </c>
      <c r="B18" s="947" t="s">
        <v>1337</v>
      </c>
      <c r="C18" s="930"/>
      <c r="D18" s="948" t="s">
        <v>3391</v>
      </c>
      <c r="E18" s="943" t="s">
        <v>1338</v>
      </c>
      <c r="F18" s="949" t="s">
        <v>866</v>
      </c>
      <c r="G18" s="944">
        <v>2617455</v>
      </c>
      <c r="H18" s="945"/>
      <c r="I18" s="1056"/>
      <c r="J18" s="1056"/>
      <c r="K18" s="1057">
        <v>-27455</v>
      </c>
      <c r="L18" s="1056"/>
      <c r="M18" s="1058"/>
      <c r="N18" s="944">
        <f t="shared" si="3"/>
        <v>2590000</v>
      </c>
      <c r="O18" s="944"/>
      <c r="P18" s="944"/>
      <c r="Q18" s="944">
        <v>2590000</v>
      </c>
      <c r="R18" s="944">
        <f t="shared" si="1"/>
        <v>100</v>
      </c>
      <c r="S18" s="946"/>
      <c r="T18" s="944">
        <f t="shared" si="2"/>
        <v>0</v>
      </c>
      <c r="U18" s="944">
        <f t="shared" si="4"/>
        <v>2590000</v>
      </c>
      <c r="V18" s="944">
        <f t="shared" si="6"/>
        <v>100</v>
      </c>
      <c r="W18" s="944"/>
      <c r="X18" s="944">
        <f t="shared" si="5"/>
        <v>0</v>
      </c>
      <c r="Y18" s="936" t="s">
        <v>866</v>
      </c>
    </row>
    <row r="19" spans="1:25" ht="29.25" customHeight="1">
      <c r="A19" s="939">
        <v>12</v>
      </c>
      <c r="B19" s="947" t="s">
        <v>1339</v>
      </c>
      <c r="C19" s="930"/>
      <c r="D19" s="948" t="s">
        <v>3392</v>
      </c>
      <c r="E19" s="943" t="s">
        <v>1340</v>
      </c>
      <c r="F19" s="949" t="s">
        <v>866</v>
      </c>
      <c r="G19" s="944">
        <f>3345000-35935.43-34064.57</f>
        <v>3275000</v>
      </c>
      <c r="H19" s="945"/>
      <c r="I19" s="1056"/>
      <c r="J19" s="1056"/>
      <c r="K19" s="1057"/>
      <c r="L19" s="1056"/>
      <c r="M19" s="1058">
        <f>-70000+35935.43+34064.57</f>
        <v>0</v>
      </c>
      <c r="N19" s="944">
        <f t="shared" si="3"/>
        <v>3275000</v>
      </c>
      <c r="O19" s="944"/>
      <c r="P19" s="944"/>
      <c r="Q19" s="944">
        <v>3275000</v>
      </c>
      <c r="R19" s="944">
        <f t="shared" si="1"/>
        <v>100</v>
      </c>
      <c r="S19" s="946"/>
      <c r="T19" s="944">
        <f t="shared" si="2"/>
        <v>0</v>
      </c>
      <c r="U19" s="944">
        <f t="shared" si="4"/>
        <v>3275000</v>
      </c>
      <c r="V19" s="944">
        <f t="shared" si="6"/>
        <v>100</v>
      </c>
      <c r="W19" s="944"/>
      <c r="X19" s="944">
        <f t="shared" si="5"/>
        <v>0</v>
      </c>
      <c r="Y19" s="936" t="s">
        <v>866</v>
      </c>
    </row>
    <row r="20" spans="1:25" s="950" customFormat="1" ht="65.25" customHeight="1">
      <c r="A20" s="939">
        <v>13</v>
      </c>
      <c r="B20" s="947" t="s">
        <v>1370</v>
      </c>
      <c r="C20" s="930"/>
      <c r="D20" s="948" t="s">
        <v>3393</v>
      </c>
      <c r="E20" s="943" t="s">
        <v>1371</v>
      </c>
      <c r="F20" s="949" t="s">
        <v>866</v>
      </c>
      <c r="G20" s="952">
        <v>12580000</v>
      </c>
      <c r="H20" s="953"/>
      <c r="I20" s="1056"/>
      <c r="J20" s="1056"/>
      <c r="K20" s="1057"/>
      <c r="L20" s="1056"/>
      <c r="M20" s="1058"/>
      <c r="N20" s="944">
        <f t="shared" si="3"/>
        <v>12580000</v>
      </c>
      <c r="O20" s="944"/>
      <c r="P20" s="944"/>
      <c r="Q20" s="944">
        <v>2390200</v>
      </c>
      <c r="R20" s="944">
        <f t="shared" si="1"/>
        <v>19</v>
      </c>
      <c r="S20" s="946">
        <v>10189800</v>
      </c>
      <c r="T20" s="944">
        <f t="shared" si="2"/>
        <v>81</v>
      </c>
      <c r="U20" s="944">
        <f t="shared" si="4"/>
        <v>12580000</v>
      </c>
      <c r="V20" s="944">
        <f t="shared" si="6"/>
        <v>100</v>
      </c>
      <c r="W20" s="944"/>
      <c r="X20" s="944">
        <f t="shared" si="5"/>
        <v>0</v>
      </c>
      <c r="Y20" s="936" t="s">
        <v>866</v>
      </c>
    </row>
    <row r="21" spans="1:25" s="950" customFormat="1" ht="32.25" customHeight="1">
      <c r="A21" s="939">
        <v>14</v>
      </c>
      <c r="B21" s="947" t="s">
        <v>1372</v>
      </c>
      <c r="C21" s="930"/>
      <c r="D21" s="948" t="s">
        <v>3394</v>
      </c>
      <c r="E21" s="943" t="s">
        <v>1373</v>
      </c>
      <c r="F21" s="949" t="s">
        <v>866</v>
      </c>
      <c r="G21" s="952">
        <f>11882135-2135</f>
        <v>11880000</v>
      </c>
      <c r="H21" s="953"/>
      <c r="I21" s="1056"/>
      <c r="J21" s="1056"/>
      <c r="K21" s="1057"/>
      <c r="L21" s="1056"/>
      <c r="M21" s="1058"/>
      <c r="N21" s="944">
        <f t="shared" si="3"/>
        <v>11880000</v>
      </c>
      <c r="O21" s="944"/>
      <c r="P21" s="944"/>
      <c r="Q21" s="944">
        <v>3564000</v>
      </c>
      <c r="R21" s="944">
        <f t="shared" si="1"/>
        <v>30</v>
      </c>
      <c r="S21" s="946">
        <v>8316000</v>
      </c>
      <c r="T21" s="944">
        <f t="shared" si="2"/>
        <v>70</v>
      </c>
      <c r="U21" s="944">
        <f t="shared" si="4"/>
        <v>11880000</v>
      </c>
      <c r="V21" s="944">
        <f t="shared" si="6"/>
        <v>100</v>
      </c>
      <c r="W21" s="944"/>
      <c r="X21" s="944">
        <f t="shared" si="5"/>
        <v>0</v>
      </c>
      <c r="Y21" s="936" t="s">
        <v>866</v>
      </c>
    </row>
    <row r="22" spans="1:25" s="950" customFormat="1" ht="32.25" customHeight="1">
      <c r="A22" s="939">
        <v>15</v>
      </c>
      <c r="B22" s="947" t="s">
        <v>1374</v>
      </c>
      <c r="C22" s="930"/>
      <c r="D22" s="955" t="s">
        <v>3395</v>
      </c>
      <c r="E22" s="943" t="s">
        <v>1375</v>
      </c>
      <c r="F22" s="949" t="s">
        <v>866</v>
      </c>
      <c r="G22" s="944">
        <f>'[3]46'!I264-231429.57-133500-328000-475117-416680-207200-124310-129400-170200-50000</f>
        <v>14970163.43</v>
      </c>
      <c r="H22" s="945"/>
      <c r="I22" s="1056"/>
      <c r="J22" s="1056"/>
      <c r="K22" s="1057"/>
      <c r="L22" s="1056"/>
      <c r="M22" s="1058">
        <f>-2266000+231429.57+133500+328000+475117+416680+207200+124310+129400+170200+50000</f>
        <v>-163.42999999993481</v>
      </c>
      <c r="N22" s="944">
        <f t="shared" si="3"/>
        <v>14970000</v>
      </c>
      <c r="O22" s="944"/>
      <c r="P22" s="944"/>
      <c r="Q22" s="944">
        <v>0</v>
      </c>
      <c r="R22" s="944">
        <f t="shared" si="1"/>
        <v>0</v>
      </c>
      <c r="S22" s="946">
        <v>14970000</v>
      </c>
      <c r="T22" s="944">
        <f t="shared" si="2"/>
        <v>100</v>
      </c>
      <c r="U22" s="944">
        <f t="shared" si="4"/>
        <v>14970000</v>
      </c>
      <c r="V22" s="944">
        <f t="shared" si="6"/>
        <v>100</v>
      </c>
      <c r="W22" s="944"/>
      <c r="X22" s="944">
        <f t="shared" si="5"/>
        <v>0</v>
      </c>
      <c r="Y22" s="936" t="s">
        <v>866</v>
      </c>
    </row>
    <row r="23" spans="1:25" ht="32.25" customHeight="1">
      <c r="A23" s="939">
        <v>16</v>
      </c>
      <c r="B23" s="947" t="s">
        <v>3355</v>
      </c>
      <c r="C23" s="930"/>
      <c r="D23" s="956" t="s">
        <v>4560</v>
      </c>
      <c r="E23" s="943" t="s">
        <v>3356</v>
      </c>
      <c r="F23" s="949" t="s">
        <v>866</v>
      </c>
      <c r="G23" s="944"/>
      <c r="H23" s="945"/>
      <c r="I23" s="1056"/>
      <c r="J23" s="1056"/>
      <c r="K23" s="1057"/>
      <c r="L23" s="1056">
        <v>264825</v>
      </c>
      <c r="M23" s="1058"/>
      <c r="N23" s="944">
        <f>+G23+H23+K23+M23+L23</f>
        <v>264825</v>
      </c>
      <c r="O23" s="944"/>
      <c r="P23" s="944"/>
      <c r="Q23" s="944">
        <v>264825</v>
      </c>
      <c r="R23" s="944">
        <f t="shared" si="1"/>
        <v>100</v>
      </c>
      <c r="S23" s="946"/>
      <c r="T23" s="944">
        <f t="shared" si="2"/>
        <v>0</v>
      </c>
      <c r="U23" s="944">
        <f t="shared" si="4"/>
        <v>264825</v>
      </c>
      <c r="V23" s="944">
        <f t="shared" si="6"/>
        <v>100</v>
      </c>
      <c r="W23" s="944"/>
      <c r="X23" s="944">
        <f t="shared" si="5"/>
        <v>0</v>
      </c>
      <c r="Y23" s="936" t="s">
        <v>866</v>
      </c>
    </row>
    <row r="24" spans="1:25" ht="31.5" customHeight="1">
      <c r="A24" s="939">
        <v>17</v>
      </c>
      <c r="B24" s="947" t="s">
        <v>3357</v>
      </c>
      <c r="C24" s="930"/>
      <c r="D24" s="956" t="s">
        <v>4561</v>
      </c>
      <c r="E24" s="943" t="s">
        <v>3358</v>
      </c>
      <c r="F24" s="949" t="s">
        <v>866</v>
      </c>
      <c r="G24" s="944"/>
      <c r="H24" s="945"/>
      <c r="I24" s="1056"/>
      <c r="J24" s="1056"/>
      <c r="K24" s="1057"/>
      <c r="L24" s="1056">
        <v>562800</v>
      </c>
      <c r="M24" s="1058"/>
      <c r="N24" s="944">
        <v>562800</v>
      </c>
      <c r="O24" s="944"/>
      <c r="P24" s="944"/>
      <c r="Q24" s="944">
        <v>562800</v>
      </c>
      <c r="R24" s="944">
        <f t="shared" si="1"/>
        <v>100</v>
      </c>
      <c r="S24" s="946"/>
      <c r="T24" s="944">
        <f t="shared" si="2"/>
        <v>0</v>
      </c>
      <c r="U24" s="944">
        <f t="shared" si="4"/>
        <v>562800</v>
      </c>
      <c r="V24" s="944">
        <f t="shared" si="6"/>
        <v>100</v>
      </c>
      <c r="W24" s="944"/>
      <c r="X24" s="944">
        <f t="shared" si="5"/>
        <v>0</v>
      </c>
      <c r="Y24" s="936" t="s">
        <v>866</v>
      </c>
    </row>
    <row r="25" spans="1:25" s="950" customFormat="1" ht="29.25" customHeight="1">
      <c r="A25" s="939">
        <v>18</v>
      </c>
      <c r="B25" s="947" t="s">
        <v>1256</v>
      </c>
      <c r="C25" s="930"/>
      <c r="D25" s="957" t="s">
        <v>3396</v>
      </c>
      <c r="E25" s="943" t="s">
        <v>1257</v>
      </c>
      <c r="F25" s="949" t="s">
        <v>1168</v>
      </c>
      <c r="G25" s="952">
        <f>'[3]46'!I75</f>
        <v>2141000</v>
      </c>
      <c r="H25" s="953"/>
      <c r="I25" s="1056"/>
      <c r="J25" s="1056"/>
      <c r="K25" s="1057"/>
      <c r="L25" s="1056"/>
      <c r="M25" s="1058"/>
      <c r="N25" s="944">
        <f t="shared" ref="N25:N88" si="7">+G25+H25+K25+L25+M25</f>
        <v>2141000</v>
      </c>
      <c r="O25" s="944"/>
      <c r="P25" s="944"/>
      <c r="Q25" s="944">
        <v>0</v>
      </c>
      <c r="R25" s="944">
        <f t="shared" si="1"/>
        <v>0</v>
      </c>
      <c r="S25" s="946">
        <v>1792886</v>
      </c>
      <c r="T25" s="944">
        <f t="shared" si="2"/>
        <v>83.740588510042031</v>
      </c>
      <c r="U25" s="944">
        <f t="shared" si="4"/>
        <v>1792886</v>
      </c>
      <c r="V25" s="944">
        <f t="shared" si="6"/>
        <v>83.740588510042031</v>
      </c>
      <c r="W25" s="944"/>
      <c r="X25" s="944">
        <f t="shared" si="5"/>
        <v>348114</v>
      </c>
      <c r="Y25" s="936" t="s">
        <v>1168</v>
      </c>
    </row>
    <row r="26" spans="1:25" s="950" customFormat="1" ht="33.75" customHeight="1">
      <c r="A26" s="939" t="s">
        <v>4625</v>
      </c>
      <c r="B26" s="958" t="s">
        <v>2834</v>
      </c>
      <c r="C26" s="959"/>
      <c r="D26" s="960" t="s">
        <v>3397</v>
      </c>
      <c r="E26" s="943" t="s">
        <v>1258</v>
      </c>
      <c r="F26" s="961" t="s">
        <v>1168</v>
      </c>
      <c r="G26" s="952">
        <f>'[3]46'!I78</f>
        <v>1604000</v>
      </c>
      <c r="H26" s="953"/>
      <c r="I26" s="1056"/>
      <c r="J26" s="1056"/>
      <c r="K26" s="1057"/>
      <c r="L26" s="1056"/>
      <c r="M26" s="1058"/>
      <c r="N26" s="944">
        <f t="shared" si="7"/>
        <v>1604000</v>
      </c>
      <c r="O26" s="944"/>
      <c r="P26" s="944"/>
      <c r="Q26" s="944">
        <v>0</v>
      </c>
      <c r="R26" s="944">
        <f t="shared" si="1"/>
        <v>0</v>
      </c>
      <c r="S26" s="946">
        <v>1412886</v>
      </c>
      <c r="T26" s="944">
        <f t="shared" si="2"/>
        <v>88.085162094763092</v>
      </c>
      <c r="U26" s="944">
        <f t="shared" si="4"/>
        <v>1412886</v>
      </c>
      <c r="V26" s="944">
        <f t="shared" si="6"/>
        <v>88.085162094763092</v>
      </c>
      <c r="W26" s="944"/>
      <c r="X26" s="944">
        <f t="shared" si="5"/>
        <v>191114</v>
      </c>
      <c r="Y26" s="936" t="s">
        <v>1168</v>
      </c>
    </row>
    <row r="27" spans="1:25" s="938" customFormat="1" ht="55.5" customHeight="1">
      <c r="A27" s="1081">
        <v>20</v>
      </c>
      <c r="B27" s="1082" t="s">
        <v>2835</v>
      </c>
      <c r="C27" s="1091"/>
      <c r="D27" s="1083" t="s">
        <v>3398</v>
      </c>
      <c r="E27" s="1085" t="s">
        <v>1363</v>
      </c>
      <c r="F27" s="1086" t="s">
        <v>1168</v>
      </c>
      <c r="G27" s="1092">
        <f>'[3]46'!I246-4300000-544927-186080-265500-56700-396793</f>
        <v>0</v>
      </c>
      <c r="H27" s="1093"/>
      <c r="I27" s="1056"/>
      <c r="J27" s="1056" t="s">
        <v>3354</v>
      </c>
      <c r="K27" s="1057"/>
      <c r="L27" s="1056"/>
      <c r="M27" s="1058">
        <f>-1450000+544927+186080+265500+56700+396793</f>
        <v>0</v>
      </c>
      <c r="N27" s="1087">
        <f>+G27+H27+K27+L27+M27</f>
        <v>0</v>
      </c>
      <c r="O27" s="1087"/>
      <c r="P27" s="1087"/>
      <c r="Q27" s="1087">
        <v>0</v>
      </c>
      <c r="R27" s="1087"/>
      <c r="S27" s="1088">
        <v>0</v>
      </c>
      <c r="T27" s="1087"/>
      <c r="U27" s="1087">
        <f t="shared" si="4"/>
        <v>0</v>
      </c>
      <c r="V27" s="1087"/>
      <c r="W27" s="1087"/>
      <c r="X27" s="1087">
        <f t="shared" si="5"/>
        <v>0</v>
      </c>
      <c r="Y27" s="1090" t="s">
        <v>1168</v>
      </c>
    </row>
    <row r="28" spans="1:25" s="950" customFormat="1" ht="32.25" customHeight="1">
      <c r="A28" s="939">
        <v>21</v>
      </c>
      <c r="B28" s="958" t="s">
        <v>1264</v>
      </c>
      <c r="C28" s="959"/>
      <c r="D28" s="960" t="s">
        <v>3399</v>
      </c>
      <c r="E28" s="943" t="s">
        <v>1265</v>
      </c>
      <c r="F28" s="961" t="s">
        <v>1168</v>
      </c>
      <c r="G28" s="952">
        <f>'[3]46'!I90</f>
        <v>572000</v>
      </c>
      <c r="H28" s="945"/>
      <c r="I28" s="1056"/>
      <c r="J28" s="1056"/>
      <c r="K28" s="1057"/>
      <c r="L28" s="1056"/>
      <c r="M28" s="1058"/>
      <c r="N28" s="944">
        <f t="shared" si="7"/>
        <v>572000</v>
      </c>
      <c r="O28" s="944"/>
      <c r="P28" s="944"/>
      <c r="Q28" s="944">
        <v>0</v>
      </c>
      <c r="R28" s="944">
        <f t="shared" si="1"/>
        <v>0</v>
      </c>
      <c r="S28" s="946">
        <v>490000</v>
      </c>
      <c r="T28" s="944">
        <f t="shared" si="2"/>
        <v>85.664335664335667</v>
      </c>
      <c r="U28" s="944">
        <f t="shared" si="4"/>
        <v>490000</v>
      </c>
      <c r="V28" s="944">
        <f t="shared" si="6"/>
        <v>85.664335664335667</v>
      </c>
      <c r="W28" s="944"/>
      <c r="X28" s="944">
        <f t="shared" si="5"/>
        <v>82000</v>
      </c>
      <c r="Y28" s="936" t="s">
        <v>1168</v>
      </c>
    </row>
    <row r="29" spans="1:25" s="950" customFormat="1" ht="33.75" customHeight="1">
      <c r="A29" s="939">
        <v>22</v>
      </c>
      <c r="B29" s="947" t="s">
        <v>1266</v>
      </c>
      <c r="C29" s="930"/>
      <c r="D29" s="948" t="s">
        <v>3400</v>
      </c>
      <c r="E29" s="943" t="s">
        <v>1267</v>
      </c>
      <c r="F29" s="949" t="s">
        <v>1168</v>
      </c>
      <c r="G29" s="944">
        <f>'[3]46'!I93</f>
        <v>175000</v>
      </c>
      <c r="H29" s="945"/>
      <c r="I29" s="1056"/>
      <c r="J29" s="1056"/>
      <c r="K29" s="1057"/>
      <c r="L29" s="1056"/>
      <c r="M29" s="1058"/>
      <c r="N29" s="944">
        <f t="shared" si="7"/>
        <v>175000</v>
      </c>
      <c r="O29" s="944"/>
      <c r="P29" s="944"/>
      <c r="Q29" s="944">
        <v>0</v>
      </c>
      <c r="R29" s="944">
        <f t="shared" si="1"/>
        <v>0</v>
      </c>
      <c r="S29" s="946">
        <v>150000</v>
      </c>
      <c r="T29" s="944">
        <f t="shared" si="2"/>
        <v>85.714285714285708</v>
      </c>
      <c r="U29" s="944">
        <f t="shared" si="4"/>
        <v>150000</v>
      </c>
      <c r="V29" s="944">
        <f t="shared" si="6"/>
        <v>85.714285714285708</v>
      </c>
      <c r="W29" s="944"/>
      <c r="X29" s="944">
        <f t="shared" si="5"/>
        <v>25000</v>
      </c>
      <c r="Y29" s="936" t="s">
        <v>1168</v>
      </c>
    </row>
    <row r="30" spans="1:25" s="950" customFormat="1" ht="32.25" customHeight="1">
      <c r="A30" s="939">
        <v>23</v>
      </c>
      <c r="B30" s="947" t="s">
        <v>3153</v>
      </c>
      <c r="C30" s="930"/>
      <c r="D30" s="948" t="s">
        <v>3401</v>
      </c>
      <c r="E30" s="943" t="s">
        <v>1259</v>
      </c>
      <c r="F30" s="949" t="s">
        <v>917</v>
      </c>
      <c r="G30" s="944">
        <f>2946000-53767.5-99550.43</f>
        <v>2792682.07</v>
      </c>
      <c r="H30" s="945"/>
      <c r="I30" s="1056"/>
      <c r="J30" s="1056"/>
      <c r="K30" s="1057"/>
      <c r="L30" s="1056"/>
      <c r="M30" s="1058">
        <f>-61000-153317.93+53767.5+99550.43</f>
        <v>-61000</v>
      </c>
      <c r="N30" s="944">
        <f t="shared" si="7"/>
        <v>2731682.07</v>
      </c>
      <c r="O30" s="944"/>
      <c r="P30" s="944"/>
      <c r="Q30" s="944">
        <v>2154682.0699999998</v>
      </c>
      <c r="R30" s="944">
        <f t="shared" si="1"/>
        <v>78.877483352226264</v>
      </c>
      <c r="S30" s="946">
        <v>577000</v>
      </c>
      <c r="T30" s="944">
        <f t="shared" si="2"/>
        <v>21.122516647773729</v>
      </c>
      <c r="U30" s="944">
        <f t="shared" si="4"/>
        <v>2731682.07</v>
      </c>
      <c r="V30" s="944">
        <f t="shared" si="6"/>
        <v>100</v>
      </c>
      <c r="W30" s="944"/>
      <c r="X30" s="944">
        <f t="shared" si="5"/>
        <v>0</v>
      </c>
      <c r="Y30" s="936" t="s">
        <v>917</v>
      </c>
    </row>
    <row r="31" spans="1:25" ht="30.75" customHeight="1">
      <c r="A31" s="939">
        <v>24</v>
      </c>
      <c r="B31" s="947" t="s">
        <v>1260</v>
      </c>
      <c r="C31" s="930"/>
      <c r="D31" s="948" t="s">
        <v>3402</v>
      </c>
      <c r="E31" s="943" t="s">
        <v>1261</v>
      </c>
      <c r="F31" s="949" t="s">
        <v>937</v>
      </c>
      <c r="G31" s="944">
        <f>'[3]46'!I84</f>
        <v>404000</v>
      </c>
      <c r="H31" s="945"/>
      <c r="I31" s="1056"/>
      <c r="J31" s="1056"/>
      <c r="K31" s="1057"/>
      <c r="L31" s="1056"/>
      <c r="M31" s="1058"/>
      <c r="N31" s="944">
        <f t="shared" si="7"/>
        <v>404000</v>
      </c>
      <c r="O31" s="944"/>
      <c r="P31" s="944"/>
      <c r="Q31" s="944">
        <v>404000</v>
      </c>
      <c r="R31" s="944">
        <f t="shared" si="1"/>
        <v>100</v>
      </c>
      <c r="S31" s="946">
        <v>0</v>
      </c>
      <c r="T31" s="944">
        <f t="shared" si="2"/>
        <v>0</v>
      </c>
      <c r="U31" s="944">
        <f t="shared" si="4"/>
        <v>404000</v>
      </c>
      <c r="V31" s="944">
        <f t="shared" si="6"/>
        <v>100</v>
      </c>
      <c r="W31" s="944"/>
      <c r="X31" s="944">
        <f t="shared" si="5"/>
        <v>0</v>
      </c>
      <c r="Y31" s="936" t="s">
        <v>937</v>
      </c>
    </row>
    <row r="32" spans="1:25" ht="32.25" customHeight="1">
      <c r="A32" s="939">
        <v>25</v>
      </c>
      <c r="B32" s="947" t="s">
        <v>1324</v>
      </c>
      <c r="C32" s="930"/>
      <c r="D32" s="948" t="s">
        <v>3403</v>
      </c>
      <c r="E32" s="943" t="s">
        <v>1325</v>
      </c>
      <c r="F32" s="949" t="s">
        <v>935</v>
      </c>
      <c r="G32" s="952">
        <f>'[3]46'!I186</f>
        <v>426900</v>
      </c>
      <c r="H32" s="953"/>
      <c r="I32" s="1056"/>
      <c r="J32" s="1056"/>
      <c r="K32" s="1057"/>
      <c r="L32" s="1056"/>
      <c r="M32" s="1058"/>
      <c r="N32" s="944">
        <f t="shared" si="7"/>
        <v>426900</v>
      </c>
      <c r="O32" s="944"/>
      <c r="P32" s="944"/>
      <c r="Q32" s="944">
        <v>426900</v>
      </c>
      <c r="R32" s="944">
        <f t="shared" si="1"/>
        <v>100</v>
      </c>
      <c r="S32" s="946">
        <v>0</v>
      </c>
      <c r="T32" s="944">
        <f t="shared" si="2"/>
        <v>0</v>
      </c>
      <c r="U32" s="944">
        <f t="shared" si="4"/>
        <v>426900</v>
      </c>
      <c r="V32" s="944">
        <f t="shared" si="6"/>
        <v>100</v>
      </c>
      <c r="W32" s="944"/>
      <c r="X32" s="944">
        <f t="shared" si="5"/>
        <v>0</v>
      </c>
      <c r="Y32" s="936" t="s">
        <v>935</v>
      </c>
    </row>
    <row r="33" spans="1:25" ht="32.25" customHeight="1">
      <c r="A33" s="939">
        <v>26</v>
      </c>
      <c r="B33" s="947" t="s">
        <v>1355</v>
      </c>
      <c r="C33" s="930"/>
      <c r="D33" s="948" t="s">
        <v>3404</v>
      </c>
      <c r="E33" s="943" t="s">
        <v>1356</v>
      </c>
      <c r="F33" s="949" t="s">
        <v>935</v>
      </c>
      <c r="G33" s="952">
        <v>604000</v>
      </c>
      <c r="H33" s="953"/>
      <c r="I33" s="1056"/>
      <c r="J33" s="1056"/>
      <c r="K33" s="1057"/>
      <c r="L33" s="1056"/>
      <c r="M33" s="1058"/>
      <c r="N33" s="944">
        <f t="shared" si="7"/>
        <v>604000</v>
      </c>
      <c r="O33" s="944"/>
      <c r="P33" s="944"/>
      <c r="Q33" s="944">
        <v>604000</v>
      </c>
      <c r="R33" s="944">
        <f t="shared" si="1"/>
        <v>100</v>
      </c>
      <c r="S33" s="946"/>
      <c r="T33" s="944">
        <f t="shared" si="2"/>
        <v>0</v>
      </c>
      <c r="U33" s="944">
        <f t="shared" si="4"/>
        <v>604000</v>
      </c>
      <c r="V33" s="944">
        <f t="shared" si="6"/>
        <v>100</v>
      </c>
      <c r="W33" s="944"/>
      <c r="X33" s="944">
        <f t="shared" si="5"/>
        <v>0</v>
      </c>
      <c r="Y33" s="936" t="s">
        <v>935</v>
      </c>
    </row>
    <row r="34" spans="1:25" ht="32.25" customHeight="1">
      <c r="A34" s="939">
        <v>27</v>
      </c>
      <c r="B34" s="958" t="s">
        <v>1286</v>
      </c>
      <c r="C34" s="959"/>
      <c r="D34" s="960" t="s">
        <v>3405</v>
      </c>
      <c r="E34" s="943" t="s">
        <v>1287</v>
      </c>
      <c r="F34" s="961" t="s">
        <v>935</v>
      </c>
      <c r="G34" s="952">
        <f>'[3]46'!I129</f>
        <v>126000</v>
      </c>
      <c r="H34" s="953"/>
      <c r="I34" s="1056"/>
      <c r="J34" s="1056"/>
      <c r="K34" s="1057"/>
      <c r="L34" s="1056"/>
      <c r="M34" s="1058"/>
      <c r="N34" s="944">
        <f t="shared" si="7"/>
        <v>126000</v>
      </c>
      <c r="O34" s="944"/>
      <c r="P34" s="944"/>
      <c r="Q34" s="944">
        <v>126000</v>
      </c>
      <c r="R34" s="944">
        <f t="shared" si="1"/>
        <v>100</v>
      </c>
      <c r="S34" s="946">
        <v>0</v>
      </c>
      <c r="T34" s="944">
        <f t="shared" si="2"/>
        <v>0</v>
      </c>
      <c r="U34" s="944">
        <f t="shared" si="4"/>
        <v>126000</v>
      </c>
      <c r="V34" s="944">
        <f t="shared" si="6"/>
        <v>100</v>
      </c>
      <c r="W34" s="944"/>
      <c r="X34" s="944">
        <f t="shared" si="5"/>
        <v>0</v>
      </c>
      <c r="Y34" s="936" t="s">
        <v>935</v>
      </c>
    </row>
    <row r="35" spans="1:25" ht="32.25" customHeight="1">
      <c r="A35" s="939">
        <v>28</v>
      </c>
      <c r="B35" s="947" t="s">
        <v>1288</v>
      </c>
      <c r="C35" s="930"/>
      <c r="D35" s="948" t="s">
        <v>3406</v>
      </c>
      <c r="E35" s="943" t="s">
        <v>1289</v>
      </c>
      <c r="F35" s="949" t="s">
        <v>917</v>
      </c>
      <c r="G35" s="944">
        <f>'[3]46'!I132</f>
        <v>210500</v>
      </c>
      <c r="H35" s="945"/>
      <c r="I35" s="1056"/>
      <c r="J35" s="1056"/>
      <c r="K35" s="1057"/>
      <c r="L35" s="1056"/>
      <c r="M35" s="1058"/>
      <c r="N35" s="944">
        <f t="shared" si="7"/>
        <v>210500</v>
      </c>
      <c r="O35" s="944"/>
      <c r="P35" s="944"/>
      <c r="Q35" s="944">
        <v>210500</v>
      </c>
      <c r="R35" s="944">
        <f t="shared" si="1"/>
        <v>100</v>
      </c>
      <c r="S35" s="946">
        <v>0</v>
      </c>
      <c r="T35" s="944">
        <f t="shared" si="2"/>
        <v>0</v>
      </c>
      <c r="U35" s="944">
        <f t="shared" si="4"/>
        <v>210500</v>
      </c>
      <c r="V35" s="944">
        <f t="shared" si="6"/>
        <v>100</v>
      </c>
      <c r="W35" s="944"/>
      <c r="X35" s="944">
        <f t="shared" si="5"/>
        <v>0</v>
      </c>
      <c r="Y35" s="936" t="s">
        <v>917</v>
      </c>
    </row>
    <row r="36" spans="1:25" ht="32.25" customHeight="1">
      <c r="A36" s="939">
        <v>29</v>
      </c>
      <c r="B36" s="947" t="s">
        <v>1290</v>
      </c>
      <c r="C36" s="930"/>
      <c r="D36" s="948" t="s">
        <v>3407</v>
      </c>
      <c r="E36" s="943" t="s">
        <v>1291</v>
      </c>
      <c r="F36" s="949" t="s">
        <v>917</v>
      </c>
      <c r="G36" s="944">
        <f>'[3]46'!I135</f>
        <v>230900</v>
      </c>
      <c r="H36" s="945"/>
      <c r="I36" s="1056"/>
      <c r="J36" s="1056"/>
      <c r="K36" s="1057"/>
      <c r="L36" s="1056"/>
      <c r="M36" s="1058"/>
      <c r="N36" s="944">
        <f t="shared" si="7"/>
        <v>230900</v>
      </c>
      <c r="O36" s="944"/>
      <c r="P36" s="944"/>
      <c r="Q36" s="944">
        <v>230900</v>
      </c>
      <c r="R36" s="944">
        <f t="shared" si="1"/>
        <v>100</v>
      </c>
      <c r="S36" s="946">
        <v>0</v>
      </c>
      <c r="T36" s="944">
        <f t="shared" si="2"/>
        <v>0</v>
      </c>
      <c r="U36" s="944">
        <f t="shared" si="4"/>
        <v>230900</v>
      </c>
      <c r="V36" s="944">
        <f t="shared" si="6"/>
        <v>100</v>
      </c>
      <c r="W36" s="944"/>
      <c r="X36" s="944">
        <f t="shared" si="5"/>
        <v>0</v>
      </c>
      <c r="Y36" s="936" t="s">
        <v>917</v>
      </c>
    </row>
    <row r="37" spans="1:25" ht="32.25" customHeight="1">
      <c r="A37" s="939">
        <v>30</v>
      </c>
      <c r="B37" s="947" t="s">
        <v>3359</v>
      </c>
      <c r="C37" s="930"/>
      <c r="D37" s="948" t="s">
        <v>3408</v>
      </c>
      <c r="E37" s="943" t="s">
        <v>1328</v>
      </c>
      <c r="F37" s="949" t="s">
        <v>905</v>
      </c>
      <c r="G37" s="952">
        <v>476925</v>
      </c>
      <c r="H37" s="953"/>
      <c r="I37" s="1056"/>
      <c r="J37" s="1056"/>
      <c r="K37" s="1057"/>
      <c r="L37" s="1056"/>
      <c r="M37" s="1058">
        <v>-2025</v>
      </c>
      <c r="N37" s="944">
        <f t="shared" si="7"/>
        <v>474900</v>
      </c>
      <c r="O37" s="944"/>
      <c r="P37" s="944"/>
      <c r="Q37" s="944">
        <v>474900</v>
      </c>
      <c r="R37" s="944">
        <f t="shared" si="1"/>
        <v>100</v>
      </c>
      <c r="S37" s="946"/>
      <c r="T37" s="944">
        <f t="shared" si="2"/>
        <v>0</v>
      </c>
      <c r="U37" s="944">
        <f t="shared" si="4"/>
        <v>474900</v>
      </c>
      <c r="V37" s="944">
        <f t="shared" si="6"/>
        <v>100</v>
      </c>
      <c r="W37" s="944"/>
      <c r="X37" s="944">
        <f t="shared" si="5"/>
        <v>0</v>
      </c>
      <c r="Y37" s="936" t="s">
        <v>905</v>
      </c>
    </row>
    <row r="38" spans="1:25" ht="32.25" customHeight="1">
      <c r="A38" s="939">
        <v>31</v>
      </c>
      <c r="B38" s="947" t="s">
        <v>1357</v>
      </c>
      <c r="C38" s="930"/>
      <c r="D38" s="948" t="s">
        <v>3409</v>
      </c>
      <c r="E38" s="943" t="s">
        <v>1358</v>
      </c>
      <c r="F38" s="949" t="s">
        <v>945</v>
      </c>
      <c r="G38" s="944">
        <f>'[3]46'!I237</f>
        <v>128700</v>
      </c>
      <c r="H38" s="945"/>
      <c r="I38" s="1056"/>
      <c r="J38" s="1056"/>
      <c r="K38" s="1057"/>
      <c r="L38" s="1056"/>
      <c r="M38" s="1058"/>
      <c r="N38" s="944">
        <f t="shared" si="7"/>
        <v>128700</v>
      </c>
      <c r="O38" s="944"/>
      <c r="P38" s="944"/>
      <c r="Q38" s="944">
        <v>128700</v>
      </c>
      <c r="R38" s="944">
        <f t="shared" si="1"/>
        <v>100</v>
      </c>
      <c r="S38" s="946">
        <v>0</v>
      </c>
      <c r="T38" s="944">
        <f t="shared" si="2"/>
        <v>0</v>
      </c>
      <c r="U38" s="944">
        <f t="shared" si="4"/>
        <v>128700</v>
      </c>
      <c r="V38" s="944">
        <f t="shared" si="6"/>
        <v>100</v>
      </c>
      <c r="W38" s="944"/>
      <c r="X38" s="944">
        <f t="shared" si="5"/>
        <v>0</v>
      </c>
      <c r="Y38" s="936" t="s">
        <v>945</v>
      </c>
    </row>
    <row r="39" spans="1:25" s="950" customFormat="1" ht="33.75" customHeight="1">
      <c r="A39" s="939">
        <v>32</v>
      </c>
      <c r="B39" s="947" t="s">
        <v>3410</v>
      </c>
      <c r="C39" s="930"/>
      <c r="D39" s="948" t="s">
        <v>3411</v>
      </c>
      <c r="E39" s="943" t="s">
        <v>1273</v>
      </c>
      <c r="F39" s="949" t="s">
        <v>913</v>
      </c>
      <c r="G39" s="944">
        <v>4450000</v>
      </c>
      <c r="H39" s="945"/>
      <c r="I39" s="1056"/>
      <c r="J39" s="1056"/>
      <c r="K39" s="1057"/>
      <c r="L39" s="1056"/>
      <c r="M39" s="1058">
        <v>-5000</v>
      </c>
      <c r="N39" s="944">
        <f t="shared" si="7"/>
        <v>4445000</v>
      </c>
      <c r="O39" s="944"/>
      <c r="P39" s="944"/>
      <c r="Q39" s="944">
        <v>2933700</v>
      </c>
      <c r="R39" s="944">
        <f t="shared" si="1"/>
        <v>66</v>
      </c>
      <c r="S39" s="946">
        <v>1511300</v>
      </c>
      <c r="T39" s="944">
        <f t="shared" si="2"/>
        <v>34</v>
      </c>
      <c r="U39" s="944">
        <f t="shared" si="4"/>
        <v>4445000</v>
      </c>
      <c r="V39" s="944">
        <f t="shared" si="6"/>
        <v>100</v>
      </c>
      <c r="W39" s="944"/>
      <c r="X39" s="944">
        <f t="shared" si="5"/>
        <v>0</v>
      </c>
      <c r="Y39" s="936" t="s">
        <v>913</v>
      </c>
    </row>
    <row r="40" spans="1:25" s="938" customFormat="1" ht="33.75" customHeight="1">
      <c r="A40" s="939">
        <v>33</v>
      </c>
      <c r="B40" s="964" t="s">
        <v>1274</v>
      </c>
      <c r="C40" s="965"/>
      <c r="D40" s="966" t="s">
        <v>3412</v>
      </c>
      <c r="E40" s="943" t="s">
        <v>1275</v>
      </c>
      <c r="F40" s="961" t="s">
        <v>908</v>
      </c>
      <c r="G40" s="967">
        <f>'[3]46'!I108</f>
        <v>271400</v>
      </c>
      <c r="H40" s="945"/>
      <c r="I40" s="1056"/>
      <c r="J40" s="1056"/>
      <c r="K40" s="1057"/>
      <c r="L40" s="1056"/>
      <c r="M40" s="1058"/>
      <c r="N40" s="944">
        <f t="shared" si="7"/>
        <v>271400</v>
      </c>
      <c r="O40" s="944"/>
      <c r="P40" s="944"/>
      <c r="Q40" s="944">
        <v>271400</v>
      </c>
      <c r="R40" s="944">
        <f t="shared" si="1"/>
        <v>100</v>
      </c>
      <c r="S40" s="946">
        <v>0</v>
      </c>
      <c r="T40" s="944">
        <f t="shared" si="2"/>
        <v>0</v>
      </c>
      <c r="U40" s="944">
        <f t="shared" si="4"/>
        <v>271400</v>
      </c>
      <c r="V40" s="944">
        <f t="shared" si="6"/>
        <v>100</v>
      </c>
      <c r="W40" s="944"/>
      <c r="X40" s="944">
        <f t="shared" si="5"/>
        <v>0</v>
      </c>
      <c r="Y40" s="936" t="s">
        <v>908</v>
      </c>
    </row>
    <row r="41" spans="1:25" s="938" customFormat="1" ht="33.75" customHeight="1">
      <c r="A41" s="939">
        <v>34</v>
      </c>
      <c r="B41" s="947" t="s">
        <v>1276</v>
      </c>
      <c r="C41" s="930"/>
      <c r="D41" s="948" t="s">
        <v>3413</v>
      </c>
      <c r="E41" s="943" t="s">
        <v>1277</v>
      </c>
      <c r="F41" s="949" t="s">
        <v>1161</v>
      </c>
      <c r="G41" s="944">
        <v>534000</v>
      </c>
      <c r="H41" s="945"/>
      <c r="I41" s="1056"/>
      <c r="J41" s="1056"/>
      <c r="K41" s="1057"/>
      <c r="L41" s="1056"/>
      <c r="M41" s="1058"/>
      <c r="N41" s="944">
        <f t="shared" si="7"/>
        <v>534000</v>
      </c>
      <c r="O41" s="944"/>
      <c r="P41" s="944"/>
      <c r="Q41" s="944">
        <v>534000</v>
      </c>
      <c r="R41" s="944">
        <f t="shared" si="1"/>
        <v>100</v>
      </c>
      <c r="S41" s="946">
        <v>0</v>
      </c>
      <c r="T41" s="944">
        <f t="shared" si="2"/>
        <v>0</v>
      </c>
      <c r="U41" s="944">
        <f t="shared" si="4"/>
        <v>534000</v>
      </c>
      <c r="V41" s="944">
        <f t="shared" si="6"/>
        <v>100</v>
      </c>
      <c r="W41" s="944"/>
      <c r="X41" s="944">
        <f t="shared" si="5"/>
        <v>0</v>
      </c>
      <c r="Y41" s="936" t="s">
        <v>1161</v>
      </c>
    </row>
    <row r="42" spans="1:25" s="938" customFormat="1" ht="33.75" customHeight="1">
      <c r="A42" s="939">
        <v>35</v>
      </c>
      <c r="B42" s="947" t="s">
        <v>1278</v>
      </c>
      <c r="C42" s="930"/>
      <c r="D42" s="948" t="s">
        <v>3414</v>
      </c>
      <c r="E42" s="943" t="s">
        <v>1279</v>
      </c>
      <c r="F42" s="949" t="s">
        <v>945</v>
      </c>
      <c r="G42" s="944">
        <f>'[3]46'!I114</f>
        <v>1955000</v>
      </c>
      <c r="H42" s="945"/>
      <c r="I42" s="1056"/>
      <c r="J42" s="1056"/>
      <c r="K42" s="1057"/>
      <c r="L42" s="1056"/>
      <c r="M42" s="1058"/>
      <c r="N42" s="944">
        <f t="shared" si="7"/>
        <v>1955000</v>
      </c>
      <c r="O42" s="944"/>
      <c r="P42" s="944"/>
      <c r="Q42" s="944">
        <v>1955000</v>
      </c>
      <c r="R42" s="944">
        <f t="shared" si="1"/>
        <v>100</v>
      </c>
      <c r="S42" s="946"/>
      <c r="T42" s="944">
        <f t="shared" si="2"/>
        <v>0</v>
      </c>
      <c r="U42" s="944">
        <f t="shared" si="4"/>
        <v>1955000</v>
      </c>
      <c r="V42" s="944">
        <f t="shared" si="6"/>
        <v>100</v>
      </c>
      <c r="W42" s="944"/>
      <c r="X42" s="944">
        <f t="shared" si="5"/>
        <v>0</v>
      </c>
      <c r="Y42" s="936" t="s">
        <v>945</v>
      </c>
    </row>
    <row r="43" spans="1:25" s="938" customFormat="1" ht="33.75" customHeight="1">
      <c r="A43" s="939">
        <v>36</v>
      </c>
      <c r="B43" s="947" t="s">
        <v>1280</v>
      </c>
      <c r="C43" s="930"/>
      <c r="D43" s="948" t="s">
        <v>3414</v>
      </c>
      <c r="E43" s="943" t="s">
        <v>1281</v>
      </c>
      <c r="F43" s="949" t="s">
        <v>1135</v>
      </c>
      <c r="G43" s="944">
        <f>'[3]46'!I117</f>
        <v>140000</v>
      </c>
      <c r="H43" s="945"/>
      <c r="I43" s="1056"/>
      <c r="J43" s="1056"/>
      <c r="K43" s="1057"/>
      <c r="L43" s="1056"/>
      <c r="M43" s="1058"/>
      <c r="N43" s="944">
        <f t="shared" si="7"/>
        <v>140000</v>
      </c>
      <c r="O43" s="944"/>
      <c r="P43" s="944"/>
      <c r="Q43" s="944">
        <v>140000</v>
      </c>
      <c r="R43" s="944">
        <f t="shared" si="1"/>
        <v>100</v>
      </c>
      <c r="S43" s="946">
        <v>0</v>
      </c>
      <c r="T43" s="944">
        <f t="shared" si="2"/>
        <v>0</v>
      </c>
      <c r="U43" s="944">
        <f t="shared" si="4"/>
        <v>140000</v>
      </c>
      <c r="V43" s="944">
        <f t="shared" si="6"/>
        <v>100</v>
      </c>
      <c r="W43" s="944"/>
      <c r="X43" s="944">
        <f t="shared" si="5"/>
        <v>0</v>
      </c>
      <c r="Y43" s="936" t="s">
        <v>1135</v>
      </c>
    </row>
    <row r="44" spans="1:25" s="938" customFormat="1" ht="33.75" customHeight="1">
      <c r="A44" s="939">
        <v>37</v>
      </c>
      <c r="B44" s="947" t="s">
        <v>1312</v>
      </c>
      <c r="C44" s="930"/>
      <c r="D44" s="948" t="s">
        <v>3415</v>
      </c>
      <c r="E44" s="943" t="s">
        <v>1313</v>
      </c>
      <c r="F44" s="949" t="s">
        <v>1135</v>
      </c>
      <c r="G44" s="944">
        <f>'[3]46'!I168</f>
        <v>71000</v>
      </c>
      <c r="H44" s="945"/>
      <c r="I44" s="1056"/>
      <c r="J44" s="1056"/>
      <c r="K44" s="1057"/>
      <c r="L44" s="1056"/>
      <c r="M44" s="1058"/>
      <c r="N44" s="944">
        <f t="shared" si="7"/>
        <v>71000</v>
      </c>
      <c r="O44" s="944"/>
      <c r="P44" s="944"/>
      <c r="Q44" s="944">
        <v>71000</v>
      </c>
      <c r="R44" s="944">
        <f t="shared" si="1"/>
        <v>100</v>
      </c>
      <c r="S44" s="946">
        <v>0</v>
      </c>
      <c r="T44" s="944">
        <f t="shared" si="2"/>
        <v>0</v>
      </c>
      <c r="U44" s="944">
        <f t="shared" si="4"/>
        <v>71000</v>
      </c>
      <c r="V44" s="944">
        <f t="shared" si="6"/>
        <v>100</v>
      </c>
      <c r="W44" s="944"/>
      <c r="X44" s="944">
        <f t="shared" si="5"/>
        <v>0</v>
      </c>
      <c r="Y44" s="936" t="s">
        <v>1135</v>
      </c>
    </row>
    <row r="45" spans="1:25" s="938" customFormat="1" ht="32.25" customHeight="1">
      <c r="A45" s="939">
        <v>38</v>
      </c>
      <c r="B45" s="947" t="s">
        <v>1282</v>
      </c>
      <c r="C45" s="930"/>
      <c r="D45" s="948" t="s">
        <v>3416</v>
      </c>
      <c r="E45" s="943" t="s">
        <v>1283</v>
      </c>
      <c r="F45" s="949" t="s">
        <v>907</v>
      </c>
      <c r="G45" s="944">
        <v>322500</v>
      </c>
      <c r="H45" s="945"/>
      <c r="I45" s="1056"/>
      <c r="J45" s="1056"/>
      <c r="K45" s="1057"/>
      <c r="L45" s="1056"/>
      <c r="M45" s="1058">
        <v>-6.98</v>
      </c>
      <c r="N45" s="944">
        <f t="shared" si="7"/>
        <v>322493.02</v>
      </c>
      <c r="O45" s="944"/>
      <c r="P45" s="944"/>
      <c r="Q45" s="944">
        <v>322493.02</v>
      </c>
      <c r="R45" s="944">
        <f t="shared" si="1"/>
        <v>100</v>
      </c>
      <c r="S45" s="946">
        <v>0</v>
      </c>
      <c r="T45" s="944">
        <f t="shared" si="2"/>
        <v>0</v>
      </c>
      <c r="U45" s="944">
        <f t="shared" si="4"/>
        <v>322493.02</v>
      </c>
      <c r="V45" s="944">
        <f t="shared" si="6"/>
        <v>100</v>
      </c>
      <c r="W45" s="944"/>
      <c r="X45" s="944">
        <f t="shared" si="5"/>
        <v>0</v>
      </c>
      <c r="Y45" s="936" t="s">
        <v>907</v>
      </c>
    </row>
    <row r="46" spans="1:25" s="938" customFormat="1" ht="32.25" customHeight="1">
      <c r="A46" s="939">
        <v>39</v>
      </c>
      <c r="B46" s="947" t="s">
        <v>1284</v>
      </c>
      <c r="C46" s="930"/>
      <c r="D46" s="948" t="s">
        <v>3417</v>
      </c>
      <c r="E46" s="943" t="s">
        <v>1285</v>
      </c>
      <c r="F46" s="949" t="s">
        <v>907</v>
      </c>
      <c r="G46" s="952">
        <f>'[3]46'!I123</f>
        <v>299600</v>
      </c>
      <c r="H46" s="953"/>
      <c r="I46" s="1056"/>
      <c r="J46" s="1056"/>
      <c r="K46" s="1057"/>
      <c r="L46" s="1056"/>
      <c r="M46" s="1058"/>
      <c r="N46" s="944">
        <f t="shared" si="7"/>
        <v>299600</v>
      </c>
      <c r="O46" s="944"/>
      <c r="P46" s="944"/>
      <c r="Q46" s="944">
        <v>299600</v>
      </c>
      <c r="R46" s="944">
        <f t="shared" si="1"/>
        <v>100</v>
      </c>
      <c r="S46" s="946">
        <v>0</v>
      </c>
      <c r="T46" s="944">
        <f t="shared" si="2"/>
        <v>0</v>
      </c>
      <c r="U46" s="944">
        <f t="shared" si="4"/>
        <v>299600</v>
      </c>
      <c r="V46" s="944">
        <f t="shared" si="6"/>
        <v>100</v>
      </c>
      <c r="W46" s="944"/>
      <c r="X46" s="944">
        <f t="shared" si="5"/>
        <v>0</v>
      </c>
      <c r="Y46" s="936" t="s">
        <v>907</v>
      </c>
    </row>
    <row r="47" spans="1:25" s="938" customFormat="1" ht="32.25" customHeight="1">
      <c r="A47" s="939">
        <v>40</v>
      </c>
      <c r="B47" s="958" t="s">
        <v>4332</v>
      </c>
      <c r="C47" s="959"/>
      <c r="D47" s="960"/>
      <c r="E47" s="943" t="s">
        <v>3240</v>
      </c>
      <c r="F47" s="961" t="s">
        <v>915</v>
      </c>
      <c r="G47" s="952"/>
      <c r="H47" s="953">
        <f>'[3]46'!I57+'[3]46'!I60</f>
        <v>112600</v>
      </c>
      <c r="I47" s="1056"/>
      <c r="J47" s="1056"/>
      <c r="K47" s="1057"/>
      <c r="L47" s="1056"/>
      <c r="M47" s="1058"/>
      <c r="N47" s="944">
        <f t="shared" si="7"/>
        <v>112600</v>
      </c>
      <c r="O47" s="944"/>
      <c r="P47" s="944"/>
      <c r="Q47" s="944">
        <v>112600</v>
      </c>
      <c r="R47" s="944">
        <f t="shared" si="1"/>
        <v>100</v>
      </c>
      <c r="S47" s="946">
        <v>0</v>
      </c>
      <c r="T47" s="944">
        <f t="shared" si="2"/>
        <v>0</v>
      </c>
      <c r="U47" s="944">
        <f t="shared" si="4"/>
        <v>112600</v>
      </c>
      <c r="V47" s="944">
        <f t="shared" si="6"/>
        <v>100</v>
      </c>
      <c r="W47" s="944"/>
      <c r="X47" s="944">
        <f t="shared" si="5"/>
        <v>0</v>
      </c>
      <c r="Y47" s="936" t="s">
        <v>915</v>
      </c>
    </row>
    <row r="48" spans="1:25" s="938" customFormat="1" ht="32.25" customHeight="1">
      <c r="A48" s="939">
        <v>41</v>
      </c>
      <c r="B48" s="947" t="s">
        <v>4333</v>
      </c>
      <c r="C48" s="930"/>
      <c r="D48" s="948"/>
      <c r="E48" s="943" t="s">
        <v>3241</v>
      </c>
      <c r="F48" s="949" t="s">
        <v>1171</v>
      </c>
      <c r="G48" s="944">
        <f>'[3]46'!I126</f>
        <v>100000</v>
      </c>
      <c r="H48" s="945">
        <f>'[3]46'!I54</f>
        <v>114200</v>
      </c>
      <c r="I48" s="1056"/>
      <c r="J48" s="1056"/>
      <c r="K48" s="1057"/>
      <c r="L48" s="1056"/>
      <c r="M48" s="1058"/>
      <c r="N48" s="944">
        <f t="shared" si="7"/>
        <v>214200</v>
      </c>
      <c r="O48" s="944"/>
      <c r="P48" s="944"/>
      <c r="Q48" s="944">
        <v>214200</v>
      </c>
      <c r="R48" s="944">
        <f t="shared" si="1"/>
        <v>100</v>
      </c>
      <c r="S48" s="946">
        <v>0</v>
      </c>
      <c r="T48" s="944">
        <f t="shared" si="2"/>
        <v>0</v>
      </c>
      <c r="U48" s="944">
        <f t="shared" si="4"/>
        <v>214200</v>
      </c>
      <c r="V48" s="944">
        <f t="shared" si="6"/>
        <v>100</v>
      </c>
      <c r="W48" s="944"/>
      <c r="X48" s="944">
        <f t="shared" si="5"/>
        <v>0</v>
      </c>
      <c r="Y48" s="936" t="s">
        <v>1171</v>
      </c>
    </row>
    <row r="49" spans="1:25" s="938" customFormat="1" ht="55.5" customHeight="1">
      <c r="A49" s="939">
        <v>42</v>
      </c>
      <c r="B49" s="947" t="s">
        <v>1292</v>
      </c>
      <c r="C49" s="930"/>
      <c r="D49" s="948" t="s">
        <v>3418</v>
      </c>
      <c r="E49" s="943" t="s">
        <v>1293</v>
      </c>
      <c r="F49" s="949" t="s">
        <v>4364</v>
      </c>
      <c r="G49" s="944">
        <f>'[3]46'!I138</f>
        <v>209000</v>
      </c>
      <c r="H49" s="945"/>
      <c r="I49" s="1056"/>
      <c r="J49" s="1056"/>
      <c r="K49" s="1057"/>
      <c r="L49" s="1056"/>
      <c r="M49" s="1058"/>
      <c r="N49" s="944">
        <f t="shared" si="7"/>
        <v>209000</v>
      </c>
      <c r="O49" s="944"/>
      <c r="P49" s="944"/>
      <c r="Q49" s="944">
        <v>209000</v>
      </c>
      <c r="R49" s="944">
        <f t="shared" si="1"/>
        <v>100</v>
      </c>
      <c r="S49" s="946">
        <v>0</v>
      </c>
      <c r="T49" s="944">
        <f t="shared" si="2"/>
        <v>0</v>
      </c>
      <c r="U49" s="944">
        <f t="shared" si="4"/>
        <v>209000</v>
      </c>
      <c r="V49" s="944">
        <f t="shared" si="6"/>
        <v>100</v>
      </c>
      <c r="W49" s="944"/>
      <c r="X49" s="944">
        <f t="shared" si="5"/>
        <v>0</v>
      </c>
      <c r="Y49" s="936" t="s">
        <v>1154</v>
      </c>
    </row>
    <row r="50" spans="1:25" ht="31.5" customHeight="1">
      <c r="A50" s="939">
        <v>43</v>
      </c>
      <c r="B50" s="947" t="s">
        <v>1294</v>
      </c>
      <c r="C50" s="930"/>
      <c r="D50" s="948" t="s">
        <v>3419</v>
      </c>
      <c r="E50" s="943" t="s">
        <v>1295</v>
      </c>
      <c r="F50" s="949" t="s">
        <v>968</v>
      </c>
      <c r="G50" s="944">
        <f>'[3]46'!I141</f>
        <v>497000</v>
      </c>
      <c r="H50" s="945"/>
      <c r="I50" s="1056"/>
      <c r="J50" s="1056"/>
      <c r="K50" s="1057"/>
      <c r="L50" s="1056"/>
      <c r="M50" s="1058"/>
      <c r="N50" s="944">
        <f t="shared" si="7"/>
        <v>497000</v>
      </c>
      <c r="O50" s="944"/>
      <c r="P50" s="944"/>
      <c r="Q50" s="944">
        <v>497000</v>
      </c>
      <c r="R50" s="944">
        <f t="shared" si="1"/>
        <v>100</v>
      </c>
      <c r="S50" s="946">
        <v>0</v>
      </c>
      <c r="T50" s="944">
        <f t="shared" si="2"/>
        <v>0</v>
      </c>
      <c r="U50" s="944">
        <f t="shared" si="4"/>
        <v>497000</v>
      </c>
      <c r="V50" s="944">
        <f t="shared" si="6"/>
        <v>100</v>
      </c>
      <c r="W50" s="944"/>
      <c r="X50" s="944">
        <f t="shared" si="5"/>
        <v>0</v>
      </c>
      <c r="Y50" s="936" t="s">
        <v>968</v>
      </c>
    </row>
    <row r="51" spans="1:25" ht="31.5" customHeight="1">
      <c r="A51" s="939">
        <v>44</v>
      </c>
      <c r="B51" s="958" t="s">
        <v>1296</v>
      </c>
      <c r="C51" s="959"/>
      <c r="D51" s="960" t="s">
        <v>3420</v>
      </c>
      <c r="E51" s="943" t="s">
        <v>1297</v>
      </c>
      <c r="F51" s="961" t="s">
        <v>937</v>
      </c>
      <c r="G51" s="952">
        <f>'[3]46'!I144</f>
        <v>287000</v>
      </c>
      <c r="H51" s="945"/>
      <c r="I51" s="1056"/>
      <c r="J51" s="1056"/>
      <c r="K51" s="1057"/>
      <c r="L51" s="1056"/>
      <c r="M51" s="1058"/>
      <c r="N51" s="944">
        <f t="shared" si="7"/>
        <v>287000</v>
      </c>
      <c r="O51" s="944"/>
      <c r="P51" s="944"/>
      <c r="Q51" s="944">
        <v>287000</v>
      </c>
      <c r="R51" s="944">
        <f t="shared" si="1"/>
        <v>100</v>
      </c>
      <c r="S51" s="946">
        <v>0</v>
      </c>
      <c r="T51" s="944">
        <f t="shared" si="2"/>
        <v>0</v>
      </c>
      <c r="U51" s="944">
        <f t="shared" si="4"/>
        <v>287000</v>
      </c>
      <c r="V51" s="944">
        <f t="shared" si="6"/>
        <v>100</v>
      </c>
      <c r="W51" s="944"/>
      <c r="X51" s="944">
        <f t="shared" si="5"/>
        <v>0</v>
      </c>
      <c r="Y51" s="936" t="s">
        <v>937</v>
      </c>
    </row>
    <row r="52" spans="1:25" s="950" customFormat="1" ht="31.5" customHeight="1">
      <c r="A52" s="939">
        <v>45</v>
      </c>
      <c r="B52" s="947" t="s">
        <v>1298</v>
      </c>
      <c r="C52" s="930"/>
      <c r="D52" s="948" t="s">
        <v>3421</v>
      </c>
      <c r="E52" s="943" t="s">
        <v>1299</v>
      </c>
      <c r="F52" s="949" t="s">
        <v>937</v>
      </c>
      <c r="G52" s="944">
        <v>892000</v>
      </c>
      <c r="H52" s="945"/>
      <c r="I52" s="1056"/>
      <c r="J52" s="1056"/>
      <c r="K52" s="1057"/>
      <c r="L52" s="1056"/>
      <c r="M52" s="1058"/>
      <c r="N52" s="944">
        <f t="shared" si="7"/>
        <v>892000</v>
      </c>
      <c r="O52" s="944"/>
      <c r="P52" s="944"/>
      <c r="Q52" s="944">
        <v>446000</v>
      </c>
      <c r="R52" s="944">
        <f t="shared" si="1"/>
        <v>50</v>
      </c>
      <c r="S52" s="946">
        <v>446000</v>
      </c>
      <c r="T52" s="944">
        <f t="shared" si="2"/>
        <v>50</v>
      </c>
      <c r="U52" s="944">
        <f t="shared" si="4"/>
        <v>892000</v>
      </c>
      <c r="V52" s="944">
        <f t="shared" si="6"/>
        <v>100</v>
      </c>
      <c r="W52" s="944"/>
      <c r="X52" s="944">
        <f t="shared" si="5"/>
        <v>0</v>
      </c>
      <c r="Y52" s="936" t="s">
        <v>937</v>
      </c>
    </row>
    <row r="53" spans="1:25" s="938" customFormat="1" ht="54.75" customHeight="1">
      <c r="A53" s="939">
        <v>46</v>
      </c>
      <c r="B53" s="947" t="s">
        <v>1302</v>
      </c>
      <c r="C53" s="930"/>
      <c r="D53" s="948" t="s">
        <v>3422</v>
      </c>
      <c r="E53" s="943" t="s">
        <v>1303</v>
      </c>
      <c r="F53" s="949" t="s">
        <v>1157</v>
      </c>
      <c r="G53" s="952">
        <f>'[3]46'!I153</f>
        <v>415000</v>
      </c>
      <c r="H53" s="953"/>
      <c r="I53" s="1056"/>
      <c r="J53" s="1056"/>
      <c r="K53" s="1057"/>
      <c r="L53" s="1056"/>
      <c r="M53" s="1058"/>
      <c r="N53" s="944">
        <f t="shared" si="7"/>
        <v>415000</v>
      </c>
      <c r="O53" s="944"/>
      <c r="P53" s="944"/>
      <c r="Q53" s="944">
        <v>415000</v>
      </c>
      <c r="R53" s="944">
        <f t="shared" si="1"/>
        <v>100</v>
      </c>
      <c r="S53" s="946"/>
      <c r="T53" s="944">
        <f t="shared" si="2"/>
        <v>0</v>
      </c>
      <c r="U53" s="944">
        <f t="shared" si="4"/>
        <v>415000</v>
      </c>
      <c r="V53" s="944">
        <f t="shared" si="6"/>
        <v>100</v>
      </c>
      <c r="W53" s="944"/>
      <c r="X53" s="944">
        <f t="shared" si="5"/>
        <v>0</v>
      </c>
      <c r="Y53" s="936" t="s">
        <v>1157</v>
      </c>
    </row>
    <row r="54" spans="1:25" s="938" customFormat="1" ht="33" customHeight="1">
      <c r="A54" s="939">
        <v>47</v>
      </c>
      <c r="B54" s="947" t="s">
        <v>1304</v>
      </c>
      <c r="C54" s="930"/>
      <c r="D54" s="948" t="s">
        <v>3423</v>
      </c>
      <c r="E54" s="943" t="s">
        <v>1305</v>
      </c>
      <c r="F54" s="949" t="s">
        <v>910</v>
      </c>
      <c r="G54" s="944">
        <f>'[3]46'!I156</f>
        <v>71000</v>
      </c>
      <c r="H54" s="945"/>
      <c r="I54" s="1056"/>
      <c r="J54" s="1056"/>
      <c r="K54" s="1057"/>
      <c r="L54" s="1056"/>
      <c r="M54" s="1058"/>
      <c r="N54" s="944">
        <f t="shared" si="7"/>
        <v>71000</v>
      </c>
      <c r="O54" s="944"/>
      <c r="P54" s="944"/>
      <c r="Q54" s="944">
        <v>71000</v>
      </c>
      <c r="R54" s="944">
        <f t="shared" si="1"/>
        <v>100</v>
      </c>
      <c r="S54" s="946">
        <v>0</v>
      </c>
      <c r="T54" s="944">
        <f t="shared" si="2"/>
        <v>0</v>
      </c>
      <c r="U54" s="944">
        <f t="shared" si="4"/>
        <v>71000</v>
      </c>
      <c r="V54" s="944">
        <f t="shared" si="6"/>
        <v>100</v>
      </c>
      <c r="W54" s="944"/>
      <c r="X54" s="944">
        <f t="shared" si="5"/>
        <v>0</v>
      </c>
      <c r="Y54" s="936" t="s">
        <v>910</v>
      </c>
    </row>
    <row r="55" spans="1:25" s="938" customFormat="1" ht="33" customHeight="1">
      <c r="A55" s="939">
        <v>48</v>
      </c>
      <c r="B55" s="947" t="s">
        <v>1306</v>
      </c>
      <c r="C55" s="930"/>
      <c r="D55" s="939" t="s">
        <v>3424</v>
      </c>
      <c r="E55" s="943" t="s">
        <v>1307</v>
      </c>
      <c r="F55" s="949" t="s">
        <v>945</v>
      </c>
      <c r="G55" s="944">
        <f>'[3]46'!I160</f>
        <v>61200</v>
      </c>
      <c r="H55" s="945"/>
      <c r="I55" s="1056"/>
      <c r="J55" s="1056"/>
      <c r="K55" s="1057"/>
      <c r="L55" s="1056"/>
      <c r="M55" s="1058"/>
      <c r="N55" s="944">
        <f t="shared" si="7"/>
        <v>61200</v>
      </c>
      <c r="O55" s="944"/>
      <c r="P55" s="944"/>
      <c r="Q55" s="944">
        <v>61200</v>
      </c>
      <c r="R55" s="944">
        <f t="shared" si="1"/>
        <v>100</v>
      </c>
      <c r="S55" s="946">
        <v>0</v>
      </c>
      <c r="T55" s="944">
        <f t="shared" si="2"/>
        <v>0</v>
      </c>
      <c r="U55" s="944">
        <f t="shared" si="4"/>
        <v>61200</v>
      </c>
      <c r="V55" s="944">
        <f t="shared" si="6"/>
        <v>100</v>
      </c>
      <c r="W55" s="944"/>
      <c r="X55" s="944">
        <f t="shared" si="5"/>
        <v>0</v>
      </c>
      <c r="Y55" s="936" t="s">
        <v>945</v>
      </c>
    </row>
    <row r="56" spans="1:25" ht="33" customHeight="1">
      <c r="A56" s="939">
        <v>49</v>
      </c>
      <c r="B56" s="947" t="s">
        <v>1308</v>
      </c>
      <c r="C56" s="930"/>
      <c r="D56" s="948" t="s">
        <v>3425</v>
      </c>
      <c r="E56" s="943" t="s">
        <v>1309</v>
      </c>
      <c r="F56" s="949" t="s">
        <v>945</v>
      </c>
      <c r="G56" s="944">
        <f>'[3]46'!I162</f>
        <v>61200</v>
      </c>
      <c r="H56" s="945"/>
      <c r="I56" s="1056"/>
      <c r="J56" s="1056"/>
      <c r="K56" s="1057"/>
      <c r="L56" s="1056"/>
      <c r="M56" s="1058"/>
      <c r="N56" s="944">
        <f t="shared" si="7"/>
        <v>61200</v>
      </c>
      <c r="O56" s="944"/>
      <c r="P56" s="944"/>
      <c r="Q56" s="944">
        <v>61200</v>
      </c>
      <c r="R56" s="944">
        <f t="shared" si="1"/>
        <v>100</v>
      </c>
      <c r="S56" s="946">
        <v>0</v>
      </c>
      <c r="T56" s="944">
        <f t="shared" si="2"/>
        <v>0</v>
      </c>
      <c r="U56" s="944">
        <f t="shared" si="4"/>
        <v>61200</v>
      </c>
      <c r="V56" s="944">
        <f t="shared" si="6"/>
        <v>100</v>
      </c>
      <c r="W56" s="944"/>
      <c r="X56" s="944">
        <f t="shared" si="5"/>
        <v>0</v>
      </c>
      <c r="Y56" s="936" t="s">
        <v>945</v>
      </c>
    </row>
    <row r="57" spans="1:25" s="938" customFormat="1" ht="33" customHeight="1">
      <c r="A57" s="939">
        <v>50</v>
      </c>
      <c r="B57" s="947" t="s">
        <v>1310</v>
      </c>
      <c r="C57" s="930"/>
      <c r="D57" s="948" t="s">
        <v>3426</v>
      </c>
      <c r="E57" s="943" t="s">
        <v>1311</v>
      </c>
      <c r="F57" s="949" t="s">
        <v>945</v>
      </c>
      <c r="G57" s="944">
        <f>'[3]46'!I165</f>
        <v>89200</v>
      </c>
      <c r="H57" s="945"/>
      <c r="I57" s="1056"/>
      <c r="J57" s="1056"/>
      <c r="K57" s="1057"/>
      <c r="L57" s="1056"/>
      <c r="M57" s="1058"/>
      <c r="N57" s="944">
        <f t="shared" si="7"/>
        <v>89200</v>
      </c>
      <c r="O57" s="944"/>
      <c r="P57" s="944"/>
      <c r="Q57" s="944">
        <v>89200</v>
      </c>
      <c r="R57" s="944">
        <f t="shared" si="1"/>
        <v>100</v>
      </c>
      <c r="S57" s="946">
        <v>0</v>
      </c>
      <c r="T57" s="944">
        <f t="shared" si="2"/>
        <v>0</v>
      </c>
      <c r="U57" s="944">
        <f t="shared" si="4"/>
        <v>89200</v>
      </c>
      <c r="V57" s="944">
        <f t="shared" si="6"/>
        <v>100</v>
      </c>
      <c r="W57" s="944"/>
      <c r="X57" s="944">
        <f t="shared" si="5"/>
        <v>0</v>
      </c>
      <c r="Y57" s="936" t="s">
        <v>945</v>
      </c>
    </row>
    <row r="58" spans="1:25" s="938" customFormat="1" ht="33" customHeight="1">
      <c r="A58" s="939">
        <v>51</v>
      </c>
      <c r="B58" s="947" t="s">
        <v>1314</v>
      </c>
      <c r="C58" s="930"/>
      <c r="D58" s="948" t="s">
        <v>3427</v>
      </c>
      <c r="E58" s="943" t="s">
        <v>1315</v>
      </c>
      <c r="F58" s="949" t="s">
        <v>954</v>
      </c>
      <c r="G58" s="944">
        <v>341000</v>
      </c>
      <c r="H58" s="945"/>
      <c r="I58" s="1056"/>
      <c r="J58" s="1056"/>
      <c r="K58" s="1057"/>
      <c r="L58" s="1056"/>
      <c r="M58" s="1058"/>
      <c r="N58" s="944">
        <f t="shared" si="7"/>
        <v>341000</v>
      </c>
      <c r="O58" s="944"/>
      <c r="P58" s="944"/>
      <c r="Q58" s="944">
        <v>341000</v>
      </c>
      <c r="R58" s="944">
        <f t="shared" si="1"/>
        <v>100</v>
      </c>
      <c r="S58" s="946">
        <v>0</v>
      </c>
      <c r="T58" s="944">
        <f t="shared" si="2"/>
        <v>0</v>
      </c>
      <c r="U58" s="944">
        <f t="shared" si="4"/>
        <v>341000</v>
      </c>
      <c r="V58" s="944">
        <f t="shared" si="6"/>
        <v>100</v>
      </c>
      <c r="W58" s="944"/>
      <c r="X58" s="944">
        <f t="shared" si="5"/>
        <v>0</v>
      </c>
      <c r="Y58" s="936" t="s">
        <v>954</v>
      </c>
    </row>
    <row r="59" spans="1:25" s="938" customFormat="1" ht="33" customHeight="1">
      <c r="A59" s="939">
        <v>52</v>
      </c>
      <c r="B59" s="947" t="s">
        <v>1316</v>
      </c>
      <c r="C59" s="930"/>
      <c r="D59" s="948" t="s">
        <v>3428</v>
      </c>
      <c r="E59" s="943" t="s">
        <v>1317</v>
      </c>
      <c r="F59" s="949" t="s">
        <v>904</v>
      </c>
      <c r="G59" s="944">
        <f>'[3]46'!I174</f>
        <v>486000</v>
      </c>
      <c r="H59" s="945"/>
      <c r="I59" s="1056"/>
      <c r="J59" s="1056"/>
      <c r="K59" s="1057"/>
      <c r="L59" s="1056"/>
      <c r="M59" s="1058"/>
      <c r="N59" s="944">
        <f t="shared" si="7"/>
        <v>486000</v>
      </c>
      <c r="O59" s="944"/>
      <c r="P59" s="944"/>
      <c r="Q59" s="944">
        <v>486000</v>
      </c>
      <c r="R59" s="944">
        <f t="shared" si="1"/>
        <v>100</v>
      </c>
      <c r="S59" s="946">
        <v>0</v>
      </c>
      <c r="T59" s="944">
        <f t="shared" si="2"/>
        <v>0</v>
      </c>
      <c r="U59" s="944">
        <f t="shared" si="4"/>
        <v>486000</v>
      </c>
      <c r="V59" s="944">
        <f t="shared" si="6"/>
        <v>100</v>
      </c>
      <c r="W59" s="944"/>
      <c r="X59" s="944">
        <f t="shared" si="5"/>
        <v>0</v>
      </c>
      <c r="Y59" s="936" t="s">
        <v>904</v>
      </c>
    </row>
    <row r="60" spans="1:25" s="938" customFormat="1" ht="33" customHeight="1">
      <c r="A60" s="939">
        <v>53</v>
      </c>
      <c r="B60" s="947" t="s">
        <v>1271</v>
      </c>
      <c r="C60" s="930"/>
      <c r="D60" s="948" t="s">
        <v>3429</v>
      </c>
      <c r="E60" s="943" t="s">
        <v>1272</v>
      </c>
      <c r="F60" s="949" t="s">
        <v>904</v>
      </c>
      <c r="G60" s="944">
        <v>542300</v>
      </c>
      <c r="H60" s="945"/>
      <c r="I60" s="1056"/>
      <c r="J60" s="1056"/>
      <c r="K60" s="1057"/>
      <c r="L60" s="1056"/>
      <c r="M60" s="1058"/>
      <c r="N60" s="944">
        <f t="shared" si="7"/>
        <v>542300</v>
      </c>
      <c r="O60" s="944"/>
      <c r="P60" s="944"/>
      <c r="Q60" s="944">
        <v>542300</v>
      </c>
      <c r="R60" s="944">
        <f t="shared" si="1"/>
        <v>100</v>
      </c>
      <c r="S60" s="946">
        <v>0</v>
      </c>
      <c r="T60" s="944">
        <f t="shared" si="2"/>
        <v>0</v>
      </c>
      <c r="U60" s="944">
        <f t="shared" si="4"/>
        <v>542300</v>
      </c>
      <c r="V60" s="944">
        <f t="shared" si="6"/>
        <v>100</v>
      </c>
      <c r="W60" s="944"/>
      <c r="X60" s="944">
        <f t="shared" si="5"/>
        <v>0</v>
      </c>
      <c r="Y60" s="936" t="s">
        <v>904</v>
      </c>
    </row>
    <row r="61" spans="1:25" s="938" customFormat="1" ht="33" customHeight="1">
      <c r="A61" s="939">
        <v>54</v>
      </c>
      <c r="B61" s="947" t="s">
        <v>1331</v>
      </c>
      <c r="C61" s="930"/>
      <c r="D61" s="948" t="s">
        <v>3430</v>
      </c>
      <c r="E61" s="943" t="s">
        <v>1332</v>
      </c>
      <c r="F61" s="949" t="s">
        <v>904</v>
      </c>
      <c r="G61" s="944">
        <f>'[3]46'!I199-106864.57-20000-11135.43</f>
        <v>589999.99999999988</v>
      </c>
      <c r="H61" s="945"/>
      <c r="I61" s="1056"/>
      <c r="J61" s="1056"/>
      <c r="K61" s="1057"/>
      <c r="L61" s="1056"/>
      <c r="M61" s="1058">
        <f>-138000+106864.57+31135.43</f>
        <v>0</v>
      </c>
      <c r="N61" s="944">
        <f t="shared" si="7"/>
        <v>589999.99999999988</v>
      </c>
      <c r="O61" s="944"/>
      <c r="P61" s="944"/>
      <c r="Q61" s="944">
        <v>590000</v>
      </c>
      <c r="R61" s="944">
        <f t="shared" si="1"/>
        <v>100.00000000000001</v>
      </c>
      <c r="S61" s="946">
        <v>0</v>
      </c>
      <c r="T61" s="944">
        <f t="shared" si="2"/>
        <v>0</v>
      </c>
      <c r="U61" s="944">
        <f t="shared" si="4"/>
        <v>590000</v>
      </c>
      <c r="V61" s="944">
        <f t="shared" si="6"/>
        <v>100.00000000000001</v>
      </c>
      <c r="W61" s="944"/>
      <c r="X61" s="944">
        <f t="shared" si="5"/>
        <v>0</v>
      </c>
      <c r="Y61" s="936" t="s">
        <v>904</v>
      </c>
    </row>
    <row r="62" spans="1:25" s="938" customFormat="1" ht="33" customHeight="1">
      <c r="A62" s="939">
        <v>55</v>
      </c>
      <c r="B62" s="947" t="s">
        <v>1318</v>
      </c>
      <c r="C62" s="930"/>
      <c r="D62" s="948" t="s">
        <v>3431</v>
      </c>
      <c r="E62" s="943" t="s">
        <v>1319</v>
      </c>
      <c r="F62" s="949" t="s">
        <v>725</v>
      </c>
      <c r="G62" s="944">
        <f>'[3]46'!I177</f>
        <v>265000</v>
      </c>
      <c r="H62" s="945"/>
      <c r="I62" s="1056"/>
      <c r="J62" s="1056"/>
      <c r="K62" s="1057"/>
      <c r="L62" s="1056"/>
      <c r="M62" s="1058"/>
      <c r="N62" s="944">
        <f t="shared" si="7"/>
        <v>265000</v>
      </c>
      <c r="O62" s="944"/>
      <c r="P62" s="944"/>
      <c r="Q62" s="944">
        <v>265000</v>
      </c>
      <c r="R62" s="944">
        <f t="shared" si="1"/>
        <v>100</v>
      </c>
      <c r="S62" s="946">
        <v>0</v>
      </c>
      <c r="T62" s="944">
        <f t="shared" si="2"/>
        <v>0</v>
      </c>
      <c r="U62" s="944">
        <f t="shared" si="4"/>
        <v>265000</v>
      </c>
      <c r="V62" s="944">
        <f t="shared" si="6"/>
        <v>100</v>
      </c>
      <c r="W62" s="944"/>
      <c r="X62" s="944">
        <f t="shared" si="5"/>
        <v>0</v>
      </c>
      <c r="Y62" s="936" t="s">
        <v>725</v>
      </c>
    </row>
    <row r="63" spans="1:25" s="938" customFormat="1" ht="33" customHeight="1">
      <c r="A63" s="939">
        <v>56</v>
      </c>
      <c r="B63" s="947" t="s">
        <v>1269</v>
      </c>
      <c r="C63" s="930"/>
      <c r="D63" s="948" t="s">
        <v>3432</v>
      </c>
      <c r="E63" s="943" t="s">
        <v>1270</v>
      </c>
      <c r="F63" s="949" t="s">
        <v>728</v>
      </c>
      <c r="G63" s="944">
        <f>'[3]46'!I99</f>
        <v>143000</v>
      </c>
      <c r="H63" s="945"/>
      <c r="I63" s="1056"/>
      <c r="J63" s="1056"/>
      <c r="K63" s="1057"/>
      <c r="L63" s="1056"/>
      <c r="M63" s="1058"/>
      <c r="N63" s="944">
        <f t="shared" si="7"/>
        <v>143000</v>
      </c>
      <c r="O63" s="944"/>
      <c r="P63" s="944"/>
      <c r="Q63" s="944">
        <v>143000</v>
      </c>
      <c r="R63" s="944">
        <f t="shared" si="1"/>
        <v>100</v>
      </c>
      <c r="S63" s="946">
        <v>0</v>
      </c>
      <c r="T63" s="944">
        <f t="shared" si="2"/>
        <v>0</v>
      </c>
      <c r="U63" s="944">
        <f t="shared" si="4"/>
        <v>143000</v>
      </c>
      <c r="V63" s="944">
        <f t="shared" si="6"/>
        <v>100</v>
      </c>
      <c r="W63" s="944"/>
      <c r="X63" s="944">
        <f t="shared" si="5"/>
        <v>0</v>
      </c>
      <c r="Y63" s="936" t="s">
        <v>728</v>
      </c>
    </row>
    <row r="64" spans="1:25" ht="54.75" customHeight="1">
      <c r="A64" s="939">
        <v>57</v>
      </c>
      <c r="B64" s="947" t="s">
        <v>1364</v>
      </c>
      <c r="C64" s="930"/>
      <c r="D64" s="948" t="s">
        <v>3433</v>
      </c>
      <c r="E64" s="943" t="s">
        <v>1365</v>
      </c>
      <c r="F64" s="949" t="s">
        <v>904</v>
      </c>
      <c r="G64" s="944">
        <f>'[3]46'!I249</f>
        <v>59000</v>
      </c>
      <c r="H64" s="945"/>
      <c r="I64" s="1056"/>
      <c r="J64" s="1056"/>
      <c r="K64" s="1057"/>
      <c r="L64" s="1056"/>
      <c r="M64" s="1058"/>
      <c r="N64" s="944">
        <f t="shared" si="7"/>
        <v>59000</v>
      </c>
      <c r="O64" s="944"/>
      <c r="P64" s="944"/>
      <c r="Q64" s="944">
        <v>59000</v>
      </c>
      <c r="R64" s="944">
        <f t="shared" si="1"/>
        <v>100</v>
      </c>
      <c r="S64" s="946">
        <v>0</v>
      </c>
      <c r="T64" s="944">
        <f t="shared" si="2"/>
        <v>0</v>
      </c>
      <c r="U64" s="944">
        <f t="shared" si="4"/>
        <v>59000</v>
      </c>
      <c r="V64" s="944">
        <f t="shared" si="6"/>
        <v>100</v>
      </c>
      <c r="W64" s="944"/>
      <c r="X64" s="944">
        <f t="shared" si="5"/>
        <v>0</v>
      </c>
      <c r="Y64" s="936" t="s">
        <v>904</v>
      </c>
    </row>
    <row r="65" spans="1:25" ht="54" customHeight="1">
      <c r="A65" s="939">
        <v>58</v>
      </c>
      <c r="B65" s="947" t="s">
        <v>1333</v>
      </c>
      <c r="C65" s="930"/>
      <c r="D65" s="948" t="s">
        <v>3434</v>
      </c>
      <c r="E65" s="943" t="s">
        <v>1334</v>
      </c>
      <c r="F65" s="949" t="s">
        <v>731</v>
      </c>
      <c r="G65" s="944">
        <f>'[3]46'!I201</f>
        <v>493000</v>
      </c>
      <c r="H65" s="945"/>
      <c r="I65" s="1056"/>
      <c r="J65" s="1056"/>
      <c r="K65" s="1057"/>
      <c r="L65" s="1056"/>
      <c r="M65" s="1058"/>
      <c r="N65" s="944">
        <f t="shared" si="7"/>
        <v>493000</v>
      </c>
      <c r="O65" s="944"/>
      <c r="P65" s="944"/>
      <c r="Q65" s="944">
        <v>493000</v>
      </c>
      <c r="R65" s="944">
        <f t="shared" si="1"/>
        <v>100</v>
      </c>
      <c r="S65" s="946">
        <v>0</v>
      </c>
      <c r="T65" s="944">
        <f t="shared" si="2"/>
        <v>0</v>
      </c>
      <c r="U65" s="944">
        <f t="shared" si="4"/>
        <v>493000</v>
      </c>
      <c r="V65" s="944">
        <f t="shared" si="6"/>
        <v>100</v>
      </c>
      <c r="W65" s="944"/>
      <c r="X65" s="944">
        <f t="shared" si="5"/>
        <v>0</v>
      </c>
      <c r="Y65" s="936" t="s">
        <v>731</v>
      </c>
    </row>
    <row r="66" spans="1:25" ht="30.75" customHeight="1">
      <c r="A66" s="939">
        <v>59</v>
      </c>
      <c r="B66" s="947" t="s">
        <v>1343</v>
      </c>
      <c r="C66" s="930"/>
      <c r="D66" s="948" t="s">
        <v>3435</v>
      </c>
      <c r="E66" s="943" t="s">
        <v>1344</v>
      </c>
      <c r="F66" s="949" t="s">
        <v>730</v>
      </c>
      <c r="G66" s="944">
        <f>'[3]46'!I216</f>
        <v>258000</v>
      </c>
      <c r="H66" s="945"/>
      <c r="I66" s="1056"/>
      <c r="J66" s="1056"/>
      <c r="K66" s="1057"/>
      <c r="L66" s="1056"/>
      <c r="M66" s="1058"/>
      <c r="N66" s="944">
        <f t="shared" si="7"/>
        <v>258000</v>
      </c>
      <c r="O66" s="944"/>
      <c r="P66" s="944"/>
      <c r="Q66" s="944">
        <v>258000</v>
      </c>
      <c r="R66" s="944">
        <f t="shared" si="1"/>
        <v>100</v>
      </c>
      <c r="S66" s="946">
        <v>0</v>
      </c>
      <c r="T66" s="944">
        <f t="shared" si="2"/>
        <v>0</v>
      </c>
      <c r="U66" s="944">
        <f t="shared" si="4"/>
        <v>258000</v>
      </c>
      <c r="V66" s="944">
        <f t="shared" si="6"/>
        <v>100</v>
      </c>
      <c r="W66" s="944"/>
      <c r="X66" s="944">
        <f t="shared" si="5"/>
        <v>0</v>
      </c>
      <c r="Y66" s="936" t="s">
        <v>730</v>
      </c>
    </row>
    <row r="67" spans="1:25" s="938" customFormat="1" ht="35.25" customHeight="1">
      <c r="A67" s="939">
        <v>60</v>
      </c>
      <c r="B67" s="947" t="s">
        <v>1345</v>
      </c>
      <c r="C67" s="930"/>
      <c r="D67" s="948" t="s">
        <v>3436</v>
      </c>
      <c r="E67" s="943" t="s">
        <v>1346</v>
      </c>
      <c r="F67" s="949" t="s">
        <v>730</v>
      </c>
      <c r="G67" s="944">
        <f>'[3]46'!I219</f>
        <v>162000</v>
      </c>
      <c r="H67" s="945"/>
      <c r="I67" s="1056"/>
      <c r="J67" s="1056"/>
      <c r="K67" s="1057"/>
      <c r="L67" s="1056"/>
      <c r="M67" s="1058"/>
      <c r="N67" s="944">
        <f t="shared" si="7"/>
        <v>162000</v>
      </c>
      <c r="O67" s="944"/>
      <c r="P67" s="944"/>
      <c r="Q67" s="944">
        <v>162000</v>
      </c>
      <c r="R67" s="944">
        <f t="shared" si="1"/>
        <v>100</v>
      </c>
      <c r="S67" s="946">
        <v>0</v>
      </c>
      <c r="T67" s="944">
        <f t="shared" si="2"/>
        <v>0</v>
      </c>
      <c r="U67" s="944">
        <f t="shared" si="4"/>
        <v>162000</v>
      </c>
      <c r="V67" s="944">
        <f t="shared" si="6"/>
        <v>100</v>
      </c>
      <c r="W67" s="944"/>
      <c r="X67" s="944">
        <f t="shared" si="5"/>
        <v>0</v>
      </c>
      <c r="Y67" s="936" t="s">
        <v>730</v>
      </c>
    </row>
    <row r="68" spans="1:25" s="938" customFormat="1" ht="35.25" customHeight="1">
      <c r="A68" s="939">
        <v>61</v>
      </c>
      <c r="B68" s="958" t="s">
        <v>1347</v>
      </c>
      <c r="C68" s="959"/>
      <c r="D68" s="960" t="s">
        <v>3437</v>
      </c>
      <c r="E68" s="943" t="s">
        <v>1348</v>
      </c>
      <c r="F68" s="961" t="s">
        <v>730</v>
      </c>
      <c r="G68" s="952">
        <f>'[3]46'!I222</f>
        <v>266000</v>
      </c>
      <c r="H68" s="953"/>
      <c r="I68" s="1056"/>
      <c r="J68" s="1056"/>
      <c r="K68" s="1057"/>
      <c r="L68" s="1056"/>
      <c r="M68" s="1058"/>
      <c r="N68" s="944">
        <f t="shared" si="7"/>
        <v>266000</v>
      </c>
      <c r="O68" s="944"/>
      <c r="P68" s="944"/>
      <c r="Q68" s="944">
        <v>266000</v>
      </c>
      <c r="R68" s="944">
        <f t="shared" si="1"/>
        <v>100</v>
      </c>
      <c r="S68" s="946">
        <v>0</v>
      </c>
      <c r="T68" s="944">
        <f t="shared" si="2"/>
        <v>0</v>
      </c>
      <c r="U68" s="944">
        <f t="shared" si="4"/>
        <v>266000</v>
      </c>
      <c r="V68" s="944">
        <f t="shared" si="6"/>
        <v>100</v>
      </c>
      <c r="W68" s="944"/>
      <c r="X68" s="944">
        <f t="shared" si="5"/>
        <v>0</v>
      </c>
      <c r="Y68" s="936" t="s">
        <v>730</v>
      </c>
    </row>
    <row r="69" spans="1:25" s="938" customFormat="1" ht="32.25" customHeight="1">
      <c r="A69" s="939">
        <v>62</v>
      </c>
      <c r="B69" s="947" t="s">
        <v>1359</v>
      </c>
      <c r="C69" s="930"/>
      <c r="D69" s="948" t="s">
        <v>3438</v>
      </c>
      <c r="E69" s="943" t="s">
        <v>1360</v>
      </c>
      <c r="F69" s="949" t="s">
        <v>730</v>
      </c>
      <c r="G69" s="944">
        <f>'[3]46'!I240</f>
        <v>85000</v>
      </c>
      <c r="H69" s="945"/>
      <c r="I69" s="1056"/>
      <c r="J69" s="1056"/>
      <c r="K69" s="1057"/>
      <c r="L69" s="1056"/>
      <c r="M69" s="1058"/>
      <c r="N69" s="944">
        <f t="shared" si="7"/>
        <v>85000</v>
      </c>
      <c r="O69" s="944"/>
      <c r="P69" s="944"/>
      <c r="Q69" s="944">
        <v>85000</v>
      </c>
      <c r="R69" s="944">
        <f t="shared" si="1"/>
        <v>100</v>
      </c>
      <c r="S69" s="946">
        <v>0</v>
      </c>
      <c r="T69" s="944">
        <f t="shared" si="2"/>
        <v>0</v>
      </c>
      <c r="U69" s="944">
        <f t="shared" si="4"/>
        <v>85000</v>
      </c>
      <c r="V69" s="944">
        <f t="shared" si="6"/>
        <v>100</v>
      </c>
      <c r="W69" s="944"/>
      <c r="X69" s="944">
        <f t="shared" si="5"/>
        <v>0</v>
      </c>
      <c r="Y69" s="936" t="s">
        <v>730</v>
      </c>
    </row>
    <row r="70" spans="1:25" s="938" customFormat="1" ht="35.25" customHeight="1">
      <c r="A70" s="939">
        <v>63</v>
      </c>
      <c r="B70" s="947" t="s">
        <v>1361</v>
      </c>
      <c r="C70" s="930"/>
      <c r="D70" s="948" t="s">
        <v>3439</v>
      </c>
      <c r="E70" s="943" t="s">
        <v>1362</v>
      </c>
      <c r="F70" s="949" t="s">
        <v>730</v>
      </c>
      <c r="G70" s="944">
        <f>'[3]46'!I243</f>
        <v>280000</v>
      </c>
      <c r="H70" s="945"/>
      <c r="I70" s="1056"/>
      <c r="J70" s="1056"/>
      <c r="K70" s="1057"/>
      <c r="L70" s="1056"/>
      <c r="M70" s="1058"/>
      <c r="N70" s="944">
        <f t="shared" si="7"/>
        <v>280000</v>
      </c>
      <c r="O70" s="944"/>
      <c r="P70" s="944"/>
      <c r="Q70" s="944">
        <v>280000</v>
      </c>
      <c r="R70" s="944">
        <f t="shared" ref="R70:R115" si="8">+Q70*100/N70</f>
        <v>100</v>
      </c>
      <c r="S70" s="946">
        <v>0</v>
      </c>
      <c r="T70" s="944">
        <f t="shared" ref="T70:T115" si="9">S70/N70*100</f>
        <v>0</v>
      </c>
      <c r="U70" s="944">
        <f t="shared" si="4"/>
        <v>280000</v>
      </c>
      <c r="V70" s="944">
        <f t="shared" si="6"/>
        <v>100</v>
      </c>
      <c r="W70" s="944"/>
      <c r="X70" s="944">
        <f t="shared" si="5"/>
        <v>0</v>
      </c>
      <c r="Y70" s="936" t="s">
        <v>730</v>
      </c>
    </row>
    <row r="71" spans="1:25" s="938" customFormat="1" ht="35.25" customHeight="1">
      <c r="A71" s="939">
        <v>64</v>
      </c>
      <c r="B71" s="947" t="s">
        <v>1341</v>
      </c>
      <c r="C71" s="930"/>
      <c r="D71" s="948" t="s">
        <v>3440</v>
      </c>
      <c r="E71" s="943" t="s">
        <v>1342</v>
      </c>
      <c r="F71" s="949" t="s">
        <v>729</v>
      </c>
      <c r="G71" s="944">
        <f>'[3]46'!I213</f>
        <v>417900</v>
      </c>
      <c r="H71" s="945"/>
      <c r="I71" s="1056"/>
      <c r="J71" s="1056"/>
      <c r="K71" s="1057"/>
      <c r="L71" s="1056"/>
      <c r="M71" s="1058"/>
      <c r="N71" s="944">
        <f t="shared" si="7"/>
        <v>417900</v>
      </c>
      <c r="O71" s="944"/>
      <c r="P71" s="944"/>
      <c r="Q71" s="944">
        <v>417900</v>
      </c>
      <c r="R71" s="944">
        <f t="shared" si="8"/>
        <v>100</v>
      </c>
      <c r="S71" s="968">
        <v>0</v>
      </c>
      <c r="T71" s="944">
        <f t="shared" si="9"/>
        <v>0</v>
      </c>
      <c r="U71" s="944">
        <f>S71+Q71</f>
        <v>417900</v>
      </c>
      <c r="V71" s="944">
        <f t="shared" si="6"/>
        <v>100</v>
      </c>
      <c r="W71" s="944"/>
      <c r="X71" s="944">
        <f t="shared" si="5"/>
        <v>0</v>
      </c>
      <c r="Y71" s="936" t="s">
        <v>729</v>
      </c>
    </row>
    <row r="72" spans="1:25" s="938" customFormat="1" ht="35.25" customHeight="1">
      <c r="A72" s="939">
        <v>65</v>
      </c>
      <c r="B72" s="947" t="s">
        <v>1349</v>
      </c>
      <c r="C72" s="930"/>
      <c r="D72" s="948" t="s">
        <v>3441</v>
      </c>
      <c r="E72" s="943" t="s">
        <v>1350</v>
      </c>
      <c r="F72" s="949" t="s">
        <v>725</v>
      </c>
      <c r="G72" s="944">
        <f>'[3]46'!I225</f>
        <v>290000</v>
      </c>
      <c r="H72" s="945"/>
      <c r="I72" s="1056"/>
      <c r="J72" s="1056"/>
      <c r="K72" s="1057"/>
      <c r="L72" s="1056"/>
      <c r="M72" s="1058"/>
      <c r="N72" s="944">
        <f t="shared" si="7"/>
        <v>290000</v>
      </c>
      <c r="O72" s="944"/>
      <c r="P72" s="944"/>
      <c r="Q72" s="944">
        <v>290000</v>
      </c>
      <c r="R72" s="944">
        <f t="shared" si="8"/>
        <v>100</v>
      </c>
      <c r="S72" s="946">
        <v>0</v>
      </c>
      <c r="T72" s="944">
        <f t="shared" si="9"/>
        <v>0</v>
      </c>
      <c r="U72" s="944">
        <f t="shared" ref="U72:U77" si="10">+Q72+S72</f>
        <v>290000</v>
      </c>
      <c r="V72" s="944">
        <f t="shared" si="6"/>
        <v>100</v>
      </c>
      <c r="W72" s="944"/>
      <c r="X72" s="944">
        <f t="shared" ref="X72:X114" si="11">+N72-U72</f>
        <v>0</v>
      </c>
      <c r="Y72" s="936" t="s">
        <v>725</v>
      </c>
    </row>
    <row r="73" spans="1:25" s="938" customFormat="1" ht="35.25" customHeight="1">
      <c r="A73" s="939">
        <v>66</v>
      </c>
      <c r="B73" s="947" t="s">
        <v>1351</v>
      </c>
      <c r="C73" s="930"/>
      <c r="D73" s="948" t="s">
        <v>3442</v>
      </c>
      <c r="E73" s="943" t="s">
        <v>1352</v>
      </c>
      <c r="F73" s="949" t="s">
        <v>725</v>
      </c>
      <c r="G73" s="944">
        <f>'[3]46'!I228</f>
        <v>280000</v>
      </c>
      <c r="H73" s="945"/>
      <c r="I73" s="1056"/>
      <c r="J73" s="1056"/>
      <c r="K73" s="1057"/>
      <c r="L73" s="1056"/>
      <c r="M73" s="1058"/>
      <c r="N73" s="944">
        <f t="shared" si="7"/>
        <v>280000</v>
      </c>
      <c r="O73" s="944"/>
      <c r="P73" s="944"/>
      <c r="Q73" s="944">
        <v>280000</v>
      </c>
      <c r="R73" s="944">
        <f t="shared" si="8"/>
        <v>100</v>
      </c>
      <c r="S73" s="946">
        <v>0</v>
      </c>
      <c r="T73" s="944">
        <f t="shared" si="9"/>
        <v>0</v>
      </c>
      <c r="U73" s="944">
        <f t="shared" si="10"/>
        <v>280000</v>
      </c>
      <c r="V73" s="944">
        <f t="shared" ref="V73:V114" si="12">+U73*100/N73</f>
        <v>100</v>
      </c>
      <c r="W73" s="944"/>
      <c r="X73" s="944">
        <f t="shared" si="11"/>
        <v>0</v>
      </c>
      <c r="Y73" s="936" t="s">
        <v>725</v>
      </c>
    </row>
    <row r="74" spans="1:25" s="938" customFormat="1" ht="33.75" customHeight="1">
      <c r="A74" s="939">
        <v>67</v>
      </c>
      <c r="B74" s="947" t="s">
        <v>1353</v>
      </c>
      <c r="C74" s="930"/>
      <c r="D74" s="948" t="s">
        <v>3443</v>
      </c>
      <c r="E74" s="943" t="s">
        <v>1354</v>
      </c>
      <c r="F74" s="949" t="s">
        <v>728</v>
      </c>
      <c r="G74" s="944">
        <v>665000</v>
      </c>
      <c r="H74" s="945"/>
      <c r="I74" s="1056"/>
      <c r="J74" s="1056"/>
      <c r="K74" s="1057"/>
      <c r="L74" s="1056"/>
      <c r="M74" s="1058"/>
      <c r="N74" s="944">
        <f t="shared" si="7"/>
        <v>665000</v>
      </c>
      <c r="O74" s="944"/>
      <c r="P74" s="944"/>
      <c r="Q74" s="944">
        <v>665000</v>
      </c>
      <c r="R74" s="944">
        <f t="shared" si="8"/>
        <v>100</v>
      </c>
      <c r="S74" s="946"/>
      <c r="T74" s="944">
        <f t="shared" si="9"/>
        <v>0</v>
      </c>
      <c r="U74" s="944">
        <f t="shared" si="10"/>
        <v>665000</v>
      </c>
      <c r="V74" s="944">
        <f t="shared" si="12"/>
        <v>100</v>
      </c>
      <c r="W74" s="944"/>
      <c r="X74" s="944">
        <f t="shared" si="11"/>
        <v>0</v>
      </c>
      <c r="Y74" s="936" t="s">
        <v>728</v>
      </c>
    </row>
    <row r="75" spans="1:25" s="938" customFormat="1" ht="33.75" customHeight="1">
      <c r="A75" s="939">
        <v>68</v>
      </c>
      <c r="B75" s="947" t="s">
        <v>1335</v>
      </c>
      <c r="C75" s="930"/>
      <c r="D75" s="948" t="s">
        <v>3444</v>
      </c>
      <c r="E75" s="943" t="s">
        <v>1336</v>
      </c>
      <c r="F75" s="949" t="s">
        <v>733</v>
      </c>
      <c r="G75" s="944">
        <f>'[3]46'!I204</f>
        <v>405000</v>
      </c>
      <c r="H75" s="945"/>
      <c r="I75" s="1056"/>
      <c r="J75" s="1056"/>
      <c r="K75" s="1057"/>
      <c r="L75" s="1056"/>
      <c r="M75" s="1058"/>
      <c r="N75" s="944">
        <f t="shared" si="7"/>
        <v>405000</v>
      </c>
      <c r="O75" s="944"/>
      <c r="P75" s="944"/>
      <c r="Q75" s="944">
        <v>405000</v>
      </c>
      <c r="R75" s="944">
        <f t="shared" si="8"/>
        <v>100</v>
      </c>
      <c r="S75" s="946">
        <v>0</v>
      </c>
      <c r="T75" s="944">
        <f t="shared" si="9"/>
        <v>0</v>
      </c>
      <c r="U75" s="944">
        <f t="shared" si="10"/>
        <v>405000</v>
      </c>
      <c r="V75" s="944">
        <f t="shared" si="12"/>
        <v>100</v>
      </c>
      <c r="W75" s="944"/>
      <c r="X75" s="944">
        <f t="shared" si="11"/>
        <v>0</v>
      </c>
      <c r="Y75" s="936" t="s">
        <v>733</v>
      </c>
    </row>
    <row r="76" spans="1:25" s="938" customFormat="1" ht="38.25" customHeight="1">
      <c r="A76" s="939">
        <v>69</v>
      </c>
      <c r="B76" s="947" t="s">
        <v>1366</v>
      </c>
      <c r="C76" s="930"/>
      <c r="D76" s="948" t="s">
        <v>3445</v>
      </c>
      <c r="E76" s="943" t="s">
        <v>1367</v>
      </c>
      <c r="F76" s="949" t="s">
        <v>733</v>
      </c>
      <c r="G76" s="944">
        <f>'[3]46'!I252</f>
        <v>54290</v>
      </c>
      <c r="H76" s="945"/>
      <c r="I76" s="1056"/>
      <c r="J76" s="1056"/>
      <c r="K76" s="1057"/>
      <c r="L76" s="1056"/>
      <c r="M76" s="1058"/>
      <c r="N76" s="944">
        <f t="shared" si="7"/>
        <v>54290</v>
      </c>
      <c r="O76" s="944"/>
      <c r="P76" s="944"/>
      <c r="Q76" s="944">
        <v>54290</v>
      </c>
      <c r="R76" s="944">
        <f t="shared" si="8"/>
        <v>100</v>
      </c>
      <c r="S76" s="946">
        <v>0</v>
      </c>
      <c r="T76" s="944">
        <f t="shared" si="9"/>
        <v>0</v>
      </c>
      <c r="U76" s="944">
        <f t="shared" si="10"/>
        <v>54290</v>
      </c>
      <c r="V76" s="944">
        <f t="shared" si="12"/>
        <v>100</v>
      </c>
      <c r="W76" s="944"/>
      <c r="X76" s="944">
        <f t="shared" si="11"/>
        <v>0</v>
      </c>
      <c r="Y76" s="936" t="s">
        <v>733</v>
      </c>
    </row>
    <row r="77" spans="1:25" s="938" customFormat="1" ht="33.75" customHeight="1">
      <c r="A77" s="939">
        <v>70</v>
      </c>
      <c r="B77" s="970" t="s">
        <v>1368</v>
      </c>
      <c r="C77" s="930"/>
      <c r="D77" s="939" t="s">
        <v>3446</v>
      </c>
      <c r="E77" s="943" t="s">
        <v>1369</v>
      </c>
      <c r="F77" s="971" t="s">
        <v>733</v>
      </c>
      <c r="G77" s="972">
        <f>'[3]46'!I255</f>
        <v>20410</v>
      </c>
      <c r="H77" s="973"/>
      <c r="I77" s="1059"/>
      <c r="J77" s="1059"/>
      <c r="K77" s="1060"/>
      <c r="L77" s="1059"/>
      <c r="M77" s="1061"/>
      <c r="N77" s="972">
        <f t="shared" si="7"/>
        <v>20410</v>
      </c>
      <c r="O77" s="972"/>
      <c r="P77" s="972"/>
      <c r="Q77" s="972">
        <v>20410</v>
      </c>
      <c r="R77" s="972">
        <f t="shared" si="8"/>
        <v>100</v>
      </c>
      <c r="S77" s="974">
        <v>0</v>
      </c>
      <c r="T77" s="972">
        <f t="shared" si="9"/>
        <v>0</v>
      </c>
      <c r="U77" s="972">
        <f t="shared" si="10"/>
        <v>20410</v>
      </c>
      <c r="V77" s="972">
        <f t="shared" si="12"/>
        <v>100</v>
      </c>
      <c r="W77" s="972"/>
      <c r="X77" s="972">
        <f t="shared" si="11"/>
        <v>0</v>
      </c>
      <c r="Y77" s="936" t="s">
        <v>733</v>
      </c>
    </row>
    <row r="78" spans="1:25" s="950" customFormat="1" ht="54.75" customHeight="1">
      <c r="A78" s="939">
        <v>71</v>
      </c>
      <c r="B78" s="947" t="s">
        <v>4426</v>
      </c>
      <c r="C78" s="948"/>
      <c r="D78" s="975" t="s">
        <v>4427</v>
      </c>
      <c r="E78" s="943"/>
      <c r="F78" s="949" t="s">
        <v>731</v>
      </c>
      <c r="G78" s="944">
        <v>328000</v>
      </c>
      <c r="H78" s="945"/>
      <c r="I78" s="1056"/>
      <c r="J78" s="1056"/>
      <c r="K78" s="1057"/>
      <c r="L78" s="1056"/>
      <c r="M78" s="1058"/>
      <c r="N78" s="944">
        <f>+G78+H78+K78+L78+M78</f>
        <v>328000</v>
      </c>
      <c r="O78" s="944"/>
      <c r="P78" s="972"/>
      <c r="Q78" s="972">
        <v>328000</v>
      </c>
      <c r="R78" s="972"/>
      <c r="S78" s="974">
        <v>0</v>
      </c>
      <c r="T78" s="972"/>
      <c r="U78" s="972">
        <f t="shared" ref="U78:U115" si="13">+Q78+S78</f>
        <v>328000</v>
      </c>
      <c r="V78" s="972">
        <f t="shared" si="12"/>
        <v>100</v>
      </c>
      <c r="W78" s="972"/>
      <c r="X78" s="972">
        <f t="shared" si="11"/>
        <v>0</v>
      </c>
      <c r="Y78" s="936"/>
    </row>
    <row r="79" spans="1:25" ht="35.25" customHeight="1">
      <c r="A79" s="939">
        <v>72</v>
      </c>
      <c r="B79" s="947" t="s">
        <v>4428</v>
      </c>
      <c r="C79" s="948"/>
      <c r="D79" s="975" t="s">
        <v>4429</v>
      </c>
      <c r="E79" s="943"/>
      <c r="F79" s="949" t="s">
        <v>729</v>
      </c>
      <c r="G79" s="944">
        <v>35845</v>
      </c>
      <c r="H79" s="945"/>
      <c r="I79" s="1056"/>
      <c r="J79" s="1056"/>
      <c r="K79" s="1057"/>
      <c r="L79" s="1056"/>
      <c r="M79" s="1058"/>
      <c r="N79" s="944">
        <f>+G79+H79+K79+L79+M79</f>
        <v>35845</v>
      </c>
      <c r="O79" s="944"/>
      <c r="P79" s="972"/>
      <c r="Q79" s="972">
        <v>35845</v>
      </c>
      <c r="R79" s="972"/>
      <c r="S79" s="974">
        <v>0</v>
      </c>
      <c r="T79" s="972"/>
      <c r="U79" s="972">
        <f t="shared" si="13"/>
        <v>35845</v>
      </c>
      <c r="V79" s="972">
        <f t="shared" si="12"/>
        <v>100</v>
      </c>
      <c r="W79" s="972"/>
      <c r="X79" s="972">
        <f t="shared" si="11"/>
        <v>0</v>
      </c>
      <c r="Y79" s="936"/>
    </row>
    <row r="80" spans="1:25" s="950" customFormat="1" ht="33.75" customHeight="1">
      <c r="A80" s="939">
        <v>73</v>
      </c>
      <c r="B80" s="947" t="s">
        <v>4430</v>
      </c>
      <c r="C80" s="948"/>
      <c r="D80" s="975" t="s">
        <v>4431</v>
      </c>
      <c r="E80" s="943"/>
      <c r="F80" s="949" t="s">
        <v>932</v>
      </c>
      <c r="G80" s="944">
        <v>3454000</v>
      </c>
      <c r="H80" s="945"/>
      <c r="I80" s="1056"/>
      <c r="J80" s="1056"/>
      <c r="K80" s="1057"/>
      <c r="L80" s="1056"/>
      <c r="M80" s="1058"/>
      <c r="N80" s="944">
        <f t="shared" si="7"/>
        <v>3454000</v>
      </c>
      <c r="O80" s="944"/>
      <c r="P80" s="944"/>
      <c r="Q80" s="944"/>
      <c r="R80" s="944">
        <f t="shared" si="8"/>
        <v>0</v>
      </c>
      <c r="S80" s="974">
        <v>0</v>
      </c>
      <c r="T80" s="944">
        <f t="shared" si="9"/>
        <v>0</v>
      </c>
      <c r="U80" s="972">
        <f t="shared" si="13"/>
        <v>0</v>
      </c>
      <c r="V80" s="944">
        <f t="shared" si="12"/>
        <v>0</v>
      </c>
      <c r="W80" s="944">
        <v>3454000</v>
      </c>
      <c r="X80" s="944">
        <f>+N80-U80-W80</f>
        <v>0</v>
      </c>
      <c r="Y80" s="936" t="s">
        <v>4432</v>
      </c>
    </row>
    <row r="81" spans="1:25" s="950" customFormat="1" ht="33.75" customHeight="1">
      <c r="A81" s="939">
        <v>74</v>
      </c>
      <c r="B81" s="947" t="s">
        <v>4433</v>
      </c>
      <c r="C81" s="948"/>
      <c r="D81" s="975" t="s">
        <v>4434</v>
      </c>
      <c r="E81" s="943"/>
      <c r="F81" s="949" t="s">
        <v>1158</v>
      </c>
      <c r="G81" s="944">
        <v>76700</v>
      </c>
      <c r="H81" s="945"/>
      <c r="I81" s="1056"/>
      <c r="J81" s="1056"/>
      <c r="K81" s="1057"/>
      <c r="L81" s="1056"/>
      <c r="M81" s="1058">
        <v>-400</v>
      </c>
      <c r="N81" s="944">
        <f>+G81+H81+K81+L81+M81</f>
        <v>76300</v>
      </c>
      <c r="O81" s="944"/>
      <c r="P81" s="944"/>
      <c r="Q81" s="944">
        <v>76300</v>
      </c>
      <c r="R81" s="944">
        <f t="shared" si="8"/>
        <v>100</v>
      </c>
      <c r="S81" s="974"/>
      <c r="T81" s="944">
        <f t="shared" si="9"/>
        <v>0</v>
      </c>
      <c r="U81" s="972">
        <f t="shared" si="13"/>
        <v>76300</v>
      </c>
      <c r="V81" s="944">
        <f t="shared" si="12"/>
        <v>100</v>
      </c>
      <c r="W81" s="944"/>
      <c r="X81" s="944">
        <f t="shared" si="11"/>
        <v>0</v>
      </c>
      <c r="Y81" s="936" t="s">
        <v>1158</v>
      </c>
    </row>
    <row r="82" spans="1:25" s="980" customFormat="1" ht="56.25" customHeight="1">
      <c r="A82" s="1081">
        <v>75</v>
      </c>
      <c r="B82" s="1082" t="s">
        <v>4435</v>
      </c>
      <c r="C82" s="1083"/>
      <c r="D82" s="1084" t="s">
        <v>4436</v>
      </c>
      <c r="E82" s="1085"/>
      <c r="F82" s="1086" t="s">
        <v>906</v>
      </c>
      <c r="G82" s="1087">
        <f>262900-16427-33410-213063</f>
        <v>0</v>
      </c>
      <c r="H82" s="1071"/>
      <c r="I82" s="1056"/>
      <c r="J82" s="1056"/>
      <c r="K82" s="1057"/>
      <c r="L82" s="1056"/>
      <c r="M82" s="1058">
        <f>-262900+16427+33410+213063</f>
        <v>0</v>
      </c>
      <c r="N82" s="1087">
        <f t="shared" si="7"/>
        <v>0</v>
      </c>
      <c r="O82" s="1087"/>
      <c r="P82" s="1087"/>
      <c r="Q82" s="1087"/>
      <c r="R82" s="1087" t="e">
        <f t="shared" si="8"/>
        <v>#DIV/0!</v>
      </c>
      <c r="S82" s="1088"/>
      <c r="T82" s="1087" t="e">
        <f t="shared" si="9"/>
        <v>#DIV/0!</v>
      </c>
      <c r="U82" s="1089">
        <f t="shared" si="13"/>
        <v>0</v>
      </c>
      <c r="V82" s="1087" t="e">
        <f t="shared" si="12"/>
        <v>#DIV/0!</v>
      </c>
      <c r="W82" s="1087"/>
      <c r="X82" s="1087">
        <f t="shared" si="11"/>
        <v>0</v>
      </c>
      <c r="Y82" s="1090" t="s">
        <v>906</v>
      </c>
    </row>
    <row r="83" spans="1:25" s="950" customFormat="1" ht="60.75" customHeight="1">
      <c r="A83" s="939">
        <v>76</v>
      </c>
      <c r="B83" s="947" t="s">
        <v>4437</v>
      </c>
      <c r="C83" s="948"/>
      <c r="D83" s="975" t="s">
        <v>4438</v>
      </c>
      <c r="E83" s="943"/>
      <c r="F83" s="949" t="s">
        <v>938</v>
      </c>
      <c r="G83" s="944">
        <v>33900</v>
      </c>
      <c r="H83" s="945"/>
      <c r="I83" s="1056"/>
      <c r="J83" s="1056"/>
      <c r="K83" s="1057"/>
      <c r="L83" s="1056"/>
      <c r="M83" s="1058"/>
      <c r="N83" s="944">
        <f t="shared" si="7"/>
        <v>33900</v>
      </c>
      <c r="O83" s="944"/>
      <c r="P83" s="944"/>
      <c r="Q83" s="944"/>
      <c r="R83" s="944">
        <f t="shared" si="8"/>
        <v>0</v>
      </c>
      <c r="S83" s="946">
        <v>33900</v>
      </c>
      <c r="T83" s="944">
        <f t="shared" si="9"/>
        <v>100</v>
      </c>
      <c r="U83" s="972">
        <f t="shared" si="13"/>
        <v>33900</v>
      </c>
      <c r="V83" s="944">
        <f t="shared" si="12"/>
        <v>100</v>
      </c>
      <c r="W83" s="944"/>
      <c r="X83" s="944">
        <f t="shared" si="11"/>
        <v>0</v>
      </c>
      <c r="Y83" s="936"/>
    </row>
    <row r="84" spans="1:25" ht="33.75" customHeight="1">
      <c r="A84" s="939">
        <v>77</v>
      </c>
      <c r="B84" s="947" t="s">
        <v>4439</v>
      </c>
      <c r="C84" s="948"/>
      <c r="D84" s="975" t="s">
        <v>4440</v>
      </c>
      <c r="E84" s="943"/>
      <c r="F84" s="949" t="s">
        <v>2823</v>
      </c>
      <c r="G84" s="944">
        <v>9095</v>
      </c>
      <c r="H84" s="945"/>
      <c r="I84" s="1056"/>
      <c r="J84" s="1056"/>
      <c r="K84" s="1057"/>
      <c r="L84" s="1056"/>
      <c r="M84" s="1058"/>
      <c r="N84" s="944">
        <f t="shared" si="7"/>
        <v>9095</v>
      </c>
      <c r="O84" s="944"/>
      <c r="P84" s="944"/>
      <c r="Q84" s="944">
        <v>9095</v>
      </c>
      <c r="R84" s="944">
        <f t="shared" si="8"/>
        <v>100</v>
      </c>
      <c r="S84" s="946"/>
      <c r="T84" s="944">
        <f t="shared" si="9"/>
        <v>0</v>
      </c>
      <c r="U84" s="972">
        <f t="shared" si="13"/>
        <v>9095</v>
      </c>
      <c r="V84" s="944">
        <f t="shared" si="12"/>
        <v>100</v>
      </c>
      <c r="W84" s="944"/>
      <c r="X84" s="944">
        <f t="shared" si="11"/>
        <v>0</v>
      </c>
      <c r="Y84" s="936"/>
    </row>
    <row r="85" spans="1:25" s="950" customFormat="1" ht="29.25" customHeight="1">
      <c r="A85" s="939">
        <v>78</v>
      </c>
      <c r="B85" s="947" t="s">
        <v>4557</v>
      </c>
      <c r="C85" s="948"/>
      <c r="D85" s="975" t="s">
        <v>4558</v>
      </c>
      <c r="E85" s="943"/>
      <c r="F85" s="949" t="s">
        <v>2826</v>
      </c>
      <c r="G85" s="944"/>
      <c r="H85" s="945">
        <v>36000</v>
      </c>
      <c r="I85" s="1056"/>
      <c r="J85" s="1056">
        <v>36000</v>
      </c>
      <c r="K85" s="1057"/>
      <c r="L85" s="1056"/>
      <c r="M85" s="1058"/>
      <c r="N85" s="944">
        <f t="shared" si="7"/>
        <v>36000</v>
      </c>
      <c r="O85" s="944"/>
      <c r="P85" s="944"/>
      <c r="Q85" s="944">
        <v>36000</v>
      </c>
      <c r="R85" s="944">
        <f t="shared" si="8"/>
        <v>100</v>
      </c>
      <c r="S85" s="946"/>
      <c r="T85" s="944">
        <f t="shared" si="9"/>
        <v>0</v>
      </c>
      <c r="U85" s="972">
        <f t="shared" si="13"/>
        <v>36000</v>
      </c>
      <c r="V85" s="944">
        <f t="shared" si="12"/>
        <v>100</v>
      </c>
      <c r="W85" s="944"/>
      <c r="X85" s="944">
        <f t="shared" si="11"/>
        <v>0</v>
      </c>
      <c r="Y85" s="936"/>
    </row>
    <row r="86" spans="1:25" s="950" customFormat="1" ht="29.25" customHeight="1">
      <c r="A86" s="939">
        <v>79</v>
      </c>
      <c r="B86" s="970" t="s">
        <v>4562</v>
      </c>
      <c r="C86" s="955"/>
      <c r="D86" s="976" t="s">
        <v>4563</v>
      </c>
      <c r="E86" s="977"/>
      <c r="F86" s="971" t="s">
        <v>1168</v>
      </c>
      <c r="G86" s="972">
        <v>4300000</v>
      </c>
      <c r="H86" s="973"/>
      <c r="I86" s="1059"/>
      <c r="J86" s="1059"/>
      <c r="K86" s="1060"/>
      <c r="L86" s="1059"/>
      <c r="M86" s="1061"/>
      <c r="N86" s="944">
        <f t="shared" si="7"/>
        <v>4300000</v>
      </c>
      <c r="O86" s="972"/>
      <c r="P86" s="972"/>
      <c r="Q86" s="972"/>
      <c r="R86" s="944">
        <f t="shared" si="8"/>
        <v>0</v>
      </c>
      <c r="S86" s="974">
        <v>4262000</v>
      </c>
      <c r="T86" s="944">
        <f t="shared" si="9"/>
        <v>99.116279069767444</v>
      </c>
      <c r="U86" s="972">
        <f t="shared" si="13"/>
        <v>4262000</v>
      </c>
      <c r="V86" s="944">
        <f t="shared" si="12"/>
        <v>99.116279069767444</v>
      </c>
      <c r="W86" s="944"/>
      <c r="X86" s="944">
        <f t="shared" si="11"/>
        <v>38000</v>
      </c>
      <c r="Y86" s="978"/>
    </row>
    <row r="87" spans="1:25" s="950" customFormat="1" ht="29.25" customHeight="1">
      <c r="A87" s="939">
        <v>80</v>
      </c>
      <c r="B87" s="970" t="s">
        <v>4564</v>
      </c>
      <c r="C87" s="955"/>
      <c r="D87" s="976" t="s">
        <v>4565</v>
      </c>
      <c r="E87" s="977"/>
      <c r="F87" s="971" t="s">
        <v>866</v>
      </c>
      <c r="G87" s="972"/>
      <c r="H87" s="973">
        <v>53767.5</v>
      </c>
      <c r="I87" s="1059"/>
      <c r="J87" s="1059"/>
      <c r="K87" s="1060"/>
      <c r="L87" s="1059"/>
      <c r="M87" s="1061"/>
      <c r="N87" s="944">
        <f t="shared" si="7"/>
        <v>53767.5</v>
      </c>
      <c r="O87" s="972"/>
      <c r="P87" s="972"/>
      <c r="Q87" s="972">
        <v>53767.5</v>
      </c>
      <c r="R87" s="944">
        <f t="shared" si="8"/>
        <v>100</v>
      </c>
      <c r="S87" s="974"/>
      <c r="T87" s="944">
        <f t="shared" si="9"/>
        <v>0</v>
      </c>
      <c r="U87" s="972">
        <f t="shared" si="13"/>
        <v>53767.5</v>
      </c>
      <c r="V87" s="944">
        <f t="shared" si="12"/>
        <v>100</v>
      </c>
      <c r="W87" s="944"/>
      <c r="X87" s="944">
        <f t="shared" si="11"/>
        <v>0</v>
      </c>
      <c r="Y87" s="978"/>
    </row>
    <row r="88" spans="1:25" s="950" customFormat="1" ht="29.25" customHeight="1">
      <c r="A88" s="939">
        <v>81</v>
      </c>
      <c r="B88" s="970" t="s">
        <v>4566</v>
      </c>
      <c r="C88" s="955"/>
      <c r="D88" s="976" t="s">
        <v>4567</v>
      </c>
      <c r="E88" s="977"/>
      <c r="F88" s="971" t="s">
        <v>910</v>
      </c>
      <c r="G88" s="972"/>
      <c r="H88" s="973">
        <v>423870</v>
      </c>
      <c r="I88" s="1059"/>
      <c r="J88" s="1059"/>
      <c r="K88" s="1060"/>
      <c r="L88" s="1059"/>
      <c r="M88" s="1061"/>
      <c r="N88" s="944">
        <f t="shared" si="7"/>
        <v>423870</v>
      </c>
      <c r="O88" s="972"/>
      <c r="P88" s="972"/>
      <c r="Q88" s="972">
        <v>423870</v>
      </c>
      <c r="R88" s="944">
        <f t="shared" si="8"/>
        <v>100</v>
      </c>
      <c r="S88" s="974"/>
      <c r="T88" s="944">
        <f t="shared" si="9"/>
        <v>0</v>
      </c>
      <c r="U88" s="972">
        <f t="shared" si="13"/>
        <v>423870</v>
      </c>
      <c r="V88" s="944">
        <f t="shared" si="12"/>
        <v>100</v>
      </c>
      <c r="W88" s="944"/>
      <c r="X88" s="944">
        <f t="shared" si="11"/>
        <v>0</v>
      </c>
      <c r="Y88" s="978"/>
    </row>
    <row r="89" spans="1:25" s="950" customFormat="1" ht="29.25" customHeight="1">
      <c r="A89" s="939">
        <v>82</v>
      </c>
      <c r="B89" s="970" t="s">
        <v>4568</v>
      </c>
      <c r="C89" s="955"/>
      <c r="D89" s="976" t="s">
        <v>4569</v>
      </c>
      <c r="E89" s="977"/>
      <c r="F89" s="971" t="s">
        <v>2827</v>
      </c>
      <c r="G89" s="972"/>
      <c r="H89" s="973">
        <v>140000</v>
      </c>
      <c r="I89" s="1059"/>
      <c r="J89" s="1059"/>
      <c r="K89" s="1060"/>
      <c r="L89" s="1059"/>
      <c r="M89" s="1061"/>
      <c r="N89" s="944">
        <f t="shared" ref="N89:N94" si="14">+G89+H89+K89+L89+M89</f>
        <v>140000</v>
      </c>
      <c r="O89" s="972"/>
      <c r="P89" s="972"/>
      <c r="Q89" s="972">
        <v>140000</v>
      </c>
      <c r="R89" s="944">
        <f t="shared" si="8"/>
        <v>100</v>
      </c>
      <c r="S89" s="974"/>
      <c r="T89" s="944">
        <f t="shared" si="9"/>
        <v>0</v>
      </c>
      <c r="U89" s="972">
        <f t="shared" si="13"/>
        <v>140000</v>
      </c>
      <c r="V89" s="944">
        <f t="shared" si="12"/>
        <v>100</v>
      </c>
      <c r="W89" s="972"/>
      <c r="X89" s="972">
        <f t="shared" si="11"/>
        <v>0</v>
      </c>
      <c r="Y89" s="978"/>
    </row>
    <row r="90" spans="1:25" s="950" customFormat="1" ht="29.25" customHeight="1">
      <c r="A90" s="939">
        <v>83</v>
      </c>
      <c r="B90" s="970" t="s">
        <v>4570</v>
      </c>
      <c r="C90" s="955"/>
      <c r="D90" s="976" t="s">
        <v>4571</v>
      </c>
      <c r="E90" s="977"/>
      <c r="F90" s="971" t="s">
        <v>2827</v>
      </c>
      <c r="G90" s="972"/>
      <c r="H90" s="973">
        <v>91600</v>
      </c>
      <c r="I90" s="1059"/>
      <c r="J90" s="1059"/>
      <c r="K90" s="1060"/>
      <c r="L90" s="1059"/>
      <c r="M90" s="1061"/>
      <c r="N90" s="944">
        <f t="shared" si="14"/>
        <v>91600</v>
      </c>
      <c r="O90" s="972"/>
      <c r="P90" s="972"/>
      <c r="Q90" s="972">
        <v>91600</v>
      </c>
      <c r="R90" s="944">
        <f t="shared" si="8"/>
        <v>100</v>
      </c>
      <c r="S90" s="974"/>
      <c r="T90" s="944">
        <f t="shared" si="9"/>
        <v>0</v>
      </c>
      <c r="U90" s="972">
        <f t="shared" si="13"/>
        <v>91600</v>
      </c>
      <c r="V90" s="944">
        <f t="shared" si="12"/>
        <v>100</v>
      </c>
      <c r="W90" s="972"/>
      <c r="X90" s="972">
        <f t="shared" si="11"/>
        <v>0</v>
      </c>
      <c r="Y90" s="978"/>
    </row>
    <row r="91" spans="1:25" s="950" customFormat="1" ht="29.25" customHeight="1">
      <c r="A91" s="939">
        <v>84</v>
      </c>
      <c r="B91" s="970" t="s">
        <v>4572</v>
      </c>
      <c r="C91" s="955"/>
      <c r="D91" s="976" t="s">
        <v>4573</v>
      </c>
      <c r="E91" s="977"/>
      <c r="F91" s="971" t="s">
        <v>2827</v>
      </c>
      <c r="G91" s="972"/>
      <c r="H91" s="973">
        <v>37900</v>
      </c>
      <c r="I91" s="1059"/>
      <c r="J91" s="1059"/>
      <c r="K91" s="1060"/>
      <c r="L91" s="1059"/>
      <c r="M91" s="1061"/>
      <c r="N91" s="944">
        <f t="shared" si="14"/>
        <v>37900</v>
      </c>
      <c r="O91" s="972"/>
      <c r="P91" s="972"/>
      <c r="Q91" s="972">
        <v>37900</v>
      </c>
      <c r="R91" s="944">
        <f t="shared" si="8"/>
        <v>100</v>
      </c>
      <c r="S91" s="974"/>
      <c r="T91" s="944">
        <f t="shared" si="9"/>
        <v>0</v>
      </c>
      <c r="U91" s="972">
        <f t="shared" si="13"/>
        <v>37900</v>
      </c>
      <c r="V91" s="944">
        <f t="shared" si="12"/>
        <v>100</v>
      </c>
      <c r="W91" s="972"/>
      <c r="X91" s="972">
        <f t="shared" si="11"/>
        <v>0</v>
      </c>
      <c r="Y91" s="978"/>
    </row>
    <row r="92" spans="1:25" s="950" customFormat="1" ht="29.25" customHeight="1">
      <c r="A92" s="939">
        <v>85</v>
      </c>
      <c r="B92" s="970" t="s">
        <v>4574</v>
      </c>
      <c r="C92" s="955"/>
      <c r="D92" s="976" t="s">
        <v>4575</v>
      </c>
      <c r="E92" s="977"/>
      <c r="F92" s="971" t="s">
        <v>2828</v>
      </c>
      <c r="G92" s="972"/>
      <c r="H92" s="973">
        <v>33400</v>
      </c>
      <c r="I92" s="1059"/>
      <c r="J92" s="1059"/>
      <c r="K92" s="1060"/>
      <c r="L92" s="1059"/>
      <c r="M92" s="1061"/>
      <c r="N92" s="944">
        <f t="shared" si="14"/>
        <v>33400</v>
      </c>
      <c r="O92" s="972"/>
      <c r="P92" s="972"/>
      <c r="Q92" s="972">
        <v>33400</v>
      </c>
      <c r="R92" s="944">
        <f t="shared" si="8"/>
        <v>100</v>
      </c>
      <c r="S92" s="974"/>
      <c r="T92" s="944">
        <f t="shared" si="9"/>
        <v>0</v>
      </c>
      <c r="U92" s="972">
        <f t="shared" si="13"/>
        <v>33400</v>
      </c>
      <c r="V92" s="944">
        <f t="shared" si="12"/>
        <v>100</v>
      </c>
      <c r="W92" s="972"/>
      <c r="X92" s="972">
        <f t="shared" si="11"/>
        <v>0</v>
      </c>
      <c r="Y92" s="978"/>
    </row>
    <row r="93" spans="1:25" s="950" customFormat="1" ht="29.25" customHeight="1">
      <c r="A93" s="939">
        <v>86</v>
      </c>
      <c r="B93" s="970" t="s">
        <v>4572</v>
      </c>
      <c r="C93" s="955"/>
      <c r="D93" s="976" t="s">
        <v>4576</v>
      </c>
      <c r="E93" s="977"/>
      <c r="F93" s="971" t="s">
        <v>2828</v>
      </c>
      <c r="G93" s="972"/>
      <c r="H93" s="973">
        <v>100100</v>
      </c>
      <c r="I93" s="1059"/>
      <c r="J93" s="1059"/>
      <c r="K93" s="1060"/>
      <c r="L93" s="1059"/>
      <c r="M93" s="1061"/>
      <c r="N93" s="944">
        <f t="shared" si="14"/>
        <v>100100</v>
      </c>
      <c r="O93" s="972"/>
      <c r="P93" s="972"/>
      <c r="Q93" s="972">
        <v>100100</v>
      </c>
      <c r="R93" s="944">
        <f t="shared" si="8"/>
        <v>100</v>
      </c>
      <c r="S93" s="974"/>
      <c r="T93" s="944">
        <f t="shared" si="9"/>
        <v>0</v>
      </c>
      <c r="U93" s="972">
        <f t="shared" si="13"/>
        <v>100100</v>
      </c>
      <c r="V93" s="944">
        <f t="shared" si="12"/>
        <v>100</v>
      </c>
      <c r="W93" s="972"/>
      <c r="X93" s="972">
        <f t="shared" si="11"/>
        <v>0</v>
      </c>
      <c r="Y93" s="978"/>
    </row>
    <row r="94" spans="1:25" s="950" customFormat="1" ht="29.25" customHeight="1">
      <c r="A94" s="939">
        <v>87</v>
      </c>
      <c r="B94" s="970" t="s">
        <v>4577</v>
      </c>
      <c r="C94" s="955"/>
      <c r="D94" s="976" t="s">
        <v>4578</v>
      </c>
      <c r="E94" s="977"/>
      <c r="F94" s="971" t="s">
        <v>726</v>
      </c>
      <c r="G94" s="972"/>
      <c r="H94" s="973">
        <v>328000</v>
      </c>
      <c r="I94" s="1059"/>
      <c r="J94" s="1059"/>
      <c r="K94" s="1060"/>
      <c r="L94" s="1059"/>
      <c r="M94" s="1061">
        <v>-6400</v>
      </c>
      <c r="N94" s="944">
        <f t="shared" si="14"/>
        <v>321600</v>
      </c>
      <c r="O94" s="972"/>
      <c r="P94" s="972"/>
      <c r="Q94" s="972">
        <v>321600</v>
      </c>
      <c r="R94" s="944">
        <f t="shared" si="8"/>
        <v>100</v>
      </c>
      <c r="S94" s="974"/>
      <c r="T94" s="944">
        <f t="shared" si="9"/>
        <v>0</v>
      </c>
      <c r="U94" s="972">
        <f t="shared" si="13"/>
        <v>321600</v>
      </c>
      <c r="V94" s="944">
        <f t="shared" si="12"/>
        <v>100</v>
      </c>
      <c r="W94" s="972"/>
      <c r="X94" s="972">
        <f t="shared" si="11"/>
        <v>0</v>
      </c>
      <c r="Y94" s="978"/>
    </row>
    <row r="95" spans="1:25" s="980" customFormat="1" ht="83.25" customHeight="1">
      <c r="A95" s="939">
        <v>88</v>
      </c>
      <c r="B95" s="970" t="s">
        <v>4579</v>
      </c>
      <c r="C95" s="955"/>
      <c r="D95" s="976" t="s">
        <v>4580</v>
      </c>
      <c r="E95" s="977"/>
      <c r="F95" s="979" t="s">
        <v>1139</v>
      </c>
      <c r="G95" s="973">
        <v>45200</v>
      </c>
      <c r="H95" s="973"/>
      <c r="I95" s="1059"/>
      <c r="J95" s="1059">
        <v>45200</v>
      </c>
      <c r="K95" s="1060"/>
      <c r="L95" s="1059"/>
      <c r="M95" s="1061"/>
      <c r="N95" s="973">
        <v>45200</v>
      </c>
      <c r="O95" s="972"/>
      <c r="P95" s="972"/>
      <c r="Q95" s="972"/>
      <c r="R95" s="944">
        <f t="shared" si="8"/>
        <v>0</v>
      </c>
      <c r="S95" s="974">
        <v>45200</v>
      </c>
      <c r="T95" s="944">
        <f t="shared" si="9"/>
        <v>100</v>
      </c>
      <c r="U95" s="972">
        <f t="shared" si="13"/>
        <v>45200</v>
      </c>
      <c r="V95" s="944">
        <f t="shared" si="12"/>
        <v>100</v>
      </c>
      <c r="W95" s="972"/>
      <c r="X95" s="973">
        <f t="shared" si="11"/>
        <v>0</v>
      </c>
      <c r="Y95" s="978"/>
    </row>
    <row r="96" spans="1:25" s="980" customFormat="1" ht="45.75" customHeight="1">
      <c r="A96" s="939">
        <v>89</v>
      </c>
      <c r="B96" s="970" t="s">
        <v>4585</v>
      </c>
      <c r="C96" s="955"/>
      <c r="D96" s="976" t="s">
        <v>4586</v>
      </c>
      <c r="E96" s="977"/>
      <c r="F96" s="979" t="s">
        <v>866</v>
      </c>
      <c r="G96" s="973"/>
      <c r="H96" s="973">
        <v>494927</v>
      </c>
      <c r="I96" s="1059"/>
      <c r="J96" s="1059"/>
      <c r="K96" s="1060"/>
      <c r="L96" s="1059"/>
      <c r="M96" s="1061"/>
      <c r="N96" s="973">
        <f t="shared" ref="N96:N114" si="15">H96+G96</f>
        <v>494927</v>
      </c>
      <c r="O96" s="972"/>
      <c r="P96" s="972"/>
      <c r="Q96" s="972">
        <v>482927</v>
      </c>
      <c r="R96" s="944">
        <f t="shared" si="8"/>
        <v>97.575400008486099</v>
      </c>
      <c r="S96" s="974"/>
      <c r="T96" s="944">
        <f t="shared" si="9"/>
        <v>0</v>
      </c>
      <c r="U96" s="972">
        <f t="shared" si="13"/>
        <v>482927</v>
      </c>
      <c r="V96" s="944">
        <f t="shared" si="12"/>
        <v>97.575400008486099</v>
      </c>
      <c r="W96" s="972"/>
      <c r="X96" s="973">
        <f t="shared" si="11"/>
        <v>12000</v>
      </c>
      <c r="Y96" s="978"/>
    </row>
    <row r="97" spans="1:25" s="980" customFormat="1" ht="45.75" customHeight="1">
      <c r="A97" s="939">
        <v>90</v>
      </c>
      <c r="B97" s="970" t="s">
        <v>4587</v>
      </c>
      <c r="C97" s="955"/>
      <c r="D97" s="976" t="s">
        <v>4588</v>
      </c>
      <c r="E97" s="977"/>
      <c r="F97" s="979" t="s">
        <v>866</v>
      </c>
      <c r="G97" s="973"/>
      <c r="H97" s="973">
        <v>50000</v>
      </c>
      <c r="I97" s="1059"/>
      <c r="J97" s="1059"/>
      <c r="K97" s="1060"/>
      <c r="L97" s="1059"/>
      <c r="M97" s="1061"/>
      <c r="N97" s="973">
        <f t="shared" si="15"/>
        <v>50000</v>
      </c>
      <c r="O97" s="972"/>
      <c r="P97" s="972"/>
      <c r="Q97" s="972">
        <v>50000</v>
      </c>
      <c r="R97" s="944">
        <f t="shared" si="8"/>
        <v>100</v>
      </c>
      <c r="S97" s="974"/>
      <c r="T97" s="944">
        <f t="shared" si="9"/>
        <v>0</v>
      </c>
      <c r="U97" s="972">
        <f t="shared" si="13"/>
        <v>50000</v>
      </c>
      <c r="V97" s="944">
        <f t="shared" si="12"/>
        <v>100</v>
      </c>
      <c r="W97" s="972"/>
      <c r="X97" s="973">
        <f t="shared" si="11"/>
        <v>0</v>
      </c>
      <c r="Y97" s="978"/>
    </row>
    <row r="98" spans="1:25" s="980" customFormat="1" ht="45.75" customHeight="1">
      <c r="A98" s="939">
        <v>91</v>
      </c>
      <c r="B98" s="970" t="s">
        <v>4589</v>
      </c>
      <c r="C98" s="955"/>
      <c r="D98" s="976" t="s">
        <v>4590</v>
      </c>
      <c r="E98" s="977"/>
      <c r="F98" s="979" t="s">
        <v>967</v>
      </c>
      <c r="G98" s="973"/>
      <c r="H98" s="973">
        <v>186080</v>
      </c>
      <c r="I98" s="1059"/>
      <c r="J98" s="1059"/>
      <c r="K98" s="1060">
        <v>50000</v>
      </c>
      <c r="L98" s="1059" t="s">
        <v>945</v>
      </c>
      <c r="M98" s="1061"/>
      <c r="N98" s="973">
        <f t="shared" si="15"/>
        <v>186080</v>
      </c>
      <c r="O98" s="972"/>
      <c r="P98" s="972"/>
      <c r="Q98" s="972">
        <v>186080</v>
      </c>
      <c r="R98" s="944">
        <f t="shared" si="8"/>
        <v>100</v>
      </c>
      <c r="S98" s="974"/>
      <c r="T98" s="944">
        <f t="shared" si="9"/>
        <v>0</v>
      </c>
      <c r="U98" s="972">
        <f t="shared" si="13"/>
        <v>186080</v>
      </c>
      <c r="V98" s="944">
        <f t="shared" si="12"/>
        <v>100</v>
      </c>
      <c r="W98" s="972"/>
      <c r="X98" s="973">
        <f t="shared" si="11"/>
        <v>0</v>
      </c>
      <c r="Y98" s="981" t="s">
        <v>2813</v>
      </c>
    </row>
    <row r="99" spans="1:25" s="980" customFormat="1" ht="45.75" customHeight="1">
      <c r="A99" s="939">
        <v>92</v>
      </c>
      <c r="B99" s="970" t="s">
        <v>4591</v>
      </c>
      <c r="C99" s="955"/>
      <c r="D99" s="976" t="s">
        <v>4592</v>
      </c>
      <c r="E99" s="977"/>
      <c r="F99" s="979" t="s">
        <v>1156</v>
      </c>
      <c r="G99" s="973"/>
      <c r="H99" s="973">
        <v>56700</v>
      </c>
      <c r="I99" s="1059"/>
      <c r="J99" s="1059"/>
      <c r="K99" s="1060">
        <v>129400</v>
      </c>
      <c r="L99" s="1059" t="s">
        <v>948</v>
      </c>
      <c r="M99" s="1061"/>
      <c r="N99" s="973">
        <f t="shared" si="15"/>
        <v>56700</v>
      </c>
      <c r="O99" s="972"/>
      <c r="P99" s="972"/>
      <c r="Q99" s="972">
        <v>56700</v>
      </c>
      <c r="R99" s="944">
        <f t="shared" si="8"/>
        <v>100</v>
      </c>
      <c r="S99" s="974"/>
      <c r="T99" s="944">
        <f t="shared" si="9"/>
        <v>0</v>
      </c>
      <c r="U99" s="972">
        <f t="shared" si="13"/>
        <v>56700</v>
      </c>
      <c r="V99" s="944">
        <f t="shared" si="12"/>
        <v>100</v>
      </c>
      <c r="W99" s="972"/>
      <c r="X99" s="973">
        <f t="shared" si="11"/>
        <v>0</v>
      </c>
      <c r="Y99" s="981" t="str">
        <f t="shared" ref="Y99:Y111" si="16">F99</f>
        <v>สพจ.ขอนแก่น</v>
      </c>
    </row>
    <row r="100" spans="1:25" s="980" customFormat="1" ht="45.75" customHeight="1">
      <c r="A100" s="939">
        <v>93</v>
      </c>
      <c r="B100" s="970" t="s">
        <v>4593</v>
      </c>
      <c r="C100" s="955"/>
      <c r="D100" s="976" t="s">
        <v>4594</v>
      </c>
      <c r="E100" s="977"/>
      <c r="F100" s="979" t="s">
        <v>937</v>
      </c>
      <c r="G100" s="973"/>
      <c r="H100" s="973">
        <v>265500</v>
      </c>
      <c r="I100" s="1059"/>
      <c r="J100" s="1059"/>
      <c r="K100" s="1060">
        <v>25110</v>
      </c>
      <c r="L100" s="1059" t="s">
        <v>909</v>
      </c>
      <c r="M100" s="1061"/>
      <c r="N100" s="973">
        <f t="shared" si="15"/>
        <v>265500</v>
      </c>
      <c r="O100" s="972"/>
      <c r="P100" s="972"/>
      <c r="Q100" s="972"/>
      <c r="R100" s="944">
        <f t="shared" si="8"/>
        <v>0</v>
      </c>
      <c r="S100" s="974">
        <v>265500</v>
      </c>
      <c r="T100" s="944">
        <f t="shared" si="9"/>
        <v>100</v>
      </c>
      <c r="U100" s="972">
        <f t="shared" si="13"/>
        <v>265500</v>
      </c>
      <c r="V100" s="944">
        <f t="shared" si="12"/>
        <v>100</v>
      </c>
      <c r="W100" s="972"/>
      <c r="X100" s="973">
        <f t="shared" si="11"/>
        <v>0</v>
      </c>
      <c r="Y100" s="981" t="str">
        <f t="shared" si="16"/>
        <v>สพจ.อุดรธานี</v>
      </c>
    </row>
    <row r="101" spans="1:25" s="980" customFormat="1" ht="45.75" customHeight="1">
      <c r="A101" s="939">
        <v>94</v>
      </c>
      <c r="B101" s="970" t="s">
        <v>4595</v>
      </c>
      <c r="C101" s="955"/>
      <c r="D101" s="976" t="s">
        <v>4596</v>
      </c>
      <c r="E101" s="977"/>
      <c r="F101" s="979" t="s">
        <v>954</v>
      </c>
      <c r="G101" s="973"/>
      <c r="H101" s="973">
        <v>413220</v>
      </c>
      <c r="I101" s="1059"/>
      <c r="J101" s="1059"/>
      <c r="K101" s="1060"/>
      <c r="L101" s="1059"/>
      <c r="M101" s="1061"/>
      <c r="N101" s="973">
        <f t="shared" si="15"/>
        <v>413220</v>
      </c>
      <c r="O101" s="972"/>
      <c r="P101" s="972"/>
      <c r="Q101" s="972">
        <v>413220</v>
      </c>
      <c r="R101" s="944">
        <f t="shared" si="8"/>
        <v>100</v>
      </c>
      <c r="S101" s="974"/>
      <c r="T101" s="944">
        <f t="shared" si="9"/>
        <v>0</v>
      </c>
      <c r="U101" s="972">
        <f t="shared" si="13"/>
        <v>413220</v>
      </c>
      <c r="V101" s="944">
        <f t="shared" si="12"/>
        <v>100</v>
      </c>
      <c r="W101" s="972"/>
      <c r="X101" s="973">
        <f t="shared" si="11"/>
        <v>0</v>
      </c>
      <c r="Y101" s="981" t="str">
        <f t="shared" si="16"/>
        <v>สพจ.มุกดาหาร</v>
      </c>
    </row>
    <row r="102" spans="1:25" s="980" customFormat="1" ht="45.75" customHeight="1">
      <c r="A102" s="939">
        <v>95</v>
      </c>
      <c r="B102" s="970" t="s">
        <v>4597</v>
      </c>
      <c r="C102" s="955"/>
      <c r="D102" s="976" t="s">
        <v>4598</v>
      </c>
      <c r="E102" s="977"/>
      <c r="F102" s="979" t="s">
        <v>938</v>
      </c>
      <c r="G102" s="973"/>
      <c r="H102" s="973">
        <v>33410</v>
      </c>
      <c r="I102" s="1059"/>
      <c r="J102" s="1059"/>
      <c r="K102" s="1060"/>
      <c r="L102" s="1059"/>
      <c r="M102" s="1061"/>
      <c r="N102" s="973">
        <f t="shared" si="15"/>
        <v>33410</v>
      </c>
      <c r="O102" s="972"/>
      <c r="P102" s="972"/>
      <c r="Q102" s="972"/>
      <c r="R102" s="944">
        <f t="shared" si="8"/>
        <v>0</v>
      </c>
      <c r="S102" s="974">
        <v>33410</v>
      </c>
      <c r="T102" s="944">
        <f t="shared" si="9"/>
        <v>100</v>
      </c>
      <c r="U102" s="972">
        <f t="shared" si="13"/>
        <v>33410</v>
      </c>
      <c r="V102" s="944">
        <f t="shared" si="12"/>
        <v>100</v>
      </c>
      <c r="W102" s="972"/>
      <c r="X102" s="973">
        <f t="shared" si="11"/>
        <v>0</v>
      </c>
      <c r="Y102" s="981" t="str">
        <f t="shared" si="16"/>
        <v>สพจ.เชียงราย</v>
      </c>
    </row>
    <row r="103" spans="1:25" s="980" customFormat="1" ht="45.75" customHeight="1">
      <c r="A103" s="939">
        <v>96</v>
      </c>
      <c r="B103" s="970" t="s">
        <v>4599</v>
      </c>
      <c r="C103" s="955"/>
      <c r="D103" s="976" t="s">
        <v>4600</v>
      </c>
      <c r="E103" s="977"/>
      <c r="F103" s="979" t="s">
        <v>2821</v>
      </c>
      <c r="G103" s="973"/>
      <c r="H103" s="973">
        <v>397600</v>
      </c>
      <c r="I103" s="1059"/>
      <c r="J103" s="1059"/>
      <c r="K103" s="1060"/>
      <c r="L103" s="1059"/>
      <c r="M103" s="1061"/>
      <c r="N103" s="973">
        <f t="shared" si="15"/>
        <v>397600</v>
      </c>
      <c r="O103" s="972"/>
      <c r="P103" s="972"/>
      <c r="Q103" s="972"/>
      <c r="R103" s="944">
        <f t="shared" si="8"/>
        <v>0</v>
      </c>
      <c r="S103" s="974">
        <v>397600</v>
      </c>
      <c r="T103" s="944">
        <f t="shared" si="9"/>
        <v>100</v>
      </c>
      <c r="U103" s="972">
        <f t="shared" si="13"/>
        <v>397600</v>
      </c>
      <c r="V103" s="944">
        <f t="shared" si="12"/>
        <v>100</v>
      </c>
      <c r="W103" s="972"/>
      <c r="X103" s="973">
        <f t="shared" si="11"/>
        <v>0</v>
      </c>
      <c r="Y103" s="981" t="str">
        <f t="shared" si="16"/>
        <v>สพจ. กำแพงเพชร</v>
      </c>
    </row>
    <row r="104" spans="1:25" s="980" customFormat="1" ht="45.75" customHeight="1">
      <c r="A104" s="939">
        <v>97</v>
      </c>
      <c r="B104" s="970" t="s">
        <v>4601</v>
      </c>
      <c r="C104" s="955"/>
      <c r="D104" s="976" t="s">
        <v>4602</v>
      </c>
      <c r="E104" s="977"/>
      <c r="F104" s="979" t="s">
        <v>1138</v>
      </c>
      <c r="G104" s="973"/>
      <c r="H104" s="973">
        <v>290580</v>
      </c>
      <c r="I104" s="1059"/>
      <c r="J104" s="1059"/>
      <c r="K104" s="1060"/>
      <c r="L104" s="1059"/>
      <c r="M104" s="1061"/>
      <c r="N104" s="973">
        <f t="shared" si="15"/>
        <v>290580</v>
      </c>
      <c r="O104" s="972"/>
      <c r="P104" s="972"/>
      <c r="Q104" s="972"/>
      <c r="R104" s="944">
        <f t="shared" si="8"/>
        <v>0</v>
      </c>
      <c r="S104" s="974">
        <v>290580</v>
      </c>
      <c r="T104" s="944">
        <f t="shared" si="9"/>
        <v>100</v>
      </c>
      <c r="U104" s="972">
        <f t="shared" si="13"/>
        <v>290580</v>
      </c>
      <c r="V104" s="944">
        <f t="shared" si="12"/>
        <v>100</v>
      </c>
      <c r="W104" s="972"/>
      <c r="X104" s="973">
        <f t="shared" si="11"/>
        <v>0</v>
      </c>
      <c r="Y104" s="981" t="str">
        <f t="shared" si="16"/>
        <v>สพจ.กำแพงเพชร</v>
      </c>
    </row>
    <row r="105" spans="1:25" s="980" customFormat="1" ht="45.75" customHeight="1">
      <c r="A105" s="939">
        <v>98</v>
      </c>
      <c r="B105" s="970" t="s">
        <v>4603</v>
      </c>
      <c r="C105" s="955"/>
      <c r="D105" s="976" t="s">
        <v>4604</v>
      </c>
      <c r="E105" s="977"/>
      <c r="F105" s="979" t="s">
        <v>940</v>
      </c>
      <c r="G105" s="973"/>
      <c r="H105" s="973">
        <v>226480</v>
      </c>
      <c r="I105" s="1059"/>
      <c r="J105" s="1059"/>
      <c r="K105" s="1060"/>
      <c r="L105" s="1059"/>
      <c r="M105" s="1061"/>
      <c r="N105" s="973">
        <f t="shared" si="15"/>
        <v>226480</v>
      </c>
      <c r="O105" s="972"/>
      <c r="P105" s="972"/>
      <c r="Q105" s="972"/>
      <c r="R105" s="944">
        <f t="shared" si="8"/>
        <v>0</v>
      </c>
      <c r="S105" s="974">
        <v>226480</v>
      </c>
      <c r="T105" s="944">
        <f t="shared" si="9"/>
        <v>100</v>
      </c>
      <c r="U105" s="972">
        <f t="shared" si="13"/>
        <v>226480</v>
      </c>
      <c r="V105" s="944">
        <f t="shared" si="12"/>
        <v>100</v>
      </c>
      <c r="W105" s="972"/>
      <c r="X105" s="973">
        <f t="shared" si="11"/>
        <v>0</v>
      </c>
      <c r="Y105" s="981" t="str">
        <f t="shared" si="16"/>
        <v>สพจ.พิจิตร</v>
      </c>
    </row>
    <row r="106" spans="1:25" s="980" customFormat="1" ht="45.75" customHeight="1">
      <c r="A106" s="939">
        <v>99</v>
      </c>
      <c r="B106" s="970" t="s">
        <v>4605</v>
      </c>
      <c r="C106" s="955"/>
      <c r="D106" s="976" t="s">
        <v>4606</v>
      </c>
      <c r="E106" s="977"/>
      <c r="F106" s="979" t="s">
        <v>940</v>
      </c>
      <c r="G106" s="973"/>
      <c r="H106" s="973">
        <v>190200</v>
      </c>
      <c r="I106" s="1059"/>
      <c r="J106" s="1059"/>
      <c r="K106" s="1060"/>
      <c r="L106" s="1059"/>
      <c r="M106" s="1061"/>
      <c r="N106" s="973">
        <f t="shared" si="15"/>
        <v>190200</v>
      </c>
      <c r="O106" s="972"/>
      <c r="P106" s="972"/>
      <c r="Q106" s="972">
        <v>61200</v>
      </c>
      <c r="R106" s="944">
        <f t="shared" si="8"/>
        <v>32.176656151419557</v>
      </c>
      <c r="S106" s="974">
        <v>129000</v>
      </c>
      <c r="T106" s="944">
        <f t="shared" si="9"/>
        <v>67.823343848580436</v>
      </c>
      <c r="U106" s="972">
        <f t="shared" si="13"/>
        <v>190200</v>
      </c>
      <c r="V106" s="944">
        <f t="shared" si="12"/>
        <v>100</v>
      </c>
      <c r="W106" s="972"/>
      <c r="X106" s="973">
        <f t="shared" si="11"/>
        <v>0</v>
      </c>
      <c r="Y106" s="981" t="str">
        <f t="shared" si="16"/>
        <v>สพจ.พิจิตร</v>
      </c>
    </row>
    <row r="107" spans="1:25" s="980" customFormat="1" ht="45.75" customHeight="1">
      <c r="A107" s="939">
        <v>100</v>
      </c>
      <c r="B107" s="970" t="s">
        <v>4607</v>
      </c>
      <c r="C107" s="955"/>
      <c r="D107" s="976" t="s">
        <v>4608</v>
      </c>
      <c r="E107" s="977"/>
      <c r="F107" s="979" t="s">
        <v>944</v>
      </c>
      <c r="G107" s="973"/>
      <c r="H107" s="973">
        <v>207200</v>
      </c>
      <c r="I107" s="1059"/>
      <c r="J107" s="1059"/>
      <c r="K107" s="1060"/>
      <c r="L107" s="1059"/>
      <c r="M107" s="1061"/>
      <c r="N107" s="973">
        <f t="shared" si="15"/>
        <v>207200</v>
      </c>
      <c r="O107" s="972"/>
      <c r="P107" s="972"/>
      <c r="Q107" s="972">
        <v>207200</v>
      </c>
      <c r="R107" s="944">
        <f t="shared" si="8"/>
        <v>100</v>
      </c>
      <c r="S107" s="974"/>
      <c r="T107" s="944">
        <f t="shared" si="9"/>
        <v>0</v>
      </c>
      <c r="U107" s="972">
        <f t="shared" si="13"/>
        <v>207200</v>
      </c>
      <c r="V107" s="944">
        <f t="shared" si="12"/>
        <v>100</v>
      </c>
      <c r="W107" s="972"/>
      <c r="X107" s="973">
        <f t="shared" si="11"/>
        <v>0</v>
      </c>
      <c r="Y107" s="981" t="str">
        <f t="shared" si="16"/>
        <v>สพจ.ระนอง</v>
      </c>
    </row>
    <row r="108" spans="1:25" s="980" customFormat="1" ht="45.75" customHeight="1">
      <c r="A108" s="939">
        <v>101</v>
      </c>
      <c r="B108" s="970" t="s">
        <v>4609</v>
      </c>
      <c r="C108" s="955"/>
      <c r="D108" s="976" t="s">
        <v>4610</v>
      </c>
      <c r="E108" s="977"/>
      <c r="F108" s="979" t="s">
        <v>909</v>
      </c>
      <c r="G108" s="973"/>
      <c r="H108" s="973">
        <v>99200</v>
      </c>
      <c r="I108" s="1059"/>
      <c r="J108" s="1059"/>
      <c r="K108" s="1060"/>
      <c r="L108" s="1059"/>
      <c r="M108" s="1061"/>
      <c r="N108" s="973">
        <f t="shared" si="15"/>
        <v>99200</v>
      </c>
      <c r="O108" s="972"/>
      <c r="P108" s="972"/>
      <c r="Q108" s="972">
        <v>99200</v>
      </c>
      <c r="R108" s="944">
        <f t="shared" si="8"/>
        <v>100</v>
      </c>
      <c r="S108" s="974"/>
      <c r="T108" s="944">
        <f t="shared" si="9"/>
        <v>0</v>
      </c>
      <c r="U108" s="972">
        <f t="shared" si="13"/>
        <v>99200</v>
      </c>
      <c r="V108" s="944">
        <f t="shared" si="12"/>
        <v>100</v>
      </c>
      <c r="W108" s="972"/>
      <c r="X108" s="973">
        <f t="shared" si="11"/>
        <v>0</v>
      </c>
      <c r="Y108" s="981" t="str">
        <f t="shared" si="16"/>
        <v>สพจ.ชุมพร</v>
      </c>
    </row>
    <row r="109" spans="1:25" s="980" customFormat="1" ht="45.75" customHeight="1">
      <c r="A109" s="939">
        <v>102</v>
      </c>
      <c r="B109" s="970" t="s">
        <v>4611</v>
      </c>
      <c r="C109" s="955"/>
      <c r="D109" s="976" t="s">
        <v>4612</v>
      </c>
      <c r="E109" s="977"/>
      <c r="F109" s="979" t="s">
        <v>909</v>
      </c>
      <c r="G109" s="973"/>
      <c r="H109" s="973">
        <v>25110</v>
      </c>
      <c r="I109" s="1059"/>
      <c r="J109" s="1059"/>
      <c r="K109" s="1060"/>
      <c r="L109" s="1059"/>
      <c r="M109" s="1061"/>
      <c r="N109" s="973">
        <f t="shared" si="15"/>
        <v>25110</v>
      </c>
      <c r="O109" s="972"/>
      <c r="P109" s="972"/>
      <c r="Q109" s="972">
        <v>25110</v>
      </c>
      <c r="R109" s="944">
        <f t="shared" si="8"/>
        <v>100</v>
      </c>
      <c r="S109" s="974"/>
      <c r="T109" s="944">
        <f t="shared" si="9"/>
        <v>0</v>
      </c>
      <c r="U109" s="972">
        <f t="shared" si="13"/>
        <v>25110</v>
      </c>
      <c r="V109" s="944">
        <f t="shared" si="12"/>
        <v>100</v>
      </c>
      <c r="W109" s="972"/>
      <c r="X109" s="973">
        <f t="shared" si="11"/>
        <v>0</v>
      </c>
      <c r="Y109" s="981" t="str">
        <f t="shared" si="16"/>
        <v>สพจ.ชุมพร</v>
      </c>
    </row>
    <row r="110" spans="1:25" s="980" customFormat="1" ht="45.75" customHeight="1">
      <c r="A110" s="939">
        <v>103</v>
      </c>
      <c r="B110" s="970" t="s">
        <v>4613</v>
      </c>
      <c r="C110" s="955"/>
      <c r="D110" s="976" t="s">
        <v>4614</v>
      </c>
      <c r="E110" s="977"/>
      <c r="F110" s="979" t="s">
        <v>948</v>
      </c>
      <c r="G110" s="973"/>
      <c r="H110" s="973">
        <v>129400</v>
      </c>
      <c r="I110" s="1059"/>
      <c r="J110" s="1059"/>
      <c r="K110" s="1060"/>
      <c r="L110" s="1059"/>
      <c r="M110" s="1061"/>
      <c r="N110" s="973">
        <f t="shared" si="15"/>
        <v>129400</v>
      </c>
      <c r="O110" s="972"/>
      <c r="P110" s="972"/>
      <c r="Q110" s="972">
        <v>129400</v>
      </c>
      <c r="R110" s="944">
        <f t="shared" si="8"/>
        <v>100</v>
      </c>
      <c r="S110" s="974"/>
      <c r="T110" s="944">
        <f t="shared" si="9"/>
        <v>0</v>
      </c>
      <c r="U110" s="972">
        <f t="shared" si="13"/>
        <v>129400</v>
      </c>
      <c r="V110" s="944">
        <f t="shared" si="12"/>
        <v>100</v>
      </c>
      <c r="W110" s="972"/>
      <c r="X110" s="973">
        <f t="shared" si="11"/>
        <v>0</v>
      </c>
      <c r="Y110" s="981" t="str">
        <f t="shared" si="16"/>
        <v>สพจ.สงขลา</v>
      </c>
    </row>
    <row r="111" spans="1:25" s="980" customFormat="1" ht="45.75" customHeight="1">
      <c r="A111" s="939">
        <v>104</v>
      </c>
      <c r="B111" s="970" t="s">
        <v>4615</v>
      </c>
      <c r="C111" s="955"/>
      <c r="D111" s="976" t="s">
        <v>4616</v>
      </c>
      <c r="E111" s="977"/>
      <c r="F111" s="979" t="s">
        <v>917</v>
      </c>
      <c r="G111" s="973"/>
      <c r="H111" s="973">
        <v>56400</v>
      </c>
      <c r="I111" s="1059"/>
      <c r="J111" s="1059"/>
      <c r="K111" s="1060"/>
      <c r="L111" s="1059"/>
      <c r="M111" s="1061"/>
      <c r="N111" s="973">
        <f t="shared" si="15"/>
        <v>56400</v>
      </c>
      <c r="O111" s="972"/>
      <c r="P111" s="972"/>
      <c r="Q111" s="972">
        <v>56400</v>
      </c>
      <c r="R111" s="944">
        <f t="shared" si="8"/>
        <v>100</v>
      </c>
      <c r="S111" s="974"/>
      <c r="T111" s="944">
        <f t="shared" si="9"/>
        <v>0</v>
      </c>
      <c r="U111" s="972">
        <f t="shared" si="13"/>
        <v>56400</v>
      </c>
      <c r="V111" s="944">
        <f t="shared" si="12"/>
        <v>100</v>
      </c>
      <c r="W111" s="972"/>
      <c r="X111" s="973">
        <f t="shared" si="11"/>
        <v>0</v>
      </c>
      <c r="Y111" s="981" t="str">
        <f t="shared" si="16"/>
        <v>สพจ.สตูล</v>
      </c>
    </row>
    <row r="112" spans="1:25" s="980" customFormat="1" ht="45.75" customHeight="1">
      <c r="A112" s="939">
        <v>105</v>
      </c>
      <c r="B112" s="970" t="s">
        <v>4617</v>
      </c>
      <c r="C112" s="955"/>
      <c r="D112" s="976" t="s">
        <v>4618</v>
      </c>
      <c r="E112" s="977"/>
      <c r="F112" s="979" t="s">
        <v>917</v>
      </c>
      <c r="G112" s="973"/>
      <c r="H112" s="973">
        <v>75800</v>
      </c>
      <c r="I112" s="1059"/>
      <c r="J112" s="1059"/>
      <c r="K112" s="1060"/>
      <c r="L112" s="1059"/>
      <c r="M112" s="1061"/>
      <c r="N112" s="973">
        <f t="shared" si="15"/>
        <v>75800</v>
      </c>
      <c r="O112" s="972"/>
      <c r="P112" s="972"/>
      <c r="Q112" s="972">
        <v>75800</v>
      </c>
      <c r="R112" s="944">
        <f t="shared" si="8"/>
        <v>100</v>
      </c>
      <c r="S112" s="974"/>
      <c r="T112" s="944">
        <f t="shared" si="9"/>
        <v>0</v>
      </c>
      <c r="U112" s="972">
        <f t="shared" si="13"/>
        <v>75800</v>
      </c>
      <c r="V112" s="944">
        <f t="shared" si="12"/>
        <v>100</v>
      </c>
      <c r="W112" s="972"/>
      <c r="X112" s="973">
        <f t="shared" si="11"/>
        <v>0</v>
      </c>
      <c r="Y112" s="981"/>
    </row>
    <row r="113" spans="1:25" s="980" customFormat="1" ht="45.75" customHeight="1">
      <c r="A113" s="939">
        <v>106</v>
      </c>
      <c r="B113" s="970" t="s">
        <v>4619</v>
      </c>
      <c r="C113" s="955"/>
      <c r="D113" s="976" t="s">
        <v>4620</v>
      </c>
      <c r="E113" s="977"/>
      <c r="F113" s="979" t="s">
        <v>917</v>
      </c>
      <c r="G113" s="973"/>
      <c r="H113" s="973">
        <v>38000</v>
      </c>
      <c r="I113" s="1059"/>
      <c r="J113" s="1059"/>
      <c r="K113" s="1060"/>
      <c r="L113" s="1059"/>
      <c r="M113" s="1061"/>
      <c r="N113" s="973">
        <f t="shared" si="15"/>
        <v>38000</v>
      </c>
      <c r="O113" s="972"/>
      <c r="P113" s="972"/>
      <c r="Q113" s="972">
        <v>38000</v>
      </c>
      <c r="R113" s="944">
        <f t="shared" si="8"/>
        <v>100</v>
      </c>
      <c r="S113" s="974"/>
      <c r="T113" s="944">
        <f t="shared" si="9"/>
        <v>0</v>
      </c>
      <c r="U113" s="972">
        <f t="shared" si="13"/>
        <v>38000</v>
      </c>
      <c r="V113" s="944">
        <f t="shared" si="12"/>
        <v>100</v>
      </c>
      <c r="W113" s="972"/>
      <c r="X113" s="973">
        <f t="shared" si="11"/>
        <v>0</v>
      </c>
      <c r="Y113" s="981"/>
    </row>
    <row r="114" spans="1:25" s="980" customFormat="1" ht="45.75" customHeight="1">
      <c r="A114" s="939">
        <v>107</v>
      </c>
      <c r="B114" s="970" t="s">
        <v>4621</v>
      </c>
      <c r="C114" s="955"/>
      <c r="D114" s="976" t="s">
        <v>4622</v>
      </c>
      <c r="E114" s="977"/>
      <c r="F114" s="979" t="s">
        <v>945</v>
      </c>
      <c r="G114" s="973"/>
      <c r="H114" s="973">
        <v>50000</v>
      </c>
      <c r="I114" s="1059"/>
      <c r="J114" s="1059"/>
      <c r="K114" s="1060"/>
      <c r="L114" s="1059"/>
      <c r="M114" s="1061"/>
      <c r="N114" s="973">
        <f t="shared" si="15"/>
        <v>50000</v>
      </c>
      <c r="O114" s="972"/>
      <c r="P114" s="972"/>
      <c r="Q114" s="972">
        <v>50000</v>
      </c>
      <c r="R114" s="944">
        <f t="shared" si="8"/>
        <v>100</v>
      </c>
      <c r="S114" s="974"/>
      <c r="T114" s="944">
        <f t="shared" si="9"/>
        <v>0</v>
      </c>
      <c r="U114" s="972">
        <f t="shared" si="13"/>
        <v>50000</v>
      </c>
      <c r="V114" s="944">
        <f t="shared" si="12"/>
        <v>100</v>
      </c>
      <c r="W114" s="972"/>
      <c r="X114" s="973">
        <f t="shared" si="11"/>
        <v>0</v>
      </c>
      <c r="Y114" s="981"/>
    </row>
    <row r="115" spans="1:25" s="990" customFormat="1" ht="38.25" customHeight="1">
      <c r="A115" s="982"/>
      <c r="B115" s="983" t="s">
        <v>1249</v>
      </c>
      <c r="C115" s="984"/>
      <c r="D115" s="982"/>
      <c r="E115" s="985"/>
      <c r="F115" s="986"/>
      <c r="G115" s="987"/>
      <c r="H115" s="987"/>
      <c r="I115" s="1062"/>
      <c r="J115" s="1062">
        <v>36000</v>
      </c>
      <c r="K115" s="1062"/>
      <c r="L115" s="1062">
        <v>-827625</v>
      </c>
      <c r="M115" s="1063">
        <v>827795.41</v>
      </c>
      <c r="N115" s="987">
        <f>+G115+H115+K115+L115+M115+400+6400</f>
        <v>6970.4100000000326</v>
      </c>
      <c r="O115" s="987"/>
      <c r="P115" s="987"/>
      <c r="Q115" s="987"/>
      <c r="R115" s="944">
        <f t="shared" si="8"/>
        <v>0</v>
      </c>
      <c r="S115" s="988"/>
      <c r="T115" s="944">
        <f t="shared" si="9"/>
        <v>0</v>
      </c>
      <c r="U115" s="972">
        <f t="shared" si="13"/>
        <v>0</v>
      </c>
      <c r="V115" s="987"/>
      <c r="W115" s="987"/>
      <c r="X115" s="987">
        <f>N115</f>
        <v>6970.4100000000326</v>
      </c>
      <c r="Y115" s="982" t="s">
        <v>866</v>
      </c>
    </row>
    <row r="116" spans="1:25" s="911" customFormat="1" ht="30" customHeight="1">
      <c r="A116" s="991"/>
      <c r="B116" s="992" t="s">
        <v>4623</v>
      </c>
      <c r="C116" s="993"/>
      <c r="D116" s="993"/>
      <c r="E116" s="992"/>
      <c r="F116" s="994"/>
      <c r="G116" s="995">
        <v>271943200</v>
      </c>
      <c r="H116" s="996">
        <f>SUM(H118)</f>
        <v>13170000</v>
      </c>
      <c r="I116" s="1064" t="e">
        <f>SUM(#REF!)</f>
        <v>#REF!</v>
      </c>
      <c r="J116" s="1064"/>
      <c r="K116" s="1051">
        <f>K117</f>
        <v>-20674085.870000005</v>
      </c>
      <c r="L116" s="1064">
        <v>0</v>
      </c>
      <c r="M116" s="1052">
        <f>M117</f>
        <v>-6997344.339999998</v>
      </c>
      <c r="N116" s="995">
        <f>SUM(N117:N1183)</f>
        <v>251269114.13000014</v>
      </c>
      <c r="O116" s="995">
        <f>SUM(O118:O1192)</f>
        <v>61343432.310000002</v>
      </c>
      <c r="P116" s="995">
        <f>SUM(P118:P1192)</f>
        <v>170399873.72999999</v>
      </c>
      <c r="Q116" s="995">
        <f>SUM(Q118:Q1192)</f>
        <v>233691306.04000002</v>
      </c>
      <c r="R116" s="995">
        <f>+Q116*100/N116</f>
        <v>93.004389675642429</v>
      </c>
      <c r="S116" s="998">
        <f>SUM(S118:S1192)</f>
        <v>10374569.039999999</v>
      </c>
      <c r="T116" s="995">
        <f>S116/G116*100</f>
        <v>3.8149764509647599</v>
      </c>
      <c r="U116" s="995">
        <f>+Q116+S116</f>
        <v>244065875.08000001</v>
      </c>
      <c r="V116" s="995">
        <f>+U116*100/N116</f>
        <v>97.133257274798453</v>
      </c>
      <c r="W116" s="995"/>
      <c r="X116" s="995">
        <f>+N116-U116</f>
        <v>7203239.0500001311</v>
      </c>
      <c r="Y116" s="994" t="s">
        <v>4331</v>
      </c>
    </row>
    <row r="117" spans="1:25" s="1002" customFormat="1" ht="39" customHeight="1">
      <c r="A117" s="999"/>
      <c r="B117" s="1007" t="s">
        <v>1249</v>
      </c>
      <c r="C117" s="1001"/>
      <c r="D117" s="1001"/>
      <c r="E117" s="1001"/>
      <c r="F117" s="999"/>
      <c r="G117" s="997"/>
      <c r="H117" s="997"/>
      <c r="I117" s="1051"/>
      <c r="J117" s="1051"/>
      <c r="K117" s="1051">
        <f>SUM(K118:K1437)+233649.4</f>
        <v>-20674085.870000005</v>
      </c>
      <c r="L117" s="1051"/>
      <c r="M117" s="1052">
        <f>SUM(M119:M1181)-740809.51</f>
        <v>-6997344.339999998</v>
      </c>
      <c r="N117" s="997">
        <v>6661673.4400000572</v>
      </c>
      <c r="O117" s="997"/>
      <c r="P117" s="997"/>
      <c r="Q117" s="997"/>
      <c r="R117" s="997"/>
      <c r="S117" s="919"/>
      <c r="T117" s="997"/>
      <c r="U117" s="997"/>
      <c r="V117" s="997"/>
      <c r="W117" s="997"/>
      <c r="X117" s="997">
        <f>N117</f>
        <v>6661673.4400000572</v>
      </c>
      <c r="Y117" s="999"/>
    </row>
    <row r="118" spans="1:25" s="1002" customFormat="1" ht="45" customHeight="1">
      <c r="A118" s="999"/>
      <c r="B118" s="1000" t="s">
        <v>4626</v>
      </c>
      <c r="C118" s="1001"/>
      <c r="D118" s="1003" t="s">
        <v>4627</v>
      </c>
      <c r="E118" s="1001"/>
      <c r="F118" s="999"/>
      <c r="G118" s="997"/>
      <c r="H118" s="1004">
        <v>13170000</v>
      </c>
      <c r="I118" s="1051"/>
      <c r="J118" s="1051"/>
      <c r="K118" s="1051"/>
      <c r="L118" s="1051"/>
      <c r="M118" s="1052"/>
      <c r="N118" s="1004">
        <f>H118+J118+K118+M118</f>
        <v>13170000</v>
      </c>
      <c r="O118" s="997"/>
      <c r="P118" s="1004">
        <v>2925000</v>
      </c>
      <c r="Q118" s="989">
        <v>4873000</v>
      </c>
      <c r="R118" s="997"/>
      <c r="S118" s="1005">
        <v>8232200</v>
      </c>
      <c r="T118" s="997"/>
      <c r="U118" s="989">
        <f t="shared" ref="U118:U182" si="17">S118+Q118</f>
        <v>13105200</v>
      </c>
      <c r="V118" s="989">
        <f t="shared" ref="V118:V182" si="18">U118/N118*100</f>
        <v>99.50797266514806</v>
      </c>
      <c r="W118" s="997"/>
      <c r="X118" s="989">
        <f t="shared" ref="X118:X181" si="19">N118-U118</f>
        <v>64800</v>
      </c>
      <c r="Y118" s="999"/>
    </row>
    <row r="119" spans="1:25" s="1013" customFormat="1" ht="55.5" customHeight="1">
      <c r="A119" s="1006">
        <v>1</v>
      </c>
      <c r="B119" s="1007" t="s">
        <v>1376</v>
      </c>
      <c r="C119" s="1008"/>
      <c r="D119" s="1008" t="s">
        <v>3447</v>
      </c>
      <c r="E119" s="1009" t="s">
        <v>1377</v>
      </c>
      <c r="F119" s="1010" t="s">
        <v>1378</v>
      </c>
      <c r="G119" s="989">
        <v>45200</v>
      </c>
      <c r="H119" s="937"/>
      <c r="I119" s="1065"/>
      <c r="J119" s="1065"/>
      <c r="K119" s="1066"/>
      <c r="L119" s="1065"/>
      <c r="M119" s="1067"/>
      <c r="N119" s="989">
        <v>45200</v>
      </c>
      <c r="O119" s="989">
        <v>0</v>
      </c>
      <c r="P119" s="989">
        <v>45200</v>
      </c>
      <c r="Q119" s="989">
        <f t="shared" ref="Q119:Q182" si="20">P119+O119</f>
        <v>45200</v>
      </c>
      <c r="R119" s="989">
        <f>Q119/N119*100</f>
        <v>100</v>
      </c>
      <c r="S119" s="1011">
        <v>0</v>
      </c>
      <c r="T119" s="989">
        <f t="shared" ref="T119:T182" si="21">S119/N119*100</f>
        <v>0</v>
      </c>
      <c r="U119" s="989">
        <f t="shared" si="17"/>
        <v>45200</v>
      </c>
      <c r="V119" s="989">
        <f t="shared" si="18"/>
        <v>100</v>
      </c>
      <c r="W119" s="989"/>
      <c r="X119" s="989">
        <f t="shared" si="19"/>
        <v>0</v>
      </c>
      <c r="Y119" s="1012"/>
    </row>
    <row r="120" spans="1:25" ht="54" customHeight="1">
      <c r="A120" s="1006">
        <v>2</v>
      </c>
      <c r="B120" s="1007" t="s">
        <v>1379</v>
      </c>
      <c r="C120" s="1008"/>
      <c r="D120" s="1008" t="s">
        <v>3448</v>
      </c>
      <c r="E120" s="1007" t="s">
        <v>1380</v>
      </c>
      <c r="F120" s="1010" t="s">
        <v>1378</v>
      </c>
      <c r="G120" s="989">
        <v>45200</v>
      </c>
      <c r="H120" s="937"/>
      <c r="I120" s="1065"/>
      <c r="J120" s="1065"/>
      <c r="K120" s="1066">
        <v>-1600</v>
      </c>
      <c r="L120" s="1065"/>
      <c r="M120" s="1067"/>
      <c r="N120" s="989">
        <f>45200+M120+K120</f>
        <v>43600</v>
      </c>
      <c r="O120" s="989">
        <v>43600</v>
      </c>
      <c r="P120" s="989">
        <v>0</v>
      </c>
      <c r="Q120" s="989">
        <f t="shared" si="20"/>
        <v>43600</v>
      </c>
      <c r="R120" s="989">
        <f t="shared" ref="R120:R183" si="22">Q120/N120*100</f>
        <v>100</v>
      </c>
      <c r="S120" s="1011">
        <v>0</v>
      </c>
      <c r="T120" s="989">
        <f t="shared" si="21"/>
        <v>0</v>
      </c>
      <c r="U120" s="989">
        <f t="shared" si="17"/>
        <v>43600</v>
      </c>
      <c r="V120" s="989">
        <f t="shared" si="18"/>
        <v>100</v>
      </c>
      <c r="W120" s="989"/>
      <c r="X120" s="989">
        <f t="shared" si="19"/>
        <v>0</v>
      </c>
      <c r="Y120" s="1012"/>
    </row>
    <row r="121" spans="1:25" ht="55.5" customHeight="1">
      <c r="A121" s="1006">
        <v>3</v>
      </c>
      <c r="B121" s="1007" t="s">
        <v>1381</v>
      </c>
      <c r="C121" s="1008"/>
      <c r="D121" s="1008" t="s">
        <v>3449</v>
      </c>
      <c r="E121" s="1007" t="s">
        <v>1382</v>
      </c>
      <c r="F121" s="1010" t="s">
        <v>1378</v>
      </c>
      <c r="G121" s="989">
        <v>45200</v>
      </c>
      <c r="H121" s="937"/>
      <c r="I121" s="1065"/>
      <c r="J121" s="1065"/>
      <c r="K121" s="1066">
        <v>-5200</v>
      </c>
      <c r="L121" s="1065"/>
      <c r="M121" s="1067"/>
      <c r="N121" s="989">
        <f>G121+K121+M121</f>
        <v>40000</v>
      </c>
      <c r="O121" s="989">
        <v>40000</v>
      </c>
      <c r="P121" s="989"/>
      <c r="Q121" s="989">
        <f t="shared" si="20"/>
        <v>40000</v>
      </c>
      <c r="R121" s="989">
        <f t="shared" si="22"/>
        <v>100</v>
      </c>
      <c r="S121" s="1011"/>
      <c r="T121" s="989">
        <f t="shared" si="21"/>
        <v>0</v>
      </c>
      <c r="U121" s="989">
        <f t="shared" si="17"/>
        <v>40000</v>
      </c>
      <c r="V121" s="989">
        <f t="shared" si="18"/>
        <v>100</v>
      </c>
      <c r="W121" s="989"/>
      <c r="X121" s="989">
        <f t="shared" si="19"/>
        <v>0</v>
      </c>
      <c r="Y121" s="1012"/>
    </row>
    <row r="122" spans="1:25" ht="57.75" customHeight="1">
      <c r="A122" s="1006">
        <v>4</v>
      </c>
      <c r="B122" s="1014" t="s">
        <v>1383</v>
      </c>
      <c r="C122" s="1008"/>
      <c r="D122" s="1008" t="s">
        <v>3450</v>
      </c>
      <c r="E122" s="1007" t="s">
        <v>1384</v>
      </c>
      <c r="F122" s="1010" t="s">
        <v>1385</v>
      </c>
      <c r="G122" s="989">
        <v>45200</v>
      </c>
      <c r="H122" s="937"/>
      <c r="I122" s="1065"/>
      <c r="J122" s="1065"/>
      <c r="K122" s="1066"/>
      <c r="L122" s="1065"/>
      <c r="M122" s="1067"/>
      <c r="N122" s="989">
        <v>45200</v>
      </c>
      <c r="O122" s="989">
        <v>0</v>
      </c>
      <c r="P122" s="989">
        <v>45200</v>
      </c>
      <c r="Q122" s="989">
        <f t="shared" si="20"/>
        <v>45200</v>
      </c>
      <c r="R122" s="989">
        <f t="shared" si="22"/>
        <v>100</v>
      </c>
      <c r="S122" s="1011">
        <v>0</v>
      </c>
      <c r="T122" s="989">
        <f t="shared" si="21"/>
        <v>0</v>
      </c>
      <c r="U122" s="989">
        <f t="shared" si="17"/>
        <v>45200</v>
      </c>
      <c r="V122" s="989">
        <f t="shared" si="18"/>
        <v>100</v>
      </c>
      <c r="W122" s="989"/>
      <c r="X122" s="989">
        <f t="shared" si="19"/>
        <v>0</v>
      </c>
      <c r="Y122" s="1012"/>
    </row>
    <row r="123" spans="1:25" s="963" customFormat="1" ht="57.75" customHeight="1">
      <c r="A123" s="1015">
        <v>5</v>
      </c>
      <c r="B123" s="1016" t="s">
        <v>4445</v>
      </c>
      <c r="C123" s="1017"/>
      <c r="D123" s="1017" t="s">
        <v>4446</v>
      </c>
      <c r="E123" s="1016" t="s">
        <v>4365</v>
      </c>
      <c r="F123" s="1018" t="s">
        <v>1385</v>
      </c>
      <c r="G123" s="1019"/>
      <c r="H123" s="962"/>
      <c r="I123" s="1065"/>
      <c r="J123" s="1065"/>
      <c r="K123" s="1066"/>
      <c r="L123" s="1065"/>
      <c r="M123" s="1067"/>
      <c r="N123" s="1019">
        <v>0</v>
      </c>
      <c r="O123" s="1019">
        <v>0</v>
      </c>
      <c r="P123" s="1019"/>
      <c r="Q123" s="1019">
        <f t="shared" si="20"/>
        <v>0</v>
      </c>
      <c r="R123" s="1019" t="e">
        <f t="shared" si="22"/>
        <v>#DIV/0!</v>
      </c>
      <c r="S123" s="1020"/>
      <c r="T123" s="1019">
        <v>0</v>
      </c>
      <c r="U123" s="1019">
        <f t="shared" si="17"/>
        <v>0</v>
      </c>
      <c r="V123" s="1019">
        <v>0</v>
      </c>
      <c r="W123" s="1019"/>
      <c r="X123" s="1019">
        <f t="shared" si="19"/>
        <v>0</v>
      </c>
      <c r="Y123" s="1021"/>
    </row>
    <row r="124" spans="1:25" ht="57" customHeight="1">
      <c r="A124" s="1006">
        <v>6</v>
      </c>
      <c r="B124" s="1007" t="s">
        <v>1386</v>
      </c>
      <c r="C124" s="1008"/>
      <c r="D124" s="1008" t="s">
        <v>3451</v>
      </c>
      <c r="E124" s="1007" t="s">
        <v>1387</v>
      </c>
      <c r="F124" s="1010" t="s">
        <v>559</v>
      </c>
      <c r="G124" s="989">
        <v>90400</v>
      </c>
      <c r="H124" s="937"/>
      <c r="I124" s="1065"/>
      <c r="J124" s="1065"/>
      <c r="K124" s="1066">
        <v>-10089</v>
      </c>
      <c r="L124" s="1065"/>
      <c r="M124" s="1067"/>
      <c r="N124" s="989">
        <f>90400+M124+K124</f>
        <v>80311</v>
      </c>
      <c r="O124" s="989">
        <v>45200</v>
      </c>
      <c r="P124" s="989">
        <v>35111</v>
      </c>
      <c r="Q124" s="989">
        <f t="shared" si="20"/>
        <v>80311</v>
      </c>
      <c r="R124" s="989">
        <f t="shared" si="22"/>
        <v>100</v>
      </c>
      <c r="S124" s="1011">
        <v>0</v>
      </c>
      <c r="T124" s="989">
        <f t="shared" si="21"/>
        <v>0</v>
      </c>
      <c r="U124" s="989">
        <f t="shared" si="17"/>
        <v>80311</v>
      </c>
      <c r="V124" s="989">
        <f t="shared" si="18"/>
        <v>100</v>
      </c>
      <c r="W124" s="989"/>
      <c r="X124" s="989">
        <f t="shared" si="19"/>
        <v>0</v>
      </c>
      <c r="Y124" s="1012"/>
    </row>
    <row r="125" spans="1:25" ht="55.5" customHeight="1">
      <c r="A125" s="1006">
        <v>7</v>
      </c>
      <c r="B125" s="1007" t="s">
        <v>1388</v>
      </c>
      <c r="C125" s="1008"/>
      <c r="D125" s="1008" t="s">
        <v>3452</v>
      </c>
      <c r="E125" s="1007" t="s">
        <v>1389</v>
      </c>
      <c r="F125" s="1010" t="s">
        <v>559</v>
      </c>
      <c r="G125" s="989">
        <v>45200</v>
      </c>
      <c r="H125" s="937"/>
      <c r="I125" s="1065"/>
      <c r="J125" s="1065"/>
      <c r="K125" s="1066"/>
      <c r="L125" s="1065"/>
      <c r="M125" s="1067"/>
      <c r="N125" s="989">
        <v>45200</v>
      </c>
      <c r="O125" s="989">
        <v>45200</v>
      </c>
      <c r="P125" s="989"/>
      <c r="Q125" s="989">
        <f t="shared" si="20"/>
        <v>45200</v>
      </c>
      <c r="R125" s="989">
        <f t="shared" si="22"/>
        <v>100</v>
      </c>
      <c r="S125" s="1011"/>
      <c r="T125" s="989">
        <f t="shared" si="21"/>
        <v>0</v>
      </c>
      <c r="U125" s="989">
        <f t="shared" si="17"/>
        <v>45200</v>
      </c>
      <c r="V125" s="989">
        <f t="shared" si="18"/>
        <v>100</v>
      </c>
      <c r="W125" s="989"/>
      <c r="X125" s="989">
        <f t="shared" si="19"/>
        <v>0</v>
      </c>
      <c r="Y125" s="1012"/>
    </row>
    <row r="126" spans="1:25" ht="57" customHeight="1">
      <c r="A126" s="1006">
        <v>8</v>
      </c>
      <c r="B126" s="1007" t="s">
        <v>1390</v>
      </c>
      <c r="C126" s="1008"/>
      <c r="D126" s="1008" t="s">
        <v>3453</v>
      </c>
      <c r="E126" s="1007" t="s">
        <v>1391</v>
      </c>
      <c r="F126" s="1010" t="s">
        <v>559</v>
      </c>
      <c r="G126" s="989">
        <v>45200</v>
      </c>
      <c r="H126" s="937"/>
      <c r="I126" s="1065"/>
      <c r="J126" s="1065"/>
      <c r="K126" s="1066"/>
      <c r="L126" s="1065"/>
      <c r="M126" s="1067"/>
      <c r="N126" s="989">
        <v>45200</v>
      </c>
      <c r="O126" s="989">
        <v>0</v>
      </c>
      <c r="P126" s="989">
        <v>45200</v>
      </c>
      <c r="Q126" s="989">
        <f t="shared" si="20"/>
        <v>45200</v>
      </c>
      <c r="R126" s="989">
        <f t="shared" si="22"/>
        <v>100</v>
      </c>
      <c r="S126" s="1011">
        <v>0</v>
      </c>
      <c r="T126" s="989">
        <f t="shared" si="21"/>
        <v>0</v>
      </c>
      <c r="U126" s="989">
        <f t="shared" si="17"/>
        <v>45200</v>
      </c>
      <c r="V126" s="989">
        <f t="shared" si="18"/>
        <v>100</v>
      </c>
      <c r="W126" s="989"/>
      <c r="X126" s="989">
        <f t="shared" si="19"/>
        <v>0</v>
      </c>
      <c r="Y126" s="1012"/>
    </row>
    <row r="127" spans="1:25" ht="57" customHeight="1">
      <c r="A127" s="1006">
        <v>9</v>
      </c>
      <c r="B127" s="1007" t="s">
        <v>1392</v>
      </c>
      <c r="C127" s="1008"/>
      <c r="D127" s="1008" t="s">
        <v>3454</v>
      </c>
      <c r="E127" s="1007" t="s">
        <v>3242</v>
      </c>
      <c r="F127" s="1010" t="s">
        <v>568</v>
      </c>
      <c r="G127" s="989">
        <v>90400</v>
      </c>
      <c r="H127" s="937"/>
      <c r="I127" s="1065"/>
      <c r="J127" s="1065"/>
      <c r="K127" s="1066">
        <v>-27100</v>
      </c>
      <c r="L127" s="1065"/>
      <c r="M127" s="1067"/>
      <c r="N127" s="989">
        <f>90400+M127+K127</f>
        <v>63300</v>
      </c>
      <c r="O127" s="989">
        <v>31300</v>
      </c>
      <c r="P127" s="989">
        <v>32000</v>
      </c>
      <c r="Q127" s="989">
        <f t="shared" si="20"/>
        <v>63300</v>
      </c>
      <c r="R127" s="989">
        <f t="shared" si="22"/>
        <v>100</v>
      </c>
      <c r="S127" s="1011">
        <v>0</v>
      </c>
      <c r="T127" s="989">
        <f t="shared" si="21"/>
        <v>0</v>
      </c>
      <c r="U127" s="989">
        <f t="shared" si="17"/>
        <v>63300</v>
      </c>
      <c r="V127" s="989">
        <f t="shared" si="18"/>
        <v>100</v>
      </c>
      <c r="W127" s="989"/>
      <c r="X127" s="989">
        <f t="shared" si="19"/>
        <v>0</v>
      </c>
      <c r="Y127" s="1012"/>
    </row>
    <row r="128" spans="1:25" ht="58.5" customHeight="1">
      <c r="A128" s="1006">
        <v>10</v>
      </c>
      <c r="B128" s="1007" t="s">
        <v>1393</v>
      </c>
      <c r="C128" s="1008"/>
      <c r="D128" s="1008" t="s">
        <v>3455</v>
      </c>
      <c r="E128" s="1007" t="s">
        <v>1394</v>
      </c>
      <c r="F128" s="1010" t="s">
        <v>568</v>
      </c>
      <c r="G128" s="989">
        <v>180800</v>
      </c>
      <c r="H128" s="937"/>
      <c r="I128" s="1065"/>
      <c r="J128" s="1065"/>
      <c r="K128" s="1066">
        <v>-49000</v>
      </c>
      <c r="L128" s="1065"/>
      <c r="M128" s="1067"/>
      <c r="N128" s="989">
        <f>180800+M128+K128</f>
        <v>131800</v>
      </c>
      <c r="O128" s="989">
        <v>0</v>
      </c>
      <c r="P128" s="989">
        <v>131800</v>
      </c>
      <c r="Q128" s="989">
        <f t="shared" si="20"/>
        <v>131800</v>
      </c>
      <c r="R128" s="989">
        <f t="shared" si="22"/>
        <v>100</v>
      </c>
      <c r="S128" s="1011">
        <v>0</v>
      </c>
      <c r="T128" s="989">
        <f t="shared" si="21"/>
        <v>0</v>
      </c>
      <c r="U128" s="989">
        <f t="shared" si="17"/>
        <v>131800</v>
      </c>
      <c r="V128" s="989">
        <f t="shared" si="18"/>
        <v>100</v>
      </c>
      <c r="W128" s="989"/>
      <c r="X128" s="989">
        <f t="shared" si="19"/>
        <v>0</v>
      </c>
      <c r="Y128" s="1012"/>
    </row>
    <row r="129" spans="1:25" s="938" customFormat="1" ht="57" customHeight="1">
      <c r="A129" s="1074">
        <v>11</v>
      </c>
      <c r="B129" s="1075" t="s">
        <v>4447</v>
      </c>
      <c r="C129" s="1076"/>
      <c r="D129" s="1076" t="s">
        <v>4448</v>
      </c>
      <c r="E129" s="1075" t="s">
        <v>4366</v>
      </c>
      <c r="F129" s="1077" t="s">
        <v>568</v>
      </c>
      <c r="G129" s="1078"/>
      <c r="H129" s="1072"/>
      <c r="I129" s="1065"/>
      <c r="J129" s="1065"/>
      <c r="K129" s="1066"/>
      <c r="L129" s="1065"/>
      <c r="M129" s="1067"/>
      <c r="N129" s="1078">
        <v>0</v>
      </c>
      <c r="O129" s="1078">
        <v>0</v>
      </c>
      <c r="P129" s="1078"/>
      <c r="Q129" s="1078">
        <f t="shared" si="20"/>
        <v>0</v>
      </c>
      <c r="R129" s="1078" t="e">
        <f t="shared" si="22"/>
        <v>#DIV/0!</v>
      </c>
      <c r="S129" s="1079"/>
      <c r="T129" s="1078"/>
      <c r="U129" s="1078">
        <f t="shared" si="17"/>
        <v>0</v>
      </c>
      <c r="V129" s="1078"/>
      <c r="W129" s="1078"/>
      <c r="X129" s="1078">
        <f t="shared" si="19"/>
        <v>0</v>
      </c>
      <c r="Y129" s="1080"/>
    </row>
    <row r="130" spans="1:25" ht="58.5" customHeight="1">
      <c r="A130" s="1006">
        <v>12</v>
      </c>
      <c r="B130" s="1007" t="s">
        <v>1395</v>
      </c>
      <c r="C130" s="1008"/>
      <c r="D130" s="1008" t="s">
        <v>3456</v>
      </c>
      <c r="E130" s="1007" t="s">
        <v>4334</v>
      </c>
      <c r="F130" s="1010" t="s">
        <v>554</v>
      </c>
      <c r="G130" s="989">
        <v>90400</v>
      </c>
      <c r="H130" s="937"/>
      <c r="I130" s="1065"/>
      <c r="J130" s="1065"/>
      <c r="K130" s="1066">
        <f>-14600-700</f>
        <v>-15300</v>
      </c>
      <c r="L130" s="1065"/>
      <c r="M130" s="1067"/>
      <c r="N130" s="989">
        <f>90400+K130+M130</f>
        <v>75100</v>
      </c>
      <c r="O130" s="989">
        <v>0</v>
      </c>
      <c r="P130" s="989">
        <v>75100</v>
      </c>
      <c r="Q130" s="989">
        <f t="shared" si="20"/>
        <v>75100</v>
      </c>
      <c r="R130" s="989">
        <f t="shared" si="22"/>
        <v>100</v>
      </c>
      <c r="S130" s="1011">
        <v>0</v>
      </c>
      <c r="T130" s="989">
        <f t="shared" si="21"/>
        <v>0</v>
      </c>
      <c r="U130" s="989">
        <f t="shared" si="17"/>
        <v>75100</v>
      </c>
      <c r="V130" s="989">
        <f t="shared" si="18"/>
        <v>100</v>
      </c>
      <c r="W130" s="989"/>
      <c r="X130" s="989">
        <f t="shared" si="19"/>
        <v>0</v>
      </c>
      <c r="Y130" s="1012"/>
    </row>
    <row r="131" spans="1:25" ht="57" customHeight="1">
      <c r="A131" s="1022">
        <v>13</v>
      </c>
      <c r="B131" s="1007" t="s">
        <v>1396</v>
      </c>
      <c r="C131" s="1008"/>
      <c r="D131" s="1008" t="s">
        <v>3457</v>
      </c>
      <c r="E131" s="1007" t="s">
        <v>4335</v>
      </c>
      <c r="F131" s="1010" t="s">
        <v>554</v>
      </c>
      <c r="G131" s="989">
        <v>45200</v>
      </c>
      <c r="H131" s="937"/>
      <c r="I131" s="1065"/>
      <c r="J131" s="1065"/>
      <c r="K131" s="1066">
        <f>-9000-13200</f>
        <v>-22200</v>
      </c>
      <c r="L131" s="1065"/>
      <c r="M131" s="1067"/>
      <c r="N131" s="989">
        <f>45200+K131+M131</f>
        <v>23000</v>
      </c>
      <c r="O131" s="989">
        <v>0</v>
      </c>
      <c r="P131" s="989">
        <v>23000</v>
      </c>
      <c r="Q131" s="989">
        <f t="shared" si="20"/>
        <v>23000</v>
      </c>
      <c r="R131" s="989">
        <f t="shared" si="22"/>
        <v>100</v>
      </c>
      <c r="S131" s="1011">
        <v>0</v>
      </c>
      <c r="T131" s="989">
        <f t="shared" si="21"/>
        <v>0</v>
      </c>
      <c r="U131" s="989">
        <f t="shared" si="17"/>
        <v>23000</v>
      </c>
      <c r="V131" s="989">
        <f t="shared" si="18"/>
        <v>100</v>
      </c>
      <c r="W131" s="989"/>
      <c r="X131" s="989">
        <f t="shared" si="19"/>
        <v>0</v>
      </c>
      <c r="Y131" s="1023"/>
    </row>
    <row r="132" spans="1:25" ht="55.5" customHeight="1">
      <c r="A132" s="1006">
        <v>14</v>
      </c>
      <c r="B132" s="1007" t="s">
        <v>1397</v>
      </c>
      <c r="C132" s="1008"/>
      <c r="D132" s="1008" t="s">
        <v>3458</v>
      </c>
      <c r="E132" s="1007" t="s">
        <v>1398</v>
      </c>
      <c r="F132" s="1010" t="s">
        <v>554</v>
      </c>
      <c r="G132" s="989">
        <v>361600</v>
      </c>
      <c r="H132" s="937"/>
      <c r="I132" s="1065"/>
      <c r="J132" s="1065"/>
      <c r="K132" s="1066">
        <f>-12277.2</f>
        <v>-12277.2</v>
      </c>
      <c r="L132" s="1065"/>
      <c r="M132" s="1067"/>
      <c r="N132" s="989">
        <f>294185+M132+K132</f>
        <v>281907.8</v>
      </c>
      <c r="O132" s="989">
        <v>147420</v>
      </c>
      <c r="P132" s="989">
        <v>134487.79999999999</v>
      </c>
      <c r="Q132" s="989">
        <f t="shared" si="20"/>
        <v>281907.8</v>
      </c>
      <c r="R132" s="989">
        <f t="shared" si="22"/>
        <v>100</v>
      </c>
      <c r="S132" s="1011">
        <v>0</v>
      </c>
      <c r="T132" s="989">
        <f t="shared" si="21"/>
        <v>0</v>
      </c>
      <c r="U132" s="989">
        <f t="shared" si="17"/>
        <v>281907.8</v>
      </c>
      <c r="V132" s="989">
        <f t="shared" si="18"/>
        <v>100</v>
      </c>
      <c r="W132" s="989"/>
      <c r="X132" s="989">
        <f t="shared" si="19"/>
        <v>0</v>
      </c>
      <c r="Y132" s="1012"/>
    </row>
    <row r="133" spans="1:25" ht="57" customHeight="1">
      <c r="A133" s="1006">
        <v>15</v>
      </c>
      <c r="B133" s="1007" t="s">
        <v>1399</v>
      </c>
      <c r="C133" s="1008"/>
      <c r="D133" s="1008" t="s">
        <v>3459</v>
      </c>
      <c r="E133" s="1007" t="s">
        <v>1400</v>
      </c>
      <c r="F133" s="1010" t="s">
        <v>554</v>
      </c>
      <c r="G133" s="989">
        <v>90400</v>
      </c>
      <c r="H133" s="937"/>
      <c r="I133" s="1065"/>
      <c r="J133" s="1065"/>
      <c r="K133" s="1066">
        <f>-17355-25969</f>
        <v>-43324</v>
      </c>
      <c r="L133" s="1065"/>
      <c r="M133" s="1067"/>
      <c r="N133" s="989">
        <f>90400+M133+K133</f>
        <v>47076</v>
      </c>
      <c r="O133" s="989">
        <v>0</v>
      </c>
      <c r="P133" s="989">
        <v>47076</v>
      </c>
      <c r="Q133" s="989">
        <f t="shared" si="20"/>
        <v>47076</v>
      </c>
      <c r="R133" s="989">
        <f t="shared" si="22"/>
        <v>100</v>
      </c>
      <c r="S133" s="1011">
        <v>0</v>
      </c>
      <c r="T133" s="989">
        <f t="shared" si="21"/>
        <v>0</v>
      </c>
      <c r="U133" s="989">
        <f t="shared" si="17"/>
        <v>47076</v>
      </c>
      <c r="V133" s="989">
        <f t="shared" si="18"/>
        <v>100</v>
      </c>
      <c r="W133" s="989"/>
      <c r="X133" s="989">
        <f t="shared" si="19"/>
        <v>0</v>
      </c>
      <c r="Y133" s="1012"/>
    </row>
    <row r="134" spans="1:25" ht="57" customHeight="1">
      <c r="A134" s="1006">
        <v>16</v>
      </c>
      <c r="B134" s="1007" t="s">
        <v>1401</v>
      </c>
      <c r="C134" s="1008"/>
      <c r="D134" s="1008" t="s">
        <v>3460</v>
      </c>
      <c r="E134" s="1007" t="s">
        <v>4336</v>
      </c>
      <c r="F134" s="1010" t="s">
        <v>554</v>
      </c>
      <c r="G134" s="989">
        <v>45200</v>
      </c>
      <c r="H134" s="937"/>
      <c r="I134" s="1065"/>
      <c r="J134" s="1065"/>
      <c r="K134" s="1066">
        <f>-9500-9000</f>
        <v>-18500</v>
      </c>
      <c r="L134" s="1065"/>
      <c r="M134" s="1067"/>
      <c r="N134" s="989">
        <f>G134+K134+M134</f>
        <v>26700</v>
      </c>
      <c r="O134" s="989">
        <v>0</v>
      </c>
      <c r="P134" s="989">
        <v>26700</v>
      </c>
      <c r="Q134" s="989">
        <f t="shared" si="20"/>
        <v>26700</v>
      </c>
      <c r="R134" s="989">
        <f t="shared" si="22"/>
        <v>100</v>
      </c>
      <c r="S134" s="1011">
        <v>0</v>
      </c>
      <c r="T134" s="989">
        <f t="shared" si="21"/>
        <v>0</v>
      </c>
      <c r="U134" s="989">
        <f t="shared" si="17"/>
        <v>26700</v>
      </c>
      <c r="V134" s="989">
        <f t="shared" si="18"/>
        <v>100</v>
      </c>
      <c r="W134" s="989"/>
      <c r="X134" s="989">
        <f t="shared" si="19"/>
        <v>0</v>
      </c>
      <c r="Y134" s="1012"/>
    </row>
    <row r="135" spans="1:25" ht="58.5" customHeight="1">
      <c r="A135" s="1006">
        <v>17</v>
      </c>
      <c r="B135" s="1007" t="s">
        <v>1402</v>
      </c>
      <c r="C135" s="1008"/>
      <c r="D135" s="1008" t="s">
        <v>3461</v>
      </c>
      <c r="E135" s="1007" t="s">
        <v>1403</v>
      </c>
      <c r="F135" s="1010" t="s">
        <v>554</v>
      </c>
      <c r="G135" s="989">
        <v>226000</v>
      </c>
      <c r="H135" s="937"/>
      <c r="I135" s="1065"/>
      <c r="J135" s="1065"/>
      <c r="K135" s="1066">
        <f>-40722-35158</f>
        <v>-75880</v>
      </c>
      <c r="L135" s="1065"/>
      <c r="M135" s="1067"/>
      <c r="N135" s="989">
        <f>G135+M135+K135</f>
        <v>150120</v>
      </c>
      <c r="O135" s="989">
        <v>0</v>
      </c>
      <c r="P135" s="989">
        <v>150120</v>
      </c>
      <c r="Q135" s="989">
        <f t="shared" si="20"/>
        <v>150120</v>
      </c>
      <c r="R135" s="989">
        <f t="shared" si="22"/>
        <v>100</v>
      </c>
      <c r="S135" s="1011">
        <v>0</v>
      </c>
      <c r="T135" s="989">
        <f t="shared" si="21"/>
        <v>0</v>
      </c>
      <c r="U135" s="989">
        <f t="shared" si="17"/>
        <v>150120</v>
      </c>
      <c r="V135" s="989">
        <f t="shared" si="18"/>
        <v>100</v>
      </c>
      <c r="W135" s="989"/>
      <c r="X135" s="989">
        <f t="shared" si="19"/>
        <v>0</v>
      </c>
      <c r="Y135" s="1012"/>
    </row>
    <row r="136" spans="1:25" ht="58.5" customHeight="1">
      <c r="A136" s="1006">
        <v>18</v>
      </c>
      <c r="B136" s="1007" t="s">
        <v>1404</v>
      </c>
      <c r="C136" s="1008"/>
      <c r="D136" s="1008" t="s">
        <v>3462</v>
      </c>
      <c r="E136" s="1007" t="s">
        <v>1405</v>
      </c>
      <c r="F136" s="1010" t="s">
        <v>554</v>
      </c>
      <c r="G136" s="989">
        <v>90400</v>
      </c>
      <c r="H136" s="937"/>
      <c r="I136" s="1065"/>
      <c r="J136" s="1065"/>
      <c r="K136" s="1066">
        <f>-16025-200</f>
        <v>-16225</v>
      </c>
      <c r="L136" s="1065"/>
      <c r="M136" s="1067"/>
      <c r="N136" s="989">
        <f>90400+M136+K136</f>
        <v>74175</v>
      </c>
      <c r="O136" s="989">
        <v>36000</v>
      </c>
      <c r="P136" s="989">
        <v>38175</v>
      </c>
      <c r="Q136" s="989">
        <f t="shared" si="20"/>
        <v>74175</v>
      </c>
      <c r="R136" s="989">
        <f t="shared" si="22"/>
        <v>100</v>
      </c>
      <c r="S136" s="1011">
        <v>0</v>
      </c>
      <c r="T136" s="989">
        <f t="shared" si="21"/>
        <v>0</v>
      </c>
      <c r="U136" s="989">
        <f t="shared" si="17"/>
        <v>74175</v>
      </c>
      <c r="V136" s="989">
        <f t="shared" si="18"/>
        <v>100</v>
      </c>
      <c r="W136" s="989"/>
      <c r="X136" s="989">
        <f t="shared" si="19"/>
        <v>0</v>
      </c>
      <c r="Y136" s="1012"/>
    </row>
    <row r="137" spans="1:25" ht="54.75" customHeight="1">
      <c r="A137" s="1006">
        <v>19</v>
      </c>
      <c r="B137" s="1007" t="s">
        <v>1406</v>
      </c>
      <c r="C137" s="1008"/>
      <c r="D137" s="1008" t="s">
        <v>3463</v>
      </c>
      <c r="E137" s="1007" t="s">
        <v>4337</v>
      </c>
      <c r="F137" s="1010" t="s">
        <v>554</v>
      </c>
      <c r="G137" s="989">
        <v>90400</v>
      </c>
      <c r="H137" s="937"/>
      <c r="I137" s="1065"/>
      <c r="J137" s="1065"/>
      <c r="K137" s="1066">
        <f>-18000-11400</f>
        <v>-29400</v>
      </c>
      <c r="L137" s="1065"/>
      <c r="M137" s="1067"/>
      <c r="N137" s="989">
        <f>90400+K137+M137</f>
        <v>61000</v>
      </c>
      <c r="O137" s="989">
        <v>0</v>
      </c>
      <c r="P137" s="989">
        <v>61000</v>
      </c>
      <c r="Q137" s="989">
        <f t="shared" si="20"/>
        <v>61000</v>
      </c>
      <c r="R137" s="989">
        <f t="shared" si="22"/>
        <v>100</v>
      </c>
      <c r="S137" s="1011">
        <v>0</v>
      </c>
      <c r="T137" s="989">
        <f t="shared" si="21"/>
        <v>0</v>
      </c>
      <c r="U137" s="989">
        <f t="shared" si="17"/>
        <v>61000</v>
      </c>
      <c r="V137" s="989">
        <f t="shared" si="18"/>
        <v>100</v>
      </c>
      <c r="W137" s="989"/>
      <c r="X137" s="989">
        <f t="shared" si="19"/>
        <v>0</v>
      </c>
      <c r="Y137" s="1012"/>
    </row>
    <row r="138" spans="1:25" ht="57.75" customHeight="1">
      <c r="A138" s="1006">
        <v>20</v>
      </c>
      <c r="B138" s="1007" t="s">
        <v>2836</v>
      </c>
      <c r="C138" s="1008"/>
      <c r="D138" s="1008" t="s">
        <v>3464</v>
      </c>
      <c r="E138" s="1007" t="s">
        <v>1407</v>
      </c>
      <c r="F138" s="1010" t="s">
        <v>554</v>
      </c>
      <c r="G138" s="989">
        <v>135600</v>
      </c>
      <c r="H138" s="937"/>
      <c r="I138" s="1065"/>
      <c r="J138" s="1065"/>
      <c r="K138" s="1066">
        <f>-27000-36485.03</f>
        <v>-63485.03</v>
      </c>
      <c r="L138" s="1065"/>
      <c r="M138" s="1067">
        <v>-3684.53</v>
      </c>
      <c r="N138" s="989">
        <f>G138+M138+K138</f>
        <v>68430.44</v>
      </c>
      <c r="O138" s="989">
        <v>20850.900000000001</v>
      </c>
      <c r="P138" s="989">
        <v>47579.54</v>
      </c>
      <c r="Q138" s="989">
        <f t="shared" si="20"/>
        <v>68430.44</v>
      </c>
      <c r="R138" s="989">
        <f t="shared" si="22"/>
        <v>100</v>
      </c>
      <c r="S138" s="1011">
        <v>0</v>
      </c>
      <c r="T138" s="989">
        <f t="shared" si="21"/>
        <v>0</v>
      </c>
      <c r="U138" s="989">
        <f>S138+Q138</f>
        <v>68430.44</v>
      </c>
      <c r="V138" s="989">
        <f>U138/N138*100</f>
        <v>100</v>
      </c>
      <c r="W138" s="989"/>
      <c r="X138" s="989">
        <f t="shared" si="19"/>
        <v>0</v>
      </c>
      <c r="Y138" s="1012"/>
    </row>
    <row r="139" spans="1:25" ht="63" customHeight="1">
      <c r="A139" s="1006">
        <v>21</v>
      </c>
      <c r="B139" s="1007" t="s">
        <v>1408</v>
      </c>
      <c r="C139" s="1008"/>
      <c r="D139" s="1008" t="s">
        <v>3465</v>
      </c>
      <c r="E139" s="1007" t="s">
        <v>1409</v>
      </c>
      <c r="F139" s="1010" t="s">
        <v>554</v>
      </c>
      <c r="G139" s="989">
        <v>135600</v>
      </c>
      <c r="H139" s="937"/>
      <c r="I139" s="1065"/>
      <c r="J139" s="1065"/>
      <c r="K139" s="1066"/>
      <c r="L139" s="1065"/>
      <c r="M139" s="1067"/>
      <c r="N139" s="989">
        <v>135600</v>
      </c>
      <c r="O139" s="989">
        <v>0</v>
      </c>
      <c r="P139" s="989">
        <v>135600</v>
      </c>
      <c r="Q139" s="989">
        <f t="shared" si="20"/>
        <v>135600</v>
      </c>
      <c r="R139" s="989">
        <f t="shared" si="22"/>
        <v>100</v>
      </c>
      <c r="S139" s="1011">
        <v>0</v>
      </c>
      <c r="T139" s="989">
        <f t="shared" si="21"/>
        <v>0</v>
      </c>
      <c r="U139" s="989">
        <f t="shared" si="17"/>
        <v>135600</v>
      </c>
      <c r="V139" s="989">
        <f t="shared" si="18"/>
        <v>100</v>
      </c>
      <c r="W139" s="989"/>
      <c r="X139" s="989">
        <f t="shared" si="19"/>
        <v>0</v>
      </c>
      <c r="Y139" s="1012"/>
    </row>
    <row r="140" spans="1:25" ht="63" customHeight="1">
      <c r="A140" s="1006">
        <v>22</v>
      </c>
      <c r="B140" s="1007" t="s">
        <v>1410</v>
      </c>
      <c r="C140" s="1008"/>
      <c r="D140" s="1008" t="s">
        <v>3466</v>
      </c>
      <c r="E140" s="1007" t="s">
        <v>1411</v>
      </c>
      <c r="F140" s="1010" t="s">
        <v>554</v>
      </c>
      <c r="G140" s="989">
        <v>90400</v>
      </c>
      <c r="H140" s="937"/>
      <c r="I140" s="1065"/>
      <c r="J140" s="1065"/>
      <c r="K140" s="1066">
        <f>-17674-11587</f>
        <v>-29261</v>
      </c>
      <c r="L140" s="1065"/>
      <c r="M140" s="1067"/>
      <c r="N140" s="989">
        <f>90400+M140+K140</f>
        <v>61139</v>
      </c>
      <c r="O140" s="989">
        <v>0</v>
      </c>
      <c r="P140" s="989">
        <v>61139</v>
      </c>
      <c r="Q140" s="989">
        <f t="shared" si="20"/>
        <v>61139</v>
      </c>
      <c r="R140" s="989">
        <f t="shared" si="22"/>
        <v>100</v>
      </c>
      <c r="S140" s="1011">
        <v>0</v>
      </c>
      <c r="T140" s="989">
        <f t="shared" si="21"/>
        <v>0</v>
      </c>
      <c r="U140" s="989">
        <f t="shared" si="17"/>
        <v>61139</v>
      </c>
      <c r="V140" s="989">
        <f t="shared" si="18"/>
        <v>100</v>
      </c>
      <c r="W140" s="989"/>
      <c r="X140" s="989">
        <f t="shared" si="19"/>
        <v>0</v>
      </c>
      <c r="Y140" s="1012"/>
    </row>
    <row r="141" spans="1:25" ht="63" customHeight="1">
      <c r="A141" s="1006">
        <v>23</v>
      </c>
      <c r="B141" s="1007" t="s">
        <v>1412</v>
      </c>
      <c r="C141" s="1008"/>
      <c r="D141" s="1008" t="s">
        <v>3467</v>
      </c>
      <c r="E141" s="1007" t="s">
        <v>1413</v>
      </c>
      <c r="F141" s="1010" t="s">
        <v>554</v>
      </c>
      <c r="G141" s="989">
        <v>135600</v>
      </c>
      <c r="H141" s="937"/>
      <c r="I141" s="1065"/>
      <c r="J141" s="1065"/>
      <c r="K141" s="1066"/>
      <c r="L141" s="1065"/>
      <c r="M141" s="1067"/>
      <c r="N141" s="989">
        <v>135600</v>
      </c>
      <c r="O141" s="989">
        <v>0</v>
      </c>
      <c r="P141" s="989">
        <v>135600</v>
      </c>
      <c r="Q141" s="989">
        <f t="shared" si="20"/>
        <v>135600</v>
      </c>
      <c r="R141" s="989">
        <f t="shared" si="22"/>
        <v>100</v>
      </c>
      <c r="S141" s="1011">
        <v>0</v>
      </c>
      <c r="T141" s="989">
        <f t="shared" si="21"/>
        <v>0</v>
      </c>
      <c r="U141" s="989">
        <f t="shared" si="17"/>
        <v>135600</v>
      </c>
      <c r="V141" s="989">
        <f t="shared" si="18"/>
        <v>100</v>
      </c>
      <c r="W141" s="989"/>
      <c r="X141" s="989">
        <f t="shared" si="19"/>
        <v>0</v>
      </c>
      <c r="Y141" s="1012"/>
    </row>
    <row r="142" spans="1:25" ht="63" customHeight="1">
      <c r="A142" s="1006">
        <v>24</v>
      </c>
      <c r="B142" s="1007" t="s">
        <v>2837</v>
      </c>
      <c r="C142" s="1008"/>
      <c r="D142" s="1008" t="s">
        <v>3468</v>
      </c>
      <c r="E142" s="1007" t="s">
        <v>1414</v>
      </c>
      <c r="F142" s="1010" t="s">
        <v>554</v>
      </c>
      <c r="G142" s="989">
        <v>90400</v>
      </c>
      <c r="H142" s="937"/>
      <c r="I142" s="1065"/>
      <c r="J142" s="1065"/>
      <c r="K142" s="1066">
        <v>-1600</v>
      </c>
      <c r="L142" s="1065"/>
      <c r="M142" s="1067"/>
      <c r="N142" s="989">
        <v>88800</v>
      </c>
      <c r="O142" s="989">
        <v>0</v>
      </c>
      <c r="P142" s="989">
        <v>88800</v>
      </c>
      <c r="Q142" s="989">
        <f t="shared" si="20"/>
        <v>88800</v>
      </c>
      <c r="R142" s="989">
        <f t="shared" si="22"/>
        <v>100</v>
      </c>
      <c r="S142" s="1011">
        <v>0</v>
      </c>
      <c r="T142" s="989">
        <f t="shared" si="21"/>
        <v>0</v>
      </c>
      <c r="U142" s="989">
        <f t="shared" si="17"/>
        <v>88800</v>
      </c>
      <c r="V142" s="989">
        <f t="shared" si="18"/>
        <v>100</v>
      </c>
      <c r="W142" s="989"/>
      <c r="X142" s="989">
        <f t="shared" si="19"/>
        <v>0</v>
      </c>
      <c r="Y142" s="1012"/>
    </row>
    <row r="143" spans="1:25" ht="63" customHeight="1">
      <c r="A143" s="1006">
        <v>25</v>
      </c>
      <c r="B143" s="1007" t="s">
        <v>1415</v>
      </c>
      <c r="C143" s="1008"/>
      <c r="D143" s="1008" t="s">
        <v>3469</v>
      </c>
      <c r="E143" s="1007" t="s">
        <v>1416</v>
      </c>
      <c r="F143" s="1010" t="s">
        <v>554</v>
      </c>
      <c r="G143" s="989">
        <v>587600</v>
      </c>
      <c r="H143" s="937"/>
      <c r="I143" s="1065"/>
      <c r="J143" s="1065"/>
      <c r="K143" s="1066">
        <f>-27244.3</f>
        <v>-27244.3</v>
      </c>
      <c r="L143" s="1065"/>
      <c r="M143" s="1067"/>
      <c r="N143" s="989">
        <f>478400+M143+K143</f>
        <v>451155.7</v>
      </c>
      <c r="O143" s="989">
        <v>0</v>
      </c>
      <c r="P143" s="989">
        <v>451155.7</v>
      </c>
      <c r="Q143" s="989">
        <f t="shared" si="20"/>
        <v>451155.7</v>
      </c>
      <c r="R143" s="989">
        <f t="shared" si="22"/>
        <v>100</v>
      </c>
      <c r="S143" s="1011">
        <v>0</v>
      </c>
      <c r="T143" s="989">
        <f t="shared" si="21"/>
        <v>0</v>
      </c>
      <c r="U143" s="989">
        <f t="shared" si="17"/>
        <v>451155.7</v>
      </c>
      <c r="V143" s="989">
        <f t="shared" si="18"/>
        <v>100</v>
      </c>
      <c r="W143" s="989"/>
      <c r="X143" s="989">
        <f t="shared" si="19"/>
        <v>0</v>
      </c>
      <c r="Y143" s="1012"/>
    </row>
    <row r="144" spans="1:25" ht="63" customHeight="1">
      <c r="A144" s="1006">
        <v>26</v>
      </c>
      <c r="B144" s="1007" t="s">
        <v>3243</v>
      </c>
      <c r="C144" s="1008"/>
      <c r="D144" s="1008" t="s">
        <v>3470</v>
      </c>
      <c r="E144" s="1007" t="s">
        <v>3244</v>
      </c>
      <c r="F144" s="1010" t="s">
        <v>545</v>
      </c>
      <c r="G144" s="989">
        <v>45200</v>
      </c>
      <c r="H144" s="937"/>
      <c r="I144" s="1065"/>
      <c r="J144" s="1065"/>
      <c r="K144" s="1066">
        <f>-1203.96-10829</f>
        <v>-12032.96</v>
      </c>
      <c r="L144" s="1065"/>
      <c r="M144" s="1067"/>
      <c r="N144" s="989">
        <f>45200+M144+K144</f>
        <v>33167.040000000001</v>
      </c>
      <c r="O144" s="989">
        <v>0</v>
      </c>
      <c r="P144" s="989">
        <v>33167.040000000001</v>
      </c>
      <c r="Q144" s="989">
        <f t="shared" si="20"/>
        <v>33167.040000000001</v>
      </c>
      <c r="R144" s="989">
        <f t="shared" si="22"/>
        <v>100</v>
      </c>
      <c r="S144" s="1011">
        <v>0</v>
      </c>
      <c r="T144" s="989">
        <f t="shared" si="21"/>
        <v>0</v>
      </c>
      <c r="U144" s="989">
        <f t="shared" si="17"/>
        <v>33167.040000000001</v>
      </c>
      <c r="V144" s="989">
        <f t="shared" si="18"/>
        <v>100</v>
      </c>
      <c r="W144" s="989"/>
      <c r="X144" s="989">
        <f t="shared" si="19"/>
        <v>0</v>
      </c>
      <c r="Y144" s="1012"/>
    </row>
    <row r="145" spans="1:25" s="963" customFormat="1" ht="63" hidden="1" customHeight="1">
      <c r="A145" s="1015">
        <v>27</v>
      </c>
      <c r="B145" s="1016" t="s">
        <v>4449</v>
      </c>
      <c r="C145" s="1017"/>
      <c r="D145" s="1017" t="s">
        <v>4450</v>
      </c>
      <c r="E145" s="1016" t="s">
        <v>4367</v>
      </c>
      <c r="F145" s="1018" t="s">
        <v>545</v>
      </c>
      <c r="G145" s="1019"/>
      <c r="H145" s="962"/>
      <c r="I145" s="1065"/>
      <c r="J145" s="1065"/>
      <c r="K145" s="1066"/>
      <c r="L145" s="1065"/>
      <c r="M145" s="1067"/>
      <c r="N145" s="1019">
        <v>0</v>
      </c>
      <c r="O145" s="1019">
        <v>0</v>
      </c>
      <c r="P145" s="1019"/>
      <c r="Q145" s="1019">
        <f t="shared" si="20"/>
        <v>0</v>
      </c>
      <c r="R145" s="1019" t="e">
        <f t="shared" si="22"/>
        <v>#DIV/0!</v>
      </c>
      <c r="S145" s="1020"/>
      <c r="T145" s="1019"/>
      <c r="U145" s="1019">
        <f t="shared" si="17"/>
        <v>0</v>
      </c>
      <c r="V145" s="1019"/>
      <c r="W145" s="1019"/>
      <c r="X145" s="1019">
        <f t="shared" si="19"/>
        <v>0</v>
      </c>
      <c r="Y145" s="1021"/>
    </row>
    <row r="146" spans="1:25" ht="63" customHeight="1">
      <c r="A146" s="1006">
        <v>28</v>
      </c>
      <c r="B146" s="1007" t="s">
        <v>1417</v>
      </c>
      <c r="C146" s="1008"/>
      <c r="D146" s="1008" t="s">
        <v>3471</v>
      </c>
      <c r="E146" s="1007" t="s">
        <v>1418</v>
      </c>
      <c r="F146" s="1010" t="s">
        <v>545</v>
      </c>
      <c r="G146" s="989">
        <v>45200</v>
      </c>
      <c r="H146" s="937"/>
      <c r="I146" s="1065"/>
      <c r="J146" s="1065"/>
      <c r="K146" s="1066"/>
      <c r="L146" s="1065"/>
      <c r="M146" s="1067"/>
      <c r="N146" s="989">
        <v>45200</v>
      </c>
      <c r="O146" s="989">
        <v>0</v>
      </c>
      <c r="P146" s="989">
        <v>45200</v>
      </c>
      <c r="Q146" s="989">
        <f t="shared" si="20"/>
        <v>45200</v>
      </c>
      <c r="R146" s="989">
        <f t="shared" si="22"/>
        <v>100</v>
      </c>
      <c r="S146" s="1011">
        <v>0</v>
      </c>
      <c r="T146" s="989">
        <f t="shared" si="21"/>
        <v>0</v>
      </c>
      <c r="U146" s="989">
        <f t="shared" si="17"/>
        <v>45200</v>
      </c>
      <c r="V146" s="989">
        <f t="shared" si="18"/>
        <v>100</v>
      </c>
      <c r="W146" s="989"/>
      <c r="X146" s="989">
        <f t="shared" si="19"/>
        <v>0</v>
      </c>
      <c r="Y146" s="1012"/>
    </row>
    <row r="147" spans="1:25" ht="63" customHeight="1">
      <c r="A147" s="1006">
        <v>29</v>
      </c>
      <c r="B147" s="1007" t="s">
        <v>2838</v>
      </c>
      <c r="C147" s="1008"/>
      <c r="D147" s="1008" t="s">
        <v>3472</v>
      </c>
      <c r="E147" s="1007" t="s">
        <v>1419</v>
      </c>
      <c r="F147" s="1010" t="s">
        <v>545</v>
      </c>
      <c r="G147" s="989">
        <v>90400</v>
      </c>
      <c r="H147" s="937"/>
      <c r="I147" s="1065"/>
      <c r="J147" s="1065"/>
      <c r="K147" s="1066">
        <v>-32290</v>
      </c>
      <c r="L147" s="1065"/>
      <c r="M147" s="1067"/>
      <c r="N147" s="989">
        <f>90400+M147+K147</f>
        <v>58110</v>
      </c>
      <c r="O147" s="989">
        <v>0</v>
      </c>
      <c r="P147" s="989">
        <v>58110</v>
      </c>
      <c r="Q147" s="989">
        <f t="shared" si="20"/>
        <v>58110</v>
      </c>
      <c r="R147" s="989">
        <f t="shared" si="22"/>
        <v>100</v>
      </c>
      <c r="S147" s="1011">
        <v>0</v>
      </c>
      <c r="T147" s="989">
        <f t="shared" si="21"/>
        <v>0</v>
      </c>
      <c r="U147" s="989">
        <f t="shared" si="17"/>
        <v>58110</v>
      </c>
      <c r="V147" s="989">
        <f t="shared" si="18"/>
        <v>100</v>
      </c>
      <c r="W147" s="989"/>
      <c r="X147" s="989">
        <f t="shared" si="19"/>
        <v>0</v>
      </c>
      <c r="Y147" s="1012"/>
    </row>
    <row r="148" spans="1:25" ht="63" customHeight="1">
      <c r="A148" s="1006">
        <v>30</v>
      </c>
      <c r="B148" s="1007" t="s">
        <v>2839</v>
      </c>
      <c r="C148" s="1008"/>
      <c r="D148" s="1008" t="s">
        <v>3473</v>
      </c>
      <c r="E148" s="1007" t="s">
        <v>3154</v>
      </c>
      <c r="F148" s="1010" t="s">
        <v>1180</v>
      </c>
      <c r="G148" s="989">
        <v>135600</v>
      </c>
      <c r="H148" s="937"/>
      <c r="I148" s="1065"/>
      <c r="J148" s="1065"/>
      <c r="K148" s="1066"/>
      <c r="L148" s="1065"/>
      <c r="M148" s="1067"/>
      <c r="N148" s="989">
        <v>135600</v>
      </c>
      <c r="O148" s="989">
        <v>0</v>
      </c>
      <c r="P148" s="989">
        <v>135600</v>
      </c>
      <c r="Q148" s="989">
        <f t="shared" si="20"/>
        <v>135600</v>
      </c>
      <c r="R148" s="989">
        <f t="shared" si="22"/>
        <v>100</v>
      </c>
      <c r="S148" s="1011">
        <v>0</v>
      </c>
      <c r="T148" s="989">
        <f t="shared" si="21"/>
        <v>0</v>
      </c>
      <c r="U148" s="989">
        <f t="shared" si="17"/>
        <v>135600</v>
      </c>
      <c r="V148" s="989">
        <f t="shared" si="18"/>
        <v>100</v>
      </c>
      <c r="W148" s="989"/>
      <c r="X148" s="989">
        <f t="shared" si="19"/>
        <v>0</v>
      </c>
      <c r="Y148" s="1012"/>
    </row>
    <row r="149" spans="1:25" ht="63" customHeight="1">
      <c r="A149" s="1006">
        <v>31</v>
      </c>
      <c r="B149" s="1007" t="s">
        <v>2840</v>
      </c>
      <c r="C149" s="1008"/>
      <c r="D149" s="1008" t="s">
        <v>3474</v>
      </c>
      <c r="E149" s="1007" t="s">
        <v>1420</v>
      </c>
      <c r="F149" s="1010" t="s">
        <v>1180</v>
      </c>
      <c r="G149" s="989">
        <v>226000</v>
      </c>
      <c r="H149" s="937"/>
      <c r="I149" s="1065"/>
      <c r="J149" s="1065"/>
      <c r="K149" s="1066">
        <v>-37410</v>
      </c>
      <c r="L149" s="1065"/>
      <c r="M149" s="1067"/>
      <c r="N149" s="989">
        <f>226000+M149+K149</f>
        <v>188590</v>
      </c>
      <c r="O149" s="989">
        <v>0</v>
      </c>
      <c r="P149" s="989">
        <v>188590</v>
      </c>
      <c r="Q149" s="989">
        <f t="shared" si="20"/>
        <v>188590</v>
      </c>
      <c r="R149" s="989">
        <f t="shared" si="22"/>
        <v>100</v>
      </c>
      <c r="S149" s="1011">
        <v>0</v>
      </c>
      <c r="T149" s="989">
        <f t="shared" si="21"/>
        <v>0</v>
      </c>
      <c r="U149" s="989">
        <f t="shared" si="17"/>
        <v>188590</v>
      </c>
      <c r="V149" s="989">
        <f t="shared" si="18"/>
        <v>100</v>
      </c>
      <c r="W149" s="989"/>
      <c r="X149" s="989">
        <f t="shared" si="19"/>
        <v>0</v>
      </c>
      <c r="Y149" s="1012"/>
    </row>
    <row r="150" spans="1:25" ht="63" customHeight="1">
      <c r="A150" s="1006">
        <v>32</v>
      </c>
      <c r="B150" s="1007" t="s">
        <v>2841</v>
      </c>
      <c r="C150" s="1008"/>
      <c r="D150" s="1008" t="s">
        <v>3475</v>
      </c>
      <c r="E150" s="1007" t="s">
        <v>3155</v>
      </c>
      <c r="F150" s="1010" t="s">
        <v>1180</v>
      </c>
      <c r="G150" s="989">
        <v>271200</v>
      </c>
      <c r="H150" s="937"/>
      <c r="I150" s="1065"/>
      <c r="J150" s="1065"/>
      <c r="K150" s="1066">
        <f>-33384-68400</f>
        <v>-101784</v>
      </c>
      <c r="L150" s="1065"/>
      <c r="M150" s="1067"/>
      <c r="N150" s="989">
        <f>271200+M150+K150</f>
        <v>169416</v>
      </c>
      <c r="O150" s="989">
        <v>0</v>
      </c>
      <c r="P150" s="989">
        <v>169416</v>
      </c>
      <c r="Q150" s="989">
        <f t="shared" si="20"/>
        <v>169416</v>
      </c>
      <c r="R150" s="989">
        <f t="shared" si="22"/>
        <v>100</v>
      </c>
      <c r="S150" s="1011">
        <v>0</v>
      </c>
      <c r="T150" s="989">
        <f t="shared" si="21"/>
        <v>0</v>
      </c>
      <c r="U150" s="989">
        <f t="shared" si="17"/>
        <v>169416</v>
      </c>
      <c r="V150" s="989">
        <f t="shared" si="18"/>
        <v>100</v>
      </c>
      <c r="W150" s="989"/>
      <c r="X150" s="989">
        <f t="shared" si="19"/>
        <v>0</v>
      </c>
      <c r="Y150" s="1012"/>
    </row>
    <row r="151" spans="1:25" ht="59.25" customHeight="1">
      <c r="A151" s="1006">
        <v>33</v>
      </c>
      <c r="B151" s="1007" t="s">
        <v>2842</v>
      </c>
      <c r="C151" s="1008"/>
      <c r="D151" s="1008" t="s">
        <v>3476</v>
      </c>
      <c r="E151" s="1007" t="s">
        <v>3156</v>
      </c>
      <c r="F151" s="1010" t="s">
        <v>1180</v>
      </c>
      <c r="G151" s="989">
        <v>180800</v>
      </c>
      <c r="H151" s="937"/>
      <c r="I151" s="1065"/>
      <c r="J151" s="1065"/>
      <c r="K151" s="1066"/>
      <c r="L151" s="1065"/>
      <c r="M151" s="1067"/>
      <c r="N151" s="989">
        <v>180800</v>
      </c>
      <c r="O151" s="989">
        <v>0</v>
      </c>
      <c r="P151" s="989">
        <v>180800</v>
      </c>
      <c r="Q151" s="989">
        <f t="shared" si="20"/>
        <v>180800</v>
      </c>
      <c r="R151" s="989">
        <f t="shared" si="22"/>
        <v>100</v>
      </c>
      <c r="S151" s="1011">
        <v>0</v>
      </c>
      <c r="T151" s="989">
        <f t="shared" si="21"/>
        <v>0</v>
      </c>
      <c r="U151" s="989">
        <f t="shared" si="17"/>
        <v>180800</v>
      </c>
      <c r="V151" s="989">
        <f t="shared" si="18"/>
        <v>100</v>
      </c>
      <c r="W151" s="989"/>
      <c r="X151" s="989">
        <f t="shared" si="19"/>
        <v>0</v>
      </c>
      <c r="Y151" s="1012"/>
    </row>
    <row r="152" spans="1:25" ht="60.75" customHeight="1">
      <c r="A152" s="1006">
        <v>34</v>
      </c>
      <c r="B152" s="1007" t="s">
        <v>1421</v>
      </c>
      <c r="C152" s="1008"/>
      <c r="D152" s="1008" t="s">
        <v>3477</v>
      </c>
      <c r="E152" s="1007" t="s">
        <v>3157</v>
      </c>
      <c r="F152" s="1010" t="s">
        <v>1180</v>
      </c>
      <c r="G152" s="989">
        <v>90400</v>
      </c>
      <c r="H152" s="937"/>
      <c r="I152" s="1065"/>
      <c r="J152" s="1065"/>
      <c r="K152" s="1066">
        <v>-14097</v>
      </c>
      <c r="L152" s="1065"/>
      <c r="M152" s="1067"/>
      <c r="N152" s="989">
        <f>90400+M152+K152</f>
        <v>76303</v>
      </c>
      <c r="O152" s="989">
        <v>0</v>
      </c>
      <c r="P152" s="989">
        <v>76303</v>
      </c>
      <c r="Q152" s="989">
        <f t="shared" si="20"/>
        <v>76303</v>
      </c>
      <c r="R152" s="989">
        <f t="shared" si="22"/>
        <v>100</v>
      </c>
      <c r="S152" s="1011">
        <v>0</v>
      </c>
      <c r="T152" s="989">
        <f t="shared" si="21"/>
        <v>0</v>
      </c>
      <c r="U152" s="989">
        <f t="shared" si="17"/>
        <v>76303</v>
      </c>
      <c r="V152" s="989">
        <f t="shared" si="18"/>
        <v>100</v>
      </c>
      <c r="W152" s="989"/>
      <c r="X152" s="989">
        <f t="shared" si="19"/>
        <v>0</v>
      </c>
      <c r="Y152" s="1012"/>
    </row>
    <row r="153" spans="1:25" ht="57.75" customHeight="1">
      <c r="A153" s="1006">
        <v>35</v>
      </c>
      <c r="B153" s="1007" t="s">
        <v>2843</v>
      </c>
      <c r="C153" s="1008"/>
      <c r="D153" s="1008" t="s">
        <v>3478</v>
      </c>
      <c r="E153" s="1007" t="s">
        <v>3158</v>
      </c>
      <c r="F153" s="1010" t="s">
        <v>1180</v>
      </c>
      <c r="G153" s="989">
        <v>90400</v>
      </c>
      <c r="H153" s="937"/>
      <c r="I153" s="1065"/>
      <c r="J153" s="1065"/>
      <c r="K153" s="1066">
        <v>-25220</v>
      </c>
      <c r="L153" s="1065"/>
      <c r="M153" s="1067"/>
      <c r="N153" s="989">
        <f>90400+M153+K153</f>
        <v>65180</v>
      </c>
      <c r="O153" s="989">
        <v>0</v>
      </c>
      <c r="P153" s="989">
        <v>65180</v>
      </c>
      <c r="Q153" s="989">
        <f t="shared" si="20"/>
        <v>65180</v>
      </c>
      <c r="R153" s="989">
        <f t="shared" si="22"/>
        <v>100</v>
      </c>
      <c r="S153" s="1011">
        <v>0</v>
      </c>
      <c r="T153" s="989">
        <f t="shared" si="21"/>
        <v>0</v>
      </c>
      <c r="U153" s="989">
        <f t="shared" si="17"/>
        <v>65180</v>
      </c>
      <c r="V153" s="989">
        <f t="shared" si="18"/>
        <v>100</v>
      </c>
      <c r="W153" s="989"/>
      <c r="X153" s="989">
        <f t="shared" si="19"/>
        <v>0</v>
      </c>
      <c r="Y153" s="1012"/>
    </row>
    <row r="154" spans="1:25" ht="63" customHeight="1">
      <c r="A154" s="1006">
        <v>36</v>
      </c>
      <c r="B154" s="1007" t="s">
        <v>1422</v>
      </c>
      <c r="C154" s="1008"/>
      <c r="D154" s="1008" t="s">
        <v>3479</v>
      </c>
      <c r="E154" s="1007" t="s">
        <v>1423</v>
      </c>
      <c r="F154" s="1010" t="s">
        <v>1180</v>
      </c>
      <c r="G154" s="989">
        <v>45200</v>
      </c>
      <c r="H154" s="937"/>
      <c r="I154" s="1065"/>
      <c r="J154" s="1065"/>
      <c r="K154" s="1066">
        <v>-3700</v>
      </c>
      <c r="L154" s="1065"/>
      <c r="M154" s="1067"/>
      <c r="N154" s="989">
        <f>45200+M154+K154</f>
        <v>41500</v>
      </c>
      <c r="O154" s="989">
        <v>0</v>
      </c>
      <c r="P154" s="989">
        <v>41500</v>
      </c>
      <c r="Q154" s="989">
        <f t="shared" si="20"/>
        <v>41500</v>
      </c>
      <c r="R154" s="989">
        <f t="shared" si="22"/>
        <v>100</v>
      </c>
      <c r="S154" s="1011">
        <v>0</v>
      </c>
      <c r="T154" s="989">
        <f t="shared" si="21"/>
        <v>0</v>
      </c>
      <c r="U154" s="989">
        <f t="shared" si="17"/>
        <v>41500</v>
      </c>
      <c r="V154" s="989">
        <f t="shared" si="18"/>
        <v>100</v>
      </c>
      <c r="W154" s="989"/>
      <c r="X154" s="989">
        <f t="shared" si="19"/>
        <v>0</v>
      </c>
      <c r="Y154" s="1012"/>
    </row>
    <row r="155" spans="1:25" ht="63" customHeight="1">
      <c r="A155" s="1006">
        <v>37</v>
      </c>
      <c r="B155" s="1007" t="s">
        <v>1424</v>
      </c>
      <c r="C155" s="1008"/>
      <c r="D155" s="1008" t="s">
        <v>3480</v>
      </c>
      <c r="E155" s="1007" t="s">
        <v>1425</v>
      </c>
      <c r="F155" s="1010" t="s">
        <v>542</v>
      </c>
      <c r="G155" s="989">
        <v>45200</v>
      </c>
      <c r="H155" s="937"/>
      <c r="I155" s="1065"/>
      <c r="J155" s="1065"/>
      <c r="K155" s="1066">
        <v>-15200</v>
      </c>
      <c r="L155" s="1065"/>
      <c r="M155" s="1067"/>
      <c r="N155" s="989">
        <f>45200+M155+K155</f>
        <v>30000</v>
      </c>
      <c r="O155" s="989">
        <v>30000</v>
      </c>
      <c r="P155" s="989">
        <v>0</v>
      </c>
      <c r="Q155" s="989">
        <f t="shared" si="20"/>
        <v>30000</v>
      </c>
      <c r="R155" s="989">
        <f t="shared" si="22"/>
        <v>100</v>
      </c>
      <c r="S155" s="1011">
        <v>0</v>
      </c>
      <c r="T155" s="989">
        <f t="shared" si="21"/>
        <v>0</v>
      </c>
      <c r="U155" s="989">
        <f t="shared" si="17"/>
        <v>30000</v>
      </c>
      <c r="V155" s="989">
        <f t="shared" si="18"/>
        <v>100</v>
      </c>
      <c r="W155" s="989"/>
      <c r="X155" s="989">
        <f t="shared" si="19"/>
        <v>0</v>
      </c>
      <c r="Y155" s="1012"/>
    </row>
    <row r="156" spans="1:25" ht="57" customHeight="1">
      <c r="A156" s="1006">
        <v>38</v>
      </c>
      <c r="B156" s="1007" t="s">
        <v>1426</v>
      </c>
      <c r="C156" s="1008"/>
      <c r="D156" s="1008" t="s">
        <v>3481</v>
      </c>
      <c r="E156" s="1007" t="s">
        <v>1427</v>
      </c>
      <c r="F156" s="1010" t="s">
        <v>1182</v>
      </c>
      <c r="G156" s="989">
        <v>180800</v>
      </c>
      <c r="H156" s="937"/>
      <c r="I156" s="1065"/>
      <c r="J156" s="1065"/>
      <c r="K156" s="1066">
        <v>-1499</v>
      </c>
      <c r="L156" s="1065"/>
      <c r="M156" s="1067"/>
      <c r="N156" s="989">
        <f>180800+M156+K156</f>
        <v>179301</v>
      </c>
      <c r="O156" s="989">
        <v>0</v>
      </c>
      <c r="P156" s="989">
        <v>179301</v>
      </c>
      <c r="Q156" s="989">
        <f t="shared" si="20"/>
        <v>179301</v>
      </c>
      <c r="R156" s="989">
        <f t="shared" si="22"/>
        <v>100</v>
      </c>
      <c r="S156" s="1011">
        <v>0</v>
      </c>
      <c r="T156" s="989">
        <f t="shared" si="21"/>
        <v>0</v>
      </c>
      <c r="U156" s="989">
        <f t="shared" si="17"/>
        <v>179301</v>
      </c>
      <c r="V156" s="989">
        <f t="shared" si="18"/>
        <v>100</v>
      </c>
      <c r="W156" s="989"/>
      <c r="X156" s="989">
        <f t="shared" si="19"/>
        <v>0</v>
      </c>
      <c r="Y156" s="1012"/>
    </row>
    <row r="157" spans="1:25" ht="55.5" customHeight="1">
      <c r="A157" s="1006">
        <v>39</v>
      </c>
      <c r="B157" s="1007" t="s">
        <v>1428</v>
      </c>
      <c r="C157" s="1008"/>
      <c r="D157" s="1008" t="s">
        <v>3482</v>
      </c>
      <c r="E157" s="1007" t="s">
        <v>1429</v>
      </c>
      <c r="F157" s="1010" t="s">
        <v>1182</v>
      </c>
      <c r="G157" s="989">
        <v>90400</v>
      </c>
      <c r="H157" s="937"/>
      <c r="I157" s="1065"/>
      <c r="J157" s="1065"/>
      <c r="K157" s="1066">
        <v>-44633</v>
      </c>
      <c r="L157" s="1065"/>
      <c r="M157" s="1067"/>
      <c r="N157" s="989">
        <f>90400+M157+K157</f>
        <v>45767</v>
      </c>
      <c r="O157" s="989">
        <v>0</v>
      </c>
      <c r="P157" s="989">
        <v>45767</v>
      </c>
      <c r="Q157" s="989">
        <f t="shared" si="20"/>
        <v>45767</v>
      </c>
      <c r="R157" s="989">
        <f t="shared" si="22"/>
        <v>100</v>
      </c>
      <c r="S157" s="1011">
        <v>0</v>
      </c>
      <c r="T157" s="989">
        <f t="shared" si="21"/>
        <v>0</v>
      </c>
      <c r="U157" s="989">
        <f t="shared" si="17"/>
        <v>45767</v>
      </c>
      <c r="V157" s="989">
        <f t="shared" si="18"/>
        <v>100</v>
      </c>
      <c r="W157" s="989"/>
      <c r="X157" s="989">
        <f t="shared" si="19"/>
        <v>0</v>
      </c>
      <c r="Y157" s="1012"/>
    </row>
    <row r="158" spans="1:25" ht="57" customHeight="1">
      <c r="A158" s="1006">
        <v>40</v>
      </c>
      <c r="B158" s="1007" t="s">
        <v>1430</v>
      </c>
      <c r="C158" s="1008"/>
      <c r="D158" s="1008" t="s">
        <v>3483</v>
      </c>
      <c r="E158" s="1007" t="s">
        <v>3245</v>
      </c>
      <c r="F158" s="1010" t="s">
        <v>1182</v>
      </c>
      <c r="G158" s="989">
        <v>135600</v>
      </c>
      <c r="H158" s="937"/>
      <c r="I158" s="1065"/>
      <c r="J158" s="1065"/>
      <c r="K158" s="1066">
        <v>-33830.620000000003</v>
      </c>
      <c r="L158" s="1065"/>
      <c r="M158" s="1067"/>
      <c r="N158" s="989">
        <f>135600+M158+K158</f>
        <v>101769.38</v>
      </c>
      <c r="O158" s="989">
        <v>0</v>
      </c>
      <c r="P158" s="989">
        <v>101769.38</v>
      </c>
      <c r="Q158" s="989">
        <f t="shared" si="20"/>
        <v>101769.38</v>
      </c>
      <c r="R158" s="989">
        <f t="shared" si="22"/>
        <v>100</v>
      </c>
      <c r="S158" s="1011">
        <v>0</v>
      </c>
      <c r="T158" s="989">
        <f t="shared" si="21"/>
        <v>0</v>
      </c>
      <c r="U158" s="989">
        <f t="shared" si="17"/>
        <v>101769.38</v>
      </c>
      <c r="V158" s="989">
        <f t="shared" si="18"/>
        <v>100</v>
      </c>
      <c r="W158" s="989"/>
      <c r="X158" s="989">
        <f t="shared" si="19"/>
        <v>0</v>
      </c>
      <c r="Y158" s="1012"/>
    </row>
    <row r="159" spans="1:25" ht="57" customHeight="1">
      <c r="A159" s="1006">
        <v>41</v>
      </c>
      <c r="B159" s="1007" t="s">
        <v>1431</v>
      </c>
      <c r="C159" s="1008"/>
      <c r="D159" s="1008" t="s">
        <v>3484</v>
      </c>
      <c r="E159" s="1007" t="s">
        <v>1432</v>
      </c>
      <c r="F159" s="1010" t="s">
        <v>1182</v>
      </c>
      <c r="G159" s="989">
        <v>135600</v>
      </c>
      <c r="H159" s="937"/>
      <c r="I159" s="1065"/>
      <c r="J159" s="1065"/>
      <c r="K159" s="1066">
        <v>-22200</v>
      </c>
      <c r="L159" s="1065"/>
      <c r="M159" s="1067"/>
      <c r="N159" s="989">
        <f>135600+M159+K159</f>
        <v>113400</v>
      </c>
      <c r="O159" s="989">
        <v>0</v>
      </c>
      <c r="P159" s="989">
        <v>113400</v>
      </c>
      <c r="Q159" s="989">
        <f t="shared" si="20"/>
        <v>113400</v>
      </c>
      <c r="R159" s="989">
        <f t="shared" si="22"/>
        <v>100</v>
      </c>
      <c r="S159" s="1011">
        <v>0</v>
      </c>
      <c r="T159" s="989">
        <f t="shared" si="21"/>
        <v>0</v>
      </c>
      <c r="U159" s="989">
        <f t="shared" si="17"/>
        <v>113400</v>
      </c>
      <c r="V159" s="989">
        <f t="shared" si="18"/>
        <v>100</v>
      </c>
      <c r="W159" s="989"/>
      <c r="X159" s="989">
        <f t="shared" si="19"/>
        <v>0</v>
      </c>
      <c r="Y159" s="1012"/>
    </row>
    <row r="160" spans="1:25" ht="63" customHeight="1">
      <c r="A160" s="1006">
        <v>42</v>
      </c>
      <c r="B160" s="1007" t="s">
        <v>1433</v>
      </c>
      <c r="C160" s="1008"/>
      <c r="D160" s="1008" t="s">
        <v>3485</v>
      </c>
      <c r="E160" s="1007" t="s">
        <v>1434</v>
      </c>
      <c r="F160" s="1010" t="s">
        <v>1182</v>
      </c>
      <c r="G160" s="989">
        <v>180800</v>
      </c>
      <c r="H160" s="937"/>
      <c r="I160" s="1065"/>
      <c r="J160" s="1065"/>
      <c r="K160" s="1066">
        <v>-29812.77</v>
      </c>
      <c r="L160" s="1065"/>
      <c r="M160" s="1067"/>
      <c r="N160" s="989">
        <f>180800+M160+K160</f>
        <v>150987.23000000001</v>
      </c>
      <c r="O160" s="989">
        <v>0</v>
      </c>
      <c r="P160" s="989">
        <v>150987.23000000001</v>
      </c>
      <c r="Q160" s="989">
        <f t="shared" si="20"/>
        <v>150987.23000000001</v>
      </c>
      <c r="R160" s="989">
        <f t="shared" si="22"/>
        <v>100</v>
      </c>
      <c r="S160" s="1011">
        <v>0</v>
      </c>
      <c r="T160" s="989">
        <f t="shared" si="21"/>
        <v>0</v>
      </c>
      <c r="U160" s="989">
        <f t="shared" si="17"/>
        <v>150987.23000000001</v>
      </c>
      <c r="V160" s="989">
        <f t="shared" si="18"/>
        <v>100</v>
      </c>
      <c r="W160" s="989"/>
      <c r="X160" s="989">
        <f t="shared" si="19"/>
        <v>0</v>
      </c>
      <c r="Y160" s="1012"/>
    </row>
    <row r="161" spans="1:25" ht="63" customHeight="1">
      <c r="A161" s="1006">
        <v>43</v>
      </c>
      <c r="B161" s="1007" t="s">
        <v>1435</v>
      </c>
      <c r="C161" s="1008"/>
      <c r="D161" s="1008" t="s">
        <v>3486</v>
      </c>
      <c r="E161" s="1007" t="s">
        <v>1436</v>
      </c>
      <c r="F161" s="1010" t="s">
        <v>1182</v>
      </c>
      <c r="G161" s="989">
        <v>45200</v>
      </c>
      <c r="H161" s="937"/>
      <c r="I161" s="1065"/>
      <c r="J161" s="1065"/>
      <c r="K161" s="1066"/>
      <c r="L161" s="1065"/>
      <c r="M161" s="1067"/>
      <c r="N161" s="989">
        <v>45200</v>
      </c>
      <c r="O161" s="989">
        <v>0</v>
      </c>
      <c r="P161" s="989">
        <v>45200</v>
      </c>
      <c r="Q161" s="989">
        <f t="shared" si="20"/>
        <v>45200</v>
      </c>
      <c r="R161" s="989">
        <f t="shared" si="22"/>
        <v>100</v>
      </c>
      <c r="S161" s="1011">
        <v>0</v>
      </c>
      <c r="T161" s="989">
        <f t="shared" si="21"/>
        <v>0</v>
      </c>
      <c r="U161" s="989">
        <f t="shared" si="17"/>
        <v>45200</v>
      </c>
      <c r="V161" s="989">
        <f t="shared" si="18"/>
        <v>100</v>
      </c>
      <c r="W161" s="989"/>
      <c r="X161" s="989">
        <f t="shared" si="19"/>
        <v>0</v>
      </c>
      <c r="Y161" s="1012"/>
    </row>
    <row r="162" spans="1:25" ht="63" customHeight="1">
      <c r="A162" s="1006">
        <v>44</v>
      </c>
      <c r="B162" s="1007" t="s">
        <v>1437</v>
      </c>
      <c r="C162" s="1008"/>
      <c r="D162" s="1008" t="s">
        <v>3487</v>
      </c>
      <c r="E162" s="1007" t="s">
        <v>1438</v>
      </c>
      <c r="F162" s="1010" t="s">
        <v>580</v>
      </c>
      <c r="G162" s="989">
        <v>135600</v>
      </c>
      <c r="H162" s="937"/>
      <c r="I162" s="1065"/>
      <c r="J162" s="1065"/>
      <c r="K162" s="1066">
        <v>-1000</v>
      </c>
      <c r="L162" s="1065"/>
      <c r="M162" s="1067"/>
      <c r="N162" s="989">
        <f>135600+M162+K162</f>
        <v>134600</v>
      </c>
      <c r="O162" s="989">
        <v>45200</v>
      </c>
      <c r="P162" s="989">
        <v>89400</v>
      </c>
      <c r="Q162" s="989">
        <f t="shared" si="20"/>
        <v>134600</v>
      </c>
      <c r="R162" s="989">
        <f t="shared" si="22"/>
        <v>100</v>
      </c>
      <c r="S162" s="1011">
        <v>0</v>
      </c>
      <c r="T162" s="989">
        <f t="shared" si="21"/>
        <v>0</v>
      </c>
      <c r="U162" s="989">
        <f t="shared" si="17"/>
        <v>134600</v>
      </c>
      <c r="V162" s="989">
        <f t="shared" si="18"/>
        <v>100</v>
      </c>
      <c r="W162" s="989"/>
      <c r="X162" s="989">
        <f t="shared" si="19"/>
        <v>0</v>
      </c>
      <c r="Y162" s="1012"/>
    </row>
    <row r="163" spans="1:25" ht="63" customHeight="1">
      <c r="A163" s="1006">
        <v>45</v>
      </c>
      <c r="B163" s="1007" t="s">
        <v>1439</v>
      </c>
      <c r="C163" s="1008"/>
      <c r="D163" s="1008" t="s">
        <v>3488</v>
      </c>
      <c r="E163" s="1007" t="s">
        <v>1440</v>
      </c>
      <c r="F163" s="1010" t="s">
        <v>580</v>
      </c>
      <c r="G163" s="989">
        <v>45200</v>
      </c>
      <c r="H163" s="937"/>
      <c r="I163" s="1065"/>
      <c r="J163" s="1065"/>
      <c r="K163" s="1066"/>
      <c r="L163" s="1065"/>
      <c r="M163" s="1067"/>
      <c r="N163" s="989">
        <v>45200</v>
      </c>
      <c r="O163" s="989">
        <v>0</v>
      </c>
      <c r="P163" s="989">
        <v>45200</v>
      </c>
      <c r="Q163" s="989">
        <f t="shared" si="20"/>
        <v>45200</v>
      </c>
      <c r="R163" s="989">
        <f t="shared" si="22"/>
        <v>100</v>
      </c>
      <c r="S163" s="1011">
        <v>0</v>
      </c>
      <c r="T163" s="989">
        <f t="shared" si="21"/>
        <v>0</v>
      </c>
      <c r="U163" s="989">
        <f t="shared" si="17"/>
        <v>45200</v>
      </c>
      <c r="V163" s="989">
        <f t="shared" si="18"/>
        <v>100</v>
      </c>
      <c r="W163" s="989"/>
      <c r="X163" s="989">
        <f t="shared" si="19"/>
        <v>0</v>
      </c>
      <c r="Y163" s="1012"/>
    </row>
    <row r="164" spans="1:25" ht="63" customHeight="1">
      <c r="A164" s="1006">
        <v>46</v>
      </c>
      <c r="B164" s="1007" t="s">
        <v>1441</v>
      </c>
      <c r="C164" s="1008"/>
      <c r="D164" s="1008" t="s">
        <v>3489</v>
      </c>
      <c r="E164" s="1007" t="s">
        <v>1442</v>
      </c>
      <c r="F164" s="1010" t="s">
        <v>580</v>
      </c>
      <c r="G164" s="989">
        <v>45200</v>
      </c>
      <c r="H164" s="937"/>
      <c r="I164" s="1065"/>
      <c r="J164" s="1065"/>
      <c r="K164" s="1066">
        <v>-200</v>
      </c>
      <c r="L164" s="1065"/>
      <c r="M164" s="1067"/>
      <c r="N164" s="989">
        <f>45200+M164+K164</f>
        <v>45000</v>
      </c>
      <c r="O164" s="989">
        <v>0</v>
      </c>
      <c r="P164" s="989">
        <v>45000</v>
      </c>
      <c r="Q164" s="989">
        <f t="shared" si="20"/>
        <v>45000</v>
      </c>
      <c r="R164" s="989">
        <f t="shared" si="22"/>
        <v>100</v>
      </c>
      <c r="S164" s="1011">
        <v>0</v>
      </c>
      <c r="T164" s="989">
        <f t="shared" si="21"/>
        <v>0</v>
      </c>
      <c r="U164" s="989">
        <f t="shared" si="17"/>
        <v>45000</v>
      </c>
      <c r="V164" s="989">
        <f t="shared" si="18"/>
        <v>100</v>
      </c>
      <c r="W164" s="989"/>
      <c r="X164" s="989">
        <f t="shared" si="19"/>
        <v>0</v>
      </c>
      <c r="Y164" s="1012"/>
    </row>
    <row r="165" spans="1:25" ht="63" customHeight="1">
      <c r="A165" s="1006">
        <v>47</v>
      </c>
      <c r="B165" s="1007" t="s">
        <v>1443</v>
      </c>
      <c r="C165" s="1008"/>
      <c r="D165" s="1008" t="s">
        <v>3490</v>
      </c>
      <c r="E165" s="1007" t="s">
        <v>1444</v>
      </c>
      <c r="F165" s="1010" t="s">
        <v>565</v>
      </c>
      <c r="G165" s="989">
        <v>180800</v>
      </c>
      <c r="H165" s="937"/>
      <c r="I165" s="1065"/>
      <c r="J165" s="1065"/>
      <c r="K165" s="1066"/>
      <c r="L165" s="1065"/>
      <c r="M165" s="1067"/>
      <c r="N165" s="989">
        <v>180800</v>
      </c>
      <c r="O165" s="989">
        <v>0</v>
      </c>
      <c r="P165" s="989">
        <v>180800</v>
      </c>
      <c r="Q165" s="989">
        <f t="shared" si="20"/>
        <v>180800</v>
      </c>
      <c r="R165" s="989">
        <f t="shared" si="22"/>
        <v>100</v>
      </c>
      <c r="S165" s="1011">
        <v>0</v>
      </c>
      <c r="T165" s="989">
        <f t="shared" si="21"/>
        <v>0</v>
      </c>
      <c r="U165" s="989">
        <f t="shared" si="17"/>
        <v>180800</v>
      </c>
      <c r="V165" s="989">
        <f t="shared" si="18"/>
        <v>100</v>
      </c>
      <c r="W165" s="989"/>
      <c r="X165" s="989">
        <f t="shared" si="19"/>
        <v>0</v>
      </c>
      <c r="Y165" s="1012"/>
    </row>
    <row r="166" spans="1:25" ht="63" customHeight="1">
      <c r="A166" s="1006">
        <v>48</v>
      </c>
      <c r="B166" s="1007" t="s">
        <v>1445</v>
      </c>
      <c r="C166" s="1008"/>
      <c r="D166" s="1008" t="s">
        <v>3491</v>
      </c>
      <c r="E166" s="1007" t="s">
        <v>1446</v>
      </c>
      <c r="F166" s="1010" t="s">
        <v>565</v>
      </c>
      <c r="G166" s="989">
        <v>180800</v>
      </c>
      <c r="H166" s="937"/>
      <c r="I166" s="1065"/>
      <c r="J166" s="1065"/>
      <c r="K166" s="1066"/>
      <c r="L166" s="1065"/>
      <c r="M166" s="1067"/>
      <c r="N166" s="989">
        <v>180800</v>
      </c>
      <c r="O166" s="989">
        <v>0</v>
      </c>
      <c r="P166" s="989">
        <v>180800</v>
      </c>
      <c r="Q166" s="989">
        <f t="shared" si="20"/>
        <v>180800</v>
      </c>
      <c r="R166" s="989">
        <f t="shared" si="22"/>
        <v>100</v>
      </c>
      <c r="S166" s="1011">
        <v>0</v>
      </c>
      <c r="T166" s="989">
        <f t="shared" si="21"/>
        <v>0</v>
      </c>
      <c r="U166" s="989">
        <f t="shared" si="17"/>
        <v>180800</v>
      </c>
      <c r="V166" s="989">
        <f t="shared" si="18"/>
        <v>100</v>
      </c>
      <c r="W166" s="989"/>
      <c r="X166" s="989">
        <f t="shared" si="19"/>
        <v>0</v>
      </c>
      <c r="Y166" s="1012"/>
    </row>
    <row r="167" spans="1:25" ht="63" customHeight="1">
      <c r="A167" s="1006">
        <v>49</v>
      </c>
      <c r="B167" s="1007" t="s">
        <v>1447</v>
      </c>
      <c r="C167" s="1008"/>
      <c r="D167" s="1008" t="s">
        <v>3492</v>
      </c>
      <c r="E167" s="1007" t="s">
        <v>2952</v>
      </c>
      <c r="F167" s="1010" t="s">
        <v>565</v>
      </c>
      <c r="G167" s="989">
        <v>361600</v>
      </c>
      <c r="H167" s="937"/>
      <c r="I167" s="1065"/>
      <c r="J167" s="1065"/>
      <c r="K167" s="1066">
        <v>-17981.41</v>
      </c>
      <c r="L167" s="1065"/>
      <c r="M167" s="1067"/>
      <c r="N167" s="989">
        <f>361600+M167+K167</f>
        <v>343618.59</v>
      </c>
      <c r="O167" s="989">
        <v>226000</v>
      </c>
      <c r="P167" s="989">
        <v>117618.59</v>
      </c>
      <c r="Q167" s="989">
        <f t="shared" si="20"/>
        <v>343618.58999999997</v>
      </c>
      <c r="R167" s="989">
        <f t="shared" si="22"/>
        <v>99.999999999999972</v>
      </c>
      <c r="S167" s="1011">
        <v>0</v>
      </c>
      <c r="T167" s="989">
        <f t="shared" si="21"/>
        <v>0</v>
      </c>
      <c r="U167" s="989">
        <f t="shared" si="17"/>
        <v>343618.58999999997</v>
      </c>
      <c r="V167" s="989">
        <f t="shared" si="18"/>
        <v>99.999999999999972</v>
      </c>
      <c r="W167" s="989"/>
      <c r="X167" s="989">
        <f t="shared" si="19"/>
        <v>0</v>
      </c>
      <c r="Y167" s="1012"/>
    </row>
    <row r="168" spans="1:25" ht="63" customHeight="1">
      <c r="A168" s="1006">
        <v>50</v>
      </c>
      <c r="B168" s="1007" t="s">
        <v>1448</v>
      </c>
      <c r="C168" s="1008"/>
      <c r="D168" s="1008" t="s">
        <v>3493</v>
      </c>
      <c r="E168" s="1007" t="s">
        <v>1449</v>
      </c>
      <c r="F168" s="1010" t="s">
        <v>565</v>
      </c>
      <c r="G168" s="989">
        <v>90400</v>
      </c>
      <c r="H168" s="937"/>
      <c r="I168" s="1065"/>
      <c r="J168" s="1065"/>
      <c r="K168" s="1066"/>
      <c r="L168" s="1065"/>
      <c r="M168" s="1067"/>
      <c r="N168" s="989">
        <v>90400</v>
      </c>
      <c r="O168" s="989">
        <v>0</v>
      </c>
      <c r="P168" s="989">
        <v>90400</v>
      </c>
      <c r="Q168" s="989">
        <f t="shared" si="20"/>
        <v>90400</v>
      </c>
      <c r="R168" s="989">
        <f t="shared" si="22"/>
        <v>100</v>
      </c>
      <c r="S168" s="1011">
        <v>0</v>
      </c>
      <c r="T168" s="989">
        <f t="shared" si="21"/>
        <v>0</v>
      </c>
      <c r="U168" s="989">
        <f t="shared" si="17"/>
        <v>90400</v>
      </c>
      <c r="V168" s="989">
        <f t="shared" si="18"/>
        <v>100</v>
      </c>
      <c r="W168" s="989"/>
      <c r="X168" s="989">
        <f t="shared" si="19"/>
        <v>0</v>
      </c>
      <c r="Y168" s="1012"/>
    </row>
    <row r="169" spans="1:25" ht="63" customHeight="1">
      <c r="A169" s="1006">
        <v>51</v>
      </c>
      <c r="B169" s="1007" t="s">
        <v>1450</v>
      </c>
      <c r="C169" s="1008"/>
      <c r="D169" s="1008" t="s">
        <v>3494</v>
      </c>
      <c r="E169" s="1007" t="s">
        <v>1451</v>
      </c>
      <c r="F169" s="1010" t="s">
        <v>565</v>
      </c>
      <c r="G169" s="989">
        <v>226000</v>
      </c>
      <c r="H169" s="937"/>
      <c r="I169" s="1065"/>
      <c r="J169" s="1065"/>
      <c r="K169" s="1066">
        <v>-16627.849999999999</v>
      </c>
      <c r="L169" s="1065"/>
      <c r="M169" s="1067"/>
      <c r="N169" s="989">
        <f>226000+M169+K169</f>
        <v>209372.15</v>
      </c>
      <c r="O169" s="989">
        <v>209372.15</v>
      </c>
      <c r="P169" s="989">
        <v>0</v>
      </c>
      <c r="Q169" s="989">
        <f t="shared" si="20"/>
        <v>209372.15</v>
      </c>
      <c r="R169" s="989">
        <f t="shared" si="22"/>
        <v>100</v>
      </c>
      <c r="S169" s="1011">
        <v>0</v>
      </c>
      <c r="T169" s="989">
        <f t="shared" si="21"/>
        <v>0</v>
      </c>
      <c r="U169" s="989">
        <f t="shared" si="17"/>
        <v>209372.15</v>
      </c>
      <c r="V169" s="989">
        <f t="shared" si="18"/>
        <v>100</v>
      </c>
      <c r="W169" s="989"/>
      <c r="X169" s="989">
        <f t="shared" si="19"/>
        <v>0</v>
      </c>
      <c r="Y169" s="1012"/>
    </row>
    <row r="170" spans="1:25" ht="63" customHeight="1">
      <c r="A170" s="1006">
        <v>52</v>
      </c>
      <c r="B170" s="1007" t="s">
        <v>1452</v>
      </c>
      <c r="C170" s="1008"/>
      <c r="D170" s="1008" t="s">
        <v>3495</v>
      </c>
      <c r="E170" s="1007" t="s">
        <v>1453</v>
      </c>
      <c r="F170" s="1010" t="s">
        <v>565</v>
      </c>
      <c r="G170" s="989">
        <v>45200</v>
      </c>
      <c r="H170" s="937"/>
      <c r="I170" s="1065"/>
      <c r="J170" s="1065"/>
      <c r="K170" s="1066">
        <v>-13670</v>
      </c>
      <c r="L170" s="1065"/>
      <c r="M170" s="1067"/>
      <c r="N170" s="989">
        <f>45200+M170+K170</f>
        <v>31530</v>
      </c>
      <c r="O170" s="989">
        <v>0</v>
      </c>
      <c r="P170" s="989">
        <v>31530</v>
      </c>
      <c r="Q170" s="989">
        <f t="shared" si="20"/>
        <v>31530</v>
      </c>
      <c r="R170" s="989">
        <f t="shared" si="22"/>
        <v>100</v>
      </c>
      <c r="S170" s="1011">
        <v>0</v>
      </c>
      <c r="T170" s="989">
        <f t="shared" si="21"/>
        <v>0</v>
      </c>
      <c r="U170" s="989">
        <f t="shared" si="17"/>
        <v>31530</v>
      </c>
      <c r="V170" s="989">
        <f t="shared" si="18"/>
        <v>100</v>
      </c>
      <c r="W170" s="989"/>
      <c r="X170" s="989">
        <f t="shared" si="19"/>
        <v>0</v>
      </c>
      <c r="Y170" s="1012"/>
    </row>
    <row r="171" spans="1:25" ht="63" customHeight="1">
      <c r="A171" s="1006">
        <v>53</v>
      </c>
      <c r="B171" s="1007" t="s">
        <v>1454</v>
      </c>
      <c r="C171" s="1008"/>
      <c r="D171" s="1008" t="s">
        <v>3496</v>
      </c>
      <c r="E171" s="1007" t="s">
        <v>1455</v>
      </c>
      <c r="F171" s="1010" t="s">
        <v>565</v>
      </c>
      <c r="G171" s="989">
        <v>90400</v>
      </c>
      <c r="H171" s="937"/>
      <c r="I171" s="1065"/>
      <c r="J171" s="1065"/>
      <c r="K171" s="1066">
        <f>-1241.52-6384.51</f>
        <v>-7626.0300000000007</v>
      </c>
      <c r="L171" s="1065"/>
      <c r="M171" s="1067"/>
      <c r="N171" s="989">
        <f>90400+M171+K171</f>
        <v>82773.97</v>
      </c>
      <c r="O171" s="989">
        <v>0</v>
      </c>
      <c r="P171" s="989">
        <v>82773.97</v>
      </c>
      <c r="Q171" s="989">
        <f t="shared" si="20"/>
        <v>82773.97</v>
      </c>
      <c r="R171" s="989">
        <f t="shared" si="22"/>
        <v>100</v>
      </c>
      <c r="S171" s="1011">
        <v>0</v>
      </c>
      <c r="T171" s="989">
        <f t="shared" si="21"/>
        <v>0</v>
      </c>
      <c r="U171" s="989">
        <f t="shared" si="17"/>
        <v>82773.97</v>
      </c>
      <c r="V171" s="989">
        <f t="shared" si="18"/>
        <v>100</v>
      </c>
      <c r="W171" s="989"/>
      <c r="X171" s="989">
        <f t="shared" si="19"/>
        <v>0</v>
      </c>
      <c r="Y171" s="1012"/>
    </row>
    <row r="172" spans="1:25" ht="63" customHeight="1">
      <c r="A172" s="1006">
        <v>54</v>
      </c>
      <c r="B172" s="1007" t="s">
        <v>1456</v>
      </c>
      <c r="C172" s="1008"/>
      <c r="D172" s="1008" t="s">
        <v>3497</v>
      </c>
      <c r="E172" s="1007" t="s">
        <v>2953</v>
      </c>
      <c r="F172" s="1010" t="s">
        <v>565</v>
      </c>
      <c r="G172" s="989">
        <v>45200</v>
      </c>
      <c r="H172" s="937"/>
      <c r="I172" s="1065"/>
      <c r="J172" s="1065"/>
      <c r="K172" s="1066">
        <v>-15995.76</v>
      </c>
      <c r="L172" s="1065"/>
      <c r="M172" s="1067"/>
      <c r="N172" s="989">
        <f>45200+M172+K172</f>
        <v>29204.239999999998</v>
      </c>
      <c r="O172" s="989">
        <v>0</v>
      </c>
      <c r="P172" s="989">
        <v>29204.240000000002</v>
      </c>
      <c r="Q172" s="989">
        <f t="shared" si="20"/>
        <v>29204.240000000002</v>
      </c>
      <c r="R172" s="989">
        <f t="shared" si="22"/>
        <v>100.00000000000003</v>
      </c>
      <c r="S172" s="1011">
        <v>0</v>
      </c>
      <c r="T172" s="989">
        <f t="shared" si="21"/>
        <v>0</v>
      </c>
      <c r="U172" s="989">
        <f t="shared" si="17"/>
        <v>29204.240000000002</v>
      </c>
      <c r="V172" s="989">
        <f t="shared" si="18"/>
        <v>100.00000000000003</v>
      </c>
      <c r="W172" s="989"/>
      <c r="X172" s="989">
        <f t="shared" si="19"/>
        <v>0</v>
      </c>
      <c r="Y172" s="1012"/>
    </row>
    <row r="173" spans="1:25" ht="63" customHeight="1">
      <c r="A173" s="1006">
        <v>55</v>
      </c>
      <c r="B173" s="1007" t="s">
        <v>1457</v>
      </c>
      <c r="C173" s="1008"/>
      <c r="D173" s="1008" t="s">
        <v>3498</v>
      </c>
      <c r="E173" s="1007" t="s">
        <v>1458</v>
      </c>
      <c r="F173" s="1010" t="s">
        <v>565</v>
      </c>
      <c r="G173" s="989">
        <v>135600</v>
      </c>
      <c r="H173" s="937"/>
      <c r="I173" s="1065"/>
      <c r="J173" s="1065"/>
      <c r="K173" s="1066">
        <v>-13800</v>
      </c>
      <c r="L173" s="1065"/>
      <c r="M173" s="1067"/>
      <c r="N173" s="989">
        <f>135600+M173+K173</f>
        <v>121800</v>
      </c>
      <c r="O173" s="989">
        <v>0</v>
      </c>
      <c r="P173" s="989">
        <v>121800</v>
      </c>
      <c r="Q173" s="989">
        <f t="shared" si="20"/>
        <v>121800</v>
      </c>
      <c r="R173" s="989">
        <f t="shared" si="22"/>
        <v>100</v>
      </c>
      <c r="S173" s="1011">
        <v>0</v>
      </c>
      <c r="T173" s="989">
        <f t="shared" si="21"/>
        <v>0</v>
      </c>
      <c r="U173" s="989">
        <f t="shared" si="17"/>
        <v>121800</v>
      </c>
      <c r="V173" s="989">
        <f t="shared" si="18"/>
        <v>100</v>
      </c>
      <c r="W173" s="989"/>
      <c r="X173" s="989">
        <f t="shared" si="19"/>
        <v>0</v>
      </c>
      <c r="Y173" s="1012"/>
    </row>
    <row r="174" spans="1:25" ht="63" customHeight="1">
      <c r="A174" s="1006">
        <v>56</v>
      </c>
      <c r="B174" s="1007" t="s">
        <v>1459</v>
      </c>
      <c r="C174" s="1008"/>
      <c r="D174" s="1008" t="s">
        <v>3499</v>
      </c>
      <c r="E174" s="1007" t="s">
        <v>1460</v>
      </c>
      <c r="F174" s="1010" t="s">
        <v>565</v>
      </c>
      <c r="G174" s="989">
        <v>226000</v>
      </c>
      <c r="H174" s="937"/>
      <c r="I174" s="1065"/>
      <c r="J174" s="1065"/>
      <c r="K174" s="1066"/>
      <c r="L174" s="1065"/>
      <c r="M174" s="1067"/>
      <c r="N174" s="989">
        <v>226000</v>
      </c>
      <c r="O174" s="989">
        <v>0</v>
      </c>
      <c r="P174" s="989">
        <v>226000</v>
      </c>
      <c r="Q174" s="989">
        <f t="shared" si="20"/>
        <v>226000</v>
      </c>
      <c r="R174" s="989">
        <f t="shared" si="22"/>
        <v>100</v>
      </c>
      <c r="S174" s="1011">
        <v>0</v>
      </c>
      <c r="T174" s="989">
        <f t="shared" si="21"/>
        <v>0</v>
      </c>
      <c r="U174" s="989">
        <f t="shared" si="17"/>
        <v>226000</v>
      </c>
      <c r="V174" s="989">
        <f t="shared" si="18"/>
        <v>100</v>
      </c>
      <c r="W174" s="989"/>
      <c r="X174" s="989">
        <f t="shared" si="19"/>
        <v>0</v>
      </c>
      <c r="Y174" s="1012"/>
    </row>
    <row r="175" spans="1:25" ht="63" customHeight="1">
      <c r="A175" s="1006">
        <v>57</v>
      </c>
      <c r="B175" s="1007" t="s">
        <v>1461</v>
      </c>
      <c r="C175" s="1008"/>
      <c r="D175" s="1008" t="s">
        <v>3500</v>
      </c>
      <c r="E175" s="1007" t="s">
        <v>1462</v>
      </c>
      <c r="F175" s="1010" t="s">
        <v>565</v>
      </c>
      <c r="G175" s="989">
        <v>45200</v>
      </c>
      <c r="H175" s="937"/>
      <c r="I175" s="1065"/>
      <c r="J175" s="1065"/>
      <c r="K175" s="1066"/>
      <c r="L175" s="1065"/>
      <c r="M175" s="1067"/>
      <c r="N175" s="989">
        <v>45200</v>
      </c>
      <c r="O175" s="989">
        <v>0</v>
      </c>
      <c r="P175" s="989">
        <v>45200</v>
      </c>
      <c r="Q175" s="989">
        <f t="shared" si="20"/>
        <v>45200</v>
      </c>
      <c r="R175" s="989">
        <f t="shared" si="22"/>
        <v>100</v>
      </c>
      <c r="S175" s="1011">
        <v>0</v>
      </c>
      <c r="T175" s="989">
        <f t="shared" si="21"/>
        <v>0</v>
      </c>
      <c r="U175" s="989">
        <f t="shared" si="17"/>
        <v>45200</v>
      </c>
      <c r="V175" s="989">
        <f t="shared" si="18"/>
        <v>100</v>
      </c>
      <c r="W175" s="989"/>
      <c r="X175" s="989">
        <f t="shared" si="19"/>
        <v>0</v>
      </c>
      <c r="Y175" s="1012"/>
    </row>
    <row r="176" spans="1:25" ht="63" customHeight="1">
      <c r="A176" s="1006">
        <v>58</v>
      </c>
      <c r="B176" s="1007" t="s">
        <v>1463</v>
      </c>
      <c r="C176" s="1008"/>
      <c r="D176" s="1008" t="s">
        <v>3501</v>
      </c>
      <c r="E176" s="1007" t="s">
        <v>2954</v>
      </c>
      <c r="F176" s="1010" t="s">
        <v>565</v>
      </c>
      <c r="G176" s="989">
        <v>316400</v>
      </c>
      <c r="H176" s="937"/>
      <c r="I176" s="1065"/>
      <c r="J176" s="1065"/>
      <c r="K176" s="1066"/>
      <c r="L176" s="1065"/>
      <c r="M176" s="1067"/>
      <c r="N176" s="989">
        <v>316400</v>
      </c>
      <c r="O176" s="989">
        <v>135600</v>
      </c>
      <c r="P176" s="989">
        <v>180800</v>
      </c>
      <c r="Q176" s="989">
        <f t="shared" si="20"/>
        <v>316400</v>
      </c>
      <c r="R176" s="989">
        <f t="shared" si="22"/>
        <v>100</v>
      </c>
      <c r="S176" s="1011">
        <v>0</v>
      </c>
      <c r="T176" s="989">
        <f t="shared" si="21"/>
        <v>0</v>
      </c>
      <c r="U176" s="989">
        <f t="shared" si="17"/>
        <v>316400</v>
      </c>
      <c r="V176" s="989">
        <f t="shared" si="18"/>
        <v>100</v>
      </c>
      <c r="W176" s="989"/>
      <c r="X176" s="989">
        <f t="shared" si="19"/>
        <v>0</v>
      </c>
      <c r="Y176" s="1012"/>
    </row>
    <row r="177" spans="1:25" ht="63" customHeight="1">
      <c r="A177" s="1006">
        <v>59</v>
      </c>
      <c r="B177" s="1007" t="s">
        <v>1464</v>
      </c>
      <c r="C177" s="1008"/>
      <c r="D177" s="1008" t="s">
        <v>3502</v>
      </c>
      <c r="E177" s="1007" t="s">
        <v>1465</v>
      </c>
      <c r="F177" s="1010" t="s">
        <v>347</v>
      </c>
      <c r="G177" s="989">
        <v>271200</v>
      </c>
      <c r="H177" s="937"/>
      <c r="I177" s="1065"/>
      <c r="J177" s="1065"/>
      <c r="K177" s="1066">
        <v>-46068</v>
      </c>
      <c r="L177" s="1065"/>
      <c r="M177" s="1067"/>
      <c r="N177" s="989">
        <f>271200+M177+K177</f>
        <v>225132</v>
      </c>
      <c r="O177" s="989">
        <v>0</v>
      </c>
      <c r="P177" s="989">
        <v>225132</v>
      </c>
      <c r="Q177" s="989">
        <f t="shared" si="20"/>
        <v>225132</v>
      </c>
      <c r="R177" s="989">
        <f t="shared" si="22"/>
        <v>100</v>
      </c>
      <c r="S177" s="1011">
        <v>0</v>
      </c>
      <c r="T177" s="989">
        <f t="shared" si="21"/>
        <v>0</v>
      </c>
      <c r="U177" s="989">
        <f t="shared" si="17"/>
        <v>225132</v>
      </c>
      <c r="V177" s="989">
        <f t="shared" si="18"/>
        <v>100</v>
      </c>
      <c r="W177" s="989"/>
      <c r="X177" s="989">
        <f t="shared" si="19"/>
        <v>0</v>
      </c>
      <c r="Y177" s="1012"/>
    </row>
    <row r="178" spans="1:25" ht="63" customHeight="1">
      <c r="A178" s="1006">
        <v>60</v>
      </c>
      <c r="B178" s="1007" t="s">
        <v>1466</v>
      </c>
      <c r="C178" s="1008"/>
      <c r="D178" s="1008" t="s">
        <v>3503</v>
      </c>
      <c r="E178" s="1007" t="s">
        <v>3246</v>
      </c>
      <c r="F178" s="1010" t="s">
        <v>347</v>
      </c>
      <c r="G178" s="989">
        <v>90400</v>
      </c>
      <c r="H178" s="937"/>
      <c r="I178" s="1065"/>
      <c r="J178" s="1065"/>
      <c r="K178" s="1066">
        <v>-48400</v>
      </c>
      <c r="L178" s="1065"/>
      <c r="M178" s="1067"/>
      <c r="N178" s="989">
        <f>90400+M178+K178</f>
        <v>42000</v>
      </c>
      <c r="O178" s="989">
        <v>0</v>
      </c>
      <c r="P178" s="989">
        <v>42000</v>
      </c>
      <c r="Q178" s="989">
        <f t="shared" si="20"/>
        <v>42000</v>
      </c>
      <c r="R178" s="989">
        <f t="shared" si="22"/>
        <v>100</v>
      </c>
      <c r="S178" s="1011">
        <v>0</v>
      </c>
      <c r="T178" s="989">
        <f t="shared" si="21"/>
        <v>0</v>
      </c>
      <c r="U178" s="989">
        <f t="shared" si="17"/>
        <v>42000</v>
      </c>
      <c r="V178" s="989">
        <f t="shared" si="18"/>
        <v>100</v>
      </c>
      <c r="W178" s="989"/>
      <c r="X178" s="989">
        <f t="shared" si="19"/>
        <v>0</v>
      </c>
      <c r="Y178" s="1012"/>
    </row>
    <row r="179" spans="1:25" ht="63" customHeight="1">
      <c r="A179" s="1006">
        <v>61</v>
      </c>
      <c r="B179" s="1007" t="s">
        <v>1467</v>
      </c>
      <c r="C179" s="1008"/>
      <c r="D179" s="1008" t="s">
        <v>3504</v>
      </c>
      <c r="E179" s="1007" t="s">
        <v>1468</v>
      </c>
      <c r="F179" s="1010" t="s">
        <v>347</v>
      </c>
      <c r="G179" s="989">
        <v>90400</v>
      </c>
      <c r="H179" s="937"/>
      <c r="I179" s="1065"/>
      <c r="J179" s="1065"/>
      <c r="K179" s="1066"/>
      <c r="L179" s="1065"/>
      <c r="M179" s="1067"/>
      <c r="N179" s="989">
        <v>90400</v>
      </c>
      <c r="O179" s="989">
        <v>0</v>
      </c>
      <c r="P179" s="989">
        <v>90400</v>
      </c>
      <c r="Q179" s="989">
        <f t="shared" si="20"/>
        <v>90400</v>
      </c>
      <c r="R179" s="989">
        <f t="shared" si="22"/>
        <v>100</v>
      </c>
      <c r="S179" s="1011">
        <v>0</v>
      </c>
      <c r="T179" s="989">
        <f t="shared" si="21"/>
        <v>0</v>
      </c>
      <c r="U179" s="989">
        <f t="shared" si="17"/>
        <v>90400</v>
      </c>
      <c r="V179" s="989">
        <f t="shared" si="18"/>
        <v>100</v>
      </c>
      <c r="W179" s="989"/>
      <c r="X179" s="989">
        <f t="shared" si="19"/>
        <v>0</v>
      </c>
      <c r="Y179" s="1012"/>
    </row>
    <row r="180" spans="1:25" ht="63" customHeight="1">
      <c r="A180" s="1006">
        <v>62</v>
      </c>
      <c r="B180" s="1007" t="s">
        <v>1469</v>
      </c>
      <c r="C180" s="1008"/>
      <c r="D180" s="1008" t="s">
        <v>3505</v>
      </c>
      <c r="E180" s="1007" t="s">
        <v>3247</v>
      </c>
      <c r="F180" s="1010" t="s">
        <v>347</v>
      </c>
      <c r="G180" s="989">
        <v>90400</v>
      </c>
      <c r="H180" s="937"/>
      <c r="I180" s="1065"/>
      <c r="J180" s="1065"/>
      <c r="K180" s="1066">
        <v>-10400</v>
      </c>
      <c r="L180" s="1065"/>
      <c r="M180" s="1067"/>
      <c r="N180" s="989">
        <f>90400+M180+K180</f>
        <v>80000</v>
      </c>
      <c r="O180" s="989">
        <v>0</v>
      </c>
      <c r="P180" s="989">
        <v>80000</v>
      </c>
      <c r="Q180" s="989">
        <f t="shared" si="20"/>
        <v>80000</v>
      </c>
      <c r="R180" s="989">
        <f t="shared" si="22"/>
        <v>100</v>
      </c>
      <c r="S180" s="1011">
        <v>0</v>
      </c>
      <c r="T180" s="989">
        <f t="shared" si="21"/>
        <v>0</v>
      </c>
      <c r="U180" s="989">
        <f t="shared" si="17"/>
        <v>80000</v>
      </c>
      <c r="V180" s="989">
        <f t="shared" si="18"/>
        <v>100</v>
      </c>
      <c r="W180" s="989"/>
      <c r="X180" s="989">
        <f t="shared" si="19"/>
        <v>0</v>
      </c>
      <c r="Y180" s="1012"/>
    </row>
    <row r="181" spans="1:25" ht="63" customHeight="1">
      <c r="A181" s="1006">
        <v>63</v>
      </c>
      <c r="B181" s="1007" t="s">
        <v>1470</v>
      </c>
      <c r="C181" s="1008"/>
      <c r="D181" s="1008" t="s">
        <v>3506</v>
      </c>
      <c r="E181" s="1007" t="s">
        <v>1471</v>
      </c>
      <c r="F181" s="1010" t="s">
        <v>347</v>
      </c>
      <c r="G181" s="989">
        <v>45200</v>
      </c>
      <c r="H181" s="937"/>
      <c r="I181" s="1065"/>
      <c r="J181" s="1065"/>
      <c r="K181" s="1066">
        <v>-4110</v>
      </c>
      <c r="L181" s="1065"/>
      <c r="M181" s="1067"/>
      <c r="N181" s="989">
        <f>45200+M181+K181</f>
        <v>41090</v>
      </c>
      <c r="O181" s="989">
        <v>0</v>
      </c>
      <c r="P181" s="989">
        <v>41090</v>
      </c>
      <c r="Q181" s="989">
        <f t="shared" si="20"/>
        <v>41090</v>
      </c>
      <c r="R181" s="989">
        <f t="shared" si="22"/>
        <v>100</v>
      </c>
      <c r="S181" s="1011">
        <v>0</v>
      </c>
      <c r="T181" s="989">
        <f t="shared" si="21"/>
        <v>0</v>
      </c>
      <c r="U181" s="989">
        <f t="shared" si="17"/>
        <v>41090</v>
      </c>
      <c r="V181" s="989">
        <f t="shared" si="18"/>
        <v>100</v>
      </c>
      <c r="W181" s="989"/>
      <c r="X181" s="989">
        <f t="shared" si="19"/>
        <v>0</v>
      </c>
      <c r="Y181" s="1012"/>
    </row>
    <row r="182" spans="1:25" ht="63" customHeight="1">
      <c r="A182" s="1006">
        <v>64</v>
      </c>
      <c r="B182" s="1007" t="s">
        <v>1472</v>
      </c>
      <c r="C182" s="1008"/>
      <c r="D182" s="1008" t="s">
        <v>3507</v>
      </c>
      <c r="E182" s="1007" t="s">
        <v>3248</v>
      </c>
      <c r="F182" s="1010" t="s">
        <v>347</v>
      </c>
      <c r="G182" s="989">
        <v>135600</v>
      </c>
      <c r="H182" s="937"/>
      <c r="I182" s="1065"/>
      <c r="J182" s="1065"/>
      <c r="K182" s="1066">
        <v>-47740</v>
      </c>
      <c r="L182" s="1065"/>
      <c r="M182" s="1067"/>
      <c r="N182" s="989">
        <f>135600+M182+K182</f>
        <v>87860</v>
      </c>
      <c r="O182" s="989">
        <v>0</v>
      </c>
      <c r="P182" s="989">
        <v>87860</v>
      </c>
      <c r="Q182" s="989">
        <f t="shared" si="20"/>
        <v>87860</v>
      </c>
      <c r="R182" s="989">
        <f t="shared" si="22"/>
        <v>100</v>
      </c>
      <c r="S182" s="1011">
        <v>0</v>
      </c>
      <c r="T182" s="989">
        <f t="shared" si="21"/>
        <v>0</v>
      </c>
      <c r="U182" s="989">
        <f t="shared" si="17"/>
        <v>87860</v>
      </c>
      <c r="V182" s="989">
        <f t="shared" si="18"/>
        <v>100</v>
      </c>
      <c r="W182" s="989"/>
      <c r="X182" s="989">
        <f t="shared" ref="X182:X245" si="23">N182-U182</f>
        <v>0</v>
      </c>
      <c r="Y182" s="1012"/>
    </row>
    <row r="183" spans="1:25" s="938" customFormat="1" ht="63" customHeight="1">
      <c r="A183" s="1074">
        <v>65</v>
      </c>
      <c r="B183" s="1075" t="s">
        <v>4451</v>
      </c>
      <c r="C183" s="1076"/>
      <c r="D183" s="1076" t="s">
        <v>4452</v>
      </c>
      <c r="E183" s="1075" t="s">
        <v>4420</v>
      </c>
      <c r="F183" s="1077" t="s">
        <v>347</v>
      </c>
      <c r="G183" s="1078"/>
      <c r="H183" s="1072"/>
      <c r="I183" s="1065"/>
      <c r="J183" s="1065"/>
      <c r="K183" s="1066"/>
      <c r="L183" s="1065"/>
      <c r="M183" s="1067"/>
      <c r="N183" s="1078">
        <v>0</v>
      </c>
      <c r="O183" s="1078">
        <v>0</v>
      </c>
      <c r="P183" s="1078"/>
      <c r="Q183" s="1078">
        <f t="shared" ref="Q183:Q246" si="24">P183+O183</f>
        <v>0</v>
      </c>
      <c r="R183" s="1078" t="e">
        <f t="shared" si="22"/>
        <v>#DIV/0!</v>
      </c>
      <c r="S183" s="1079"/>
      <c r="T183" s="1078"/>
      <c r="U183" s="1078">
        <f t="shared" ref="U183:U246" si="25">S183+Q183</f>
        <v>0</v>
      </c>
      <c r="V183" s="1078"/>
      <c r="W183" s="1078"/>
      <c r="X183" s="1078">
        <f t="shared" si="23"/>
        <v>0</v>
      </c>
      <c r="Y183" s="1080"/>
    </row>
    <row r="184" spans="1:25" ht="63" customHeight="1">
      <c r="A184" s="1006">
        <v>66</v>
      </c>
      <c r="B184" s="1007" t="s">
        <v>1473</v>
      </c>
      <c r="C184" s="1008"/>
      <c r="D184" s="1008" t="s">
        <v>3508</v>
      </c>
      <c r="E184" s="1007" t="s">
        <v>1474</v>
      </c>
      <c r="F184" s="1010" t="s">
        <v>347</v>
      </c>
      <c r="G184" s="989">
        <v>45200</v>
      </c>
      <c r="H184" s="937"/>
      <c r="I184" s="1065"/>
      <c r="J184" s="1065"/>
      <c r="K184" s="1066">
        <v>-6748</v>
      </c>
      <c r="L184" s="1065"/>
      <c r="M184" s="1067"/>
      <c r="N184" s="989">
        <f>45200+M184+K184</f>
        <v>38452</v>
      </c>
      <c r="O184" s="989">
        <v>0</v>
      </c>
      <c r="P184" s="989">
        <v>38452</v>
      </c>
      <c r="Q184" s="989">
        <f t="shared" si="24"/>
        <v>38452</v>
      </c>
      <c r="R184" s="989">
        <f t="shared" ref="R184:R247" si="26">Q184/N184*100</f>
        <v>100</v>
      </c>
      <c r="S184" s="1011">
        <v>0</v>
      </c>
      <c r="T184" s="989">
        <f t="shared" ref="T184:T247" si="27">S184/N184*100</f>
        <v>0</v>
      </c>
      <c r="U184" s="989">
        <f t="shared" si="25"/>
        <v>38452</v>
      </c>
      <c r="V184" s="989">
        <f t="shared" ref="V184:V247" si="28">U184/N184*100</f>
        <v>100</v>
      </c>
      <c r="W184" s="989"/>
      <c r="X184" s="989">
        <f t="shared" si="23"/>
        <v>0</v>
      </c>
      <c r="Y184" s="1012"/>
    </row>
    <row r="185" spans="1:25" ht="63" customHeight="1">
      <c r="A185" s="1006">
        <v>67</v>
      </c>
      <c r="B185" s="1007" t="s">
        <v>1475</v>
      </c>
      <c r="C185" s="1008"/>
      <c r="D185" s="1008" t="s">
        <v>3509</v>
      </c>
      <c r="E185" s="1007" t="s">
        <v>1476</v>
      </c>
      <c r="F185" s="1010" t="s">
        <v>347</v>
      </c>
      <c r="G185" s="989">
        <v>271200</v>
      </c>
      <c r="H185" s="937"/>
      <c r="I185" s="1065"/>
      <c r="J185" s="1065"/>
      <c r="K185" s="1066"/>
      <c r="L185" s="1065"/>
      <c r="M185" s="1067"/>
      <c r="N185" s="989">
        <v>271200</v>
      </c>
      <c r="O185" s="989">
        <v>0</v>
      </c>
      <c r="P185" s="989">
        <v>271200</v>
      </c>
      <c r="Q185" s="989">
        <f t="shared" si="24"/>
        <v>271200</v>
      </c>
      <c r="R185" s="989">
        <f t="shared" si="26"/>
        <v>100</v>
      </c>
      <c r="S185" s="1011">
        <v>0</v>
      </c>
      <c r="T185" s="989">
        <f t="shared" si="27"/>
        <v>0</v>
      </c>
      <c r="U185" s="989">
        <f t="shared" si="25"/>
        <v>271200</v>
      </c>
      <c r="V185" s="989">
        <f t="shared" si="28"/>
        <v>100</v>
      </c>
      <c r="W185" s="989"/>
      <c r="X185" s="989">
        <f t="shared" si="23"/>
        <v>0</v>
      </c>
      <c r="Y185" s="1012"/>
    </row>
    <row r="186" spans="1:25" ht="63" customHeight="1">
      <c r="A186" s="1006">
        <v>68</v>
      </c>
      <c r="B186" s="1007" t="s">
        <v>1477</v>
      </c>
      <c r="C186" s="1008"/>
      <c r="D186" s="1008" t="s">
        <v>3510</v>
      </c>
      <c r="E186" s="1007" t="s">
        <v>3249</v>
      </c>
      <c r="F186" s="1010" t="s">
        <v>347</v>
      </c>
      <c r="G186" s="989">
        <v>90400</v>
      </c>
      <c r="H186" s="937"/>
      <c r="I186" s="1065"/>
      <c r="J186" s="1065"/>
      <c r="K186" s="1066">
        <v>-6400</v>
      </c>
      <c r="L186" s="1065"/>
      <c r="M186" s="1067"/>
      <c r="N186" s="989">
        <f>90400+M186+K186</f>
        <v>84000</v>
      </c>
      <c r="O186" s="989">
        <v>0</v>
      </c>
      <c r="P186" s="989">
        <v>84000</v>
      </c>
      <c r="Q186" s="989">
        <f t="shared" si="24"/>
        <v>84000</v>
      </c>
      <c r="R186" s="989">
        <f t="shared" si="26"/>
        <v>100</v>
      </c>
      <c r="S186" s="1011">
        <v>0</v>
      </c>
      <c r="T186" s="989">
        <f t="shared" si="27"/>
        <v>0</v>
      </c>
      <c r="U186" s="989">
        <f t="shared" si="25"/>
        <v>84000</v>
      </c>
      <c r="V186" s="989">
        <f t="shared" si="28"/>
        <v>100</v>
      </c>
      <c r="W186" s="989"/>
      <c r="X186" s="989">
        <f t="shared" si="23"/>
        <v>0</v>
      </c>
      <c r="Y186" s="1012"/>
    </row>
    <row r="187" spans="1:25" ht="63" customHeight="1">
      <c r="A187" s="1006">
        <v>69</v>
      </c>
      <c r="B187" s="1007" t="s">
        <v>1478</v>
      </c>
      <c r="C187" s="1008"/>
      <c r="D187" s="1008" t="s">
        <v>3511</v>
      </c>
      <c r="E187" s="1007" t="s">
        <v>1479</v>
      </c>
      <c r="F187" s="1010" t="s">
        <v>347</v>
      </c>
      <c r="G187" s="989">
        <v>90400</v>
      </c>
      <c r="H187" s="937"/>
      <c r="I187" s="1065"/>
      <c r="J187" s="1065"/>
      <c r="K187" s="1066">
        <v>-11868.02</v>
      </c>
      <c r="L187" s="1065"/>
      <c r="M187" s="1067"/>
      <c r="N187" s="989">
        <f>90400+M187+K187</f>
        <v>78531.98</v>
      </c>
      <c r="O187" s="989">
        <v>0</v>
      </c>
      <c r="P187" s="989">
        <v>78531.98</v>
      </c>
      <c r="Q187" s="989">
        <f t="shared" si="24"/>
        <v>78531.98</v>
      </c>
      <c r="R187" s="989">
        <f t="shared" si="26"/>
        <v>100</v>
      </c>
      <c r="S187" s="1011">
        <v>0</v>
      </c>
      <c r="T187" s="989">
        <f t="shared" si="27"/>
        <v>0</v>
      </c>
      <c r="U187" s="989">
        <f t="shared" si="25"/>
        <v>78531.98</v>
      </c>
      <c r="V187" s="989">
        <f t="shared" si="28"/>
        <v>100</v>
      </c>
      <c r="W187" s="989"/>
      <c r="X187" s="989">
        <f t="shared" si="23"/>
        <v>0</v>
      </c>
      <c r="Y187" s="1012"/>
    </row>
    <row r="188" spans="1:25" ht="63" customHeight="1">
      <c r="A188" s="1006">
        <v>70</v>
      </c>
      <c r="B188" s="1007" t="s">
        <v>1480</v>
      </c>
      <c r="C188" s="1008"/>
      <c r="D188" s="1008" t="s">
        <v>3512</v>
      </c>
      <c r="E188" s="1007" t="s">
        <v>1481</v>
      </c>
      <c r="F188" s="1010" t="s">
        <v>347</v>
      </c>
      <c r="G188" s="989">
        <v>90400</v>
      </c>
      <c r="H188" s="937"/>
      <c r="I188" s="1065"/>
      <c r="J188" s="1065"/>
      <c r="K188" s="1066">
        <v>-14782</v>
      </c>
      <c r="L188" s="1065"/>
      <c r="M188" s="1067"/>
      <c r="N188" s="989">
        <f>90400+M188+K188</f>
        <v>75618</v>
      </c>
      <c r="O188" s="989">
        <v>0</v>
      </c>
      <c r="P188" s="989">
        <v>75618</v>
      </c>
      <c r="Q188" s="989">
        <f t="shared" si="24"/>
        <v>75618</v>
      </c>
      <c r="R188" s="989">
        <f t="shared" si="26"/>
        <v>100</v>
      </c>
      <c r="S188" s="1011">
        <v>0</v>
      </c>
      <c r="T188" s="989">
        <f t="shared" si="27"/>
        <v>0</v>
      </c>
      <c r="U188" s="989">
        <f t="shared" si="25"/>
        <v>75618</v>
      </c>
      <c r="V188" s="989">
        <f t="shared" si="28"/>
        <v>100</v>
      </c>
      <c r="W188" s="989"/>
      <c r="X188" s="989">
        <f t="shared" si="23"/>
        <v>0</v>
      </c>
      <c r="Y188" s="1012"/>
    </row>
    <row r="189" spans="1:25" ht="63" customHeight="1">
      <c r="A189" s="1006">
        <v>71</v>
      </c>
      <c r="B189" s="1007" t="s">
        <v>1482</v>
      </c>
      <c r="C189" s="1008"/>
      <c r="D189" s="1008" t="s">
        <v>3513</v>
      </c>
      <c r="E189" s="1007" t="s">
        <v>1483</v>
      </c>
      <c r="F189" s="1010" t="s">
        <v>347</v>
      </c>
      <c r="G189" s="989">
        <v>45200</v>
      </c>
      <c r="H189" s="937"/>
      <c r="I189" s="1065"/>
      <c r="J189" s="1065"/>
      <c r="K189" s="1066">
        <v>-2453.92</v>
      </c>
      <c r="L189" s="1065"/>
      <c r="M189" s="1067"/>
      <c r="N189" s="989">
        <f>45200+M189+K189</f>
        <v>42746.080000000002</v>
      </c>
      <c r="O189" s="989">
        <v>0</v>
      </c>
      <c r="P189" s="989">
        <v>42746.080000000002</v>
      </c>
      <c r="Q189" s="989">
        <f t="shared" si="24"/>
        <v>42746.080000000002</v>
      </c>
      <c r="R189" s="989">
        <f t="shared" si="26"/>
        <v>100</v>
      </c>
      <c r="S189" s="1011">
        <v>0</v>
      </c>
      <c r="T189" s="989">
        <f t="shared" si="27"/>
        <v>0</v>
      </c>
      <c r="U189" s="989">
        <f t="shared" si="25"/>
        <v>42746.080000000002</v>
      </c>
      <c r="V189" s="989">
        <f t="shared" si="28"/>
        <v>100</v>
      </c>
      <c r="W189" s="989"/>
      <c r="X189" s="989">
        <f t="shared" si="23"/>
        <v>0</v>
      </c>
      <c r="Y189" s="1012"/>
    </row>
    <row r="190" spans="1:25" ht="63" customHeight="1">
      <c r="A190" s="1006">
        <v>72</v>
      </c>
      <c r="B190" s="1007" t="s">
        <v>1484</v>
      </c>
      <c r="C190" s="1008"/>
      <c r="D190" s="1008" t="s">
        <v>3514</v>
      </c>
      <c r="E190" s="1007" t="s">
        <v>1485</v>
      </c>
      <c r="F190" s="1010" t="s">
        <v>378</v>
      </c>
      <c r="G190" s="989">
        <v>45200</v>
      </c>
      <c r="H190" s="937"/>
      <c r="I190" s="1065"/>
      <c r="J190" s="1065"/>
      <c r="K190" s="1066"/>
      <c r="L190" s="1065"/>
      <c r="M190" s="1067"/>
      <c r="N190" s="989">
        <v>45200</v>
      </c>
      <c r="O190" s="989">
        <v>0</v>
      </c>
      <c r="P190" s="989">
        <v>45200</v>
      </c>
      <c r="Q190" s="989">
        <f t="shared" si="24"/>
        <v>45200</v>
      </c>
      <c r="R190" s="989">
        <f t="shared" si="26"/>
        <v>100</v>
      </c>
      <c r="S190" s="1011">
        <v>0</v>
      </c>
      <c r="T190" s="989">
        <f t="shared" si="27"/>
        <v>0</v>
      </c>
      <c r="U190" s="989">
        <f t="shared" si="25"/>
        <v>45200</v>
      </c>
      <c r="V190" s="989">
        <f t="shared" si="28"/>
        <v>100</v>
      </c>
      <c r="W190" s="989"/>
      <c r="X190" s="989">
        <f t="shared" si="23"/>
        <v>0</v>
      </c>
      <c r="Y190" s="1012"/>
    </row>
    <row r="191" spans="1:25" ht="63" customHeight="1">
      <c r="A191" s="1006">
        <v>73</v>
      </c>
      <c r="B191" s="1007" t="s">
        <v>1486</v>
      </c>
      <c r="C191" s="1008"/>
      <c r="D191" s="1008" t="s">
        <v>3515</v>
      </c>
      <c r="E191" s="1007" t="s">
        <v>1487</v>
      </c>
      <c r="F191" s="1010" t="s">
        <v>378</v>
      </c>
      <c r="G191" s="989">
        <v>135600</v>
      </c>
      <c r="H191" s="937"/>
      <c r="I191" s="1065"/>
      <c r="J191" s="1065"/>
      <c r="K191" s="1066">
        <v>-16190</v>
      </c>
      <c r="L191" s="1065"/>
      <c r="M191" s="1067"/>
      <c r="N191" s="989">
        <f>135600+M191+K191</f>
        <v>119410</v>
      </c>
      <c r="O191" s="989">
        <v>0</v>
      </c>
      <c r="P191" s="989">
        <v>119410</v>
      </c>
      <c r="Q191" s="989">
        <f t="shared" si="24"/>
        <v>119410</v>
      </c>
      <c r="R191" s="989">
        <f t="shared" si="26"/>
        <v>100</v>
      </c>
      <c r="S191" s="1011">
        <v>0</v>
      </c>
      <c r="T191" s="989">
        <f t="shared" si="27"/>
        <v>0</v>
      </c>
      <c r="U191" s="989">
        <f t="shared" si="25"/>
        <v>119410</v>
      </c>
      <c r="V191" s="989">
        <f t="shared" si="28"/>
        <v>100</v>
      </c>
      <c r="W191" s="989"/>
      <c r="X191" s="989">
        <f t="shared" si="23"/>
        <v>0</v>
      </c>
      <c r="Y191" s="1012"/>
    </row>
    <row r="192" spans="1:25" ht="63" customHeight="1">
      <c r="A192" s="1006">
        <v>74</v>
      </c>
      <c r="B192" s="1007" t="s">
        <v>1488</v>
      </c>
      <c r="C192" s="1008"/>
      <c r="D192" s="1008" t="s">
        <v>3516</v>
      </c>
      <c r="E192" s="1007" t="s">
        <v>1489</v>
      </c>
      <c r="F192" s="1010" t="s">
        <v>378</v>
      </c>
      <c r="G192" s="989">
        <v>90400</v>
      </c>
      <c r="H192" s="937"/>
      <c r="I192" s="1065"/>
      <c r="J192" s="1065"/>
      <c r="K192" s="1066">
        <v>-1015.74</v>
      </c>
      <c r="L192" s="1065"/>
      <c r="M192" s="1067"/>
      <c r="N192" s="989">
        <f>90400+M192+K192</f>
        <v>89384.26</v>
      </c>
      <c r="O192" s="989">
        <v>0</v>
      </c>
      <c r="P192" s="989">
        <v>89384.26</v>
      </c>
      <c r="Q192" s="989">
        <f t="shared" si="24"/>
        <v>89384.26</v>
      </c>
      <c r="R192" s="989">
        <f t="shared" si="26"/>
        <v>100</v>
      </c>
      <c r="S192" s="1011">
        <v>0</v>
      </c>
      <c r="T192" s="989">
        <f t="shared" si="27"/>
        <v>0</v>
      </c>
      <c r="U192" s="989">
        <f t="shared" si="25"/>
        <v>89384.26</v>
      </c>
      <c r="V192" s="989">
        <f t="shared" si="28"/>
        <v>100</v>
      </c>
      <c r="W192" s="989"/>
      <c r="X192" s="989">
        <f t="shared" si="23"/>
        <v>0</v>
      </c>
      <c r="Y192" s="1012"/>
    </row>
    <row r="193" spans="1:25" ht="63" customHeight="1">
      <c r="A193" s="1006">
        <v>75</v>
      </c>
      <c r="B193" s="1007" t="s">
        <v>1490</v>
      </c>
      <c r="C193" s="1008"/>
      <c r="D193" s="1008" t="s">
        <v>3517</v>
      </c>
      <c r="E193" s="1007" t="s">
        <v>1491</v>
      </c>
      <c r="F193" s="1010" t="s">
        <v>544</v>
      </c>
      <c r="G193" s="989">
        <v>90400</v>
      </c>
      <c r="H193" s="937"/>
      <c r="I193" s="1065"/>
      <c r="J193" s="1065"/>
      <c r="K193" s="1066"/>
      <c r="L193" s="1065"/>
      <c r="M193" s="1067"/>
      <c r="N193" s="989">
        <v>90400</v>
      </c>
      <c r="O193" s="989">
        <v>0</v>
      </c>
      <c r="P193" s="989">
        <v>90400</v>
      </c>
      <c r="Q193" s="989">
        <f t="shared" si="24"/>
        <v>90400</v>
      </c>
      <c r="R193" s="989">
        <f t="shared" si="26"/>
        <v>100</v>
      </c>
      <c r="S193" s="1011">
        <v>0</v>
      </c>
      <c r="T193" s="989">
        <f t="shared" si="27"/>
        <v>0</v>
      </c>
      <c r="U193" s="989">
        <f t="shared" si="25"/>
        <v>90400</v>
      </c>
      <c r="V193" s="989">
        <f t="shared" si="28"/>
        <v>100</v>
      </c>
      <c r="W193" s="989"/>
      <c r="X193" s="989">
        <f t="shared" si="23"/>
        <v>0</v>
      </c>
      <c r="Y193" s="1012"/>
    </row>
    <row r="194" spans="1:25" ht="63" customHeight="1">
      <c r="A194" s="1006">
        <v>76</v>
      </c>
      <c r="B194" s="1007" t="s">
        <v>1492</v>
      </c>
      <c r="C194" s="1008"/>
      <c r="D194" s="1008" t="s">
        <v>3518</v>
      </c>
      <c r="E194" s="1007" t="s">
        <v>1493</v>
      </c>
      <c r="F194" s="1010" t="s">
        <v>544</v>
      </c>
      <c r="G194" s="989">
        <v>45200</v>
      </c>
      <c r="H194" s="937"/>
      <c r="I194" s="1065"/>
      <c r="J194" s="1065"/>
      <c r="K194" s="1066">
        <v>-16827.87</v>
      </c>
      <c r="L194" s="1065"/>
      <c r="M194" s="1067"/>
      <c r="N194" s="989">
        <f>45200+M194+K194</f>
        <v>28372.13</v>
      </c>
      <c r="O194" s="989">
        <v>28372.13</v>
      </c>
      <c r="P194" s="989">
        <v>0</v>
      </c>
      <c r="Q194" s="989">
        <f t="shared" si="24"/>
        <v>28372.13</v>
      </c>
      <c r="R194" s="989">
        <f t="shared" si="26"/>
        <v>100</v>
      </c>
      <c r="S194" s="1011">
        <v>0</v>
      </c>
      <c r="T194" s="989">
        <f t="shared" si="27"/>
        <v>0</v>
      </c>
      <c r="U194" s="989">
        <f t="shared" si="25"/>
        <v>28372.13</v>
      </c>
      <c r="V194" s="989">
        <f t="shared" si="28"/>
        <v>100</v>
      </c>
      <c r="W194" s="989"/>
      <c r="X194" s="989">
        <f t="shared" si="23"/>
        <v>0</v>
      </c>
      <c r="Y194" s="1012"/>
    </row>
    <row r="195" spans="1:25" ht="63" customHeight="1">
      <c r="A195" s="1006">
        <v>77</v>
      </c>
      <c r="B195" s="1007" t="s">
        <v>1494</v>
      </c>
      <c r="C195" s="1008"/>
      <c r="D195" s="1008" t="s">
        <v>3519</v>
      </c>
      <c r="E195" s="1007" t="s">
        <v>1495</v>
      </c>
      <c r="F195" s="1010" t="s">
        <v>544</v>
      </c>
      <c r="G195" s="989">
        <v>45200</v>
      </c>
      <c r="H195" s="937"/>
      <c r="I195" s="1065"/>
      <c r="J195" s="1065"/>
      <c r="K195" s="1066">
        <v>-38</v>
      </c>
      <c r="L195" s="1065"/>
      <c r="M195" s="1067"/>
      <c r="N195" s="989">
        <f>45200+M195+K195</f>
        <v>45162</v>
      </c>
      <c r="O195" s="989">
        <v>0</v>
      </c>
      <c r="P195" s="989">
        <v>45162</v>
      </c>
      <c r="Q195" s="989">
        <f t="shared" si="24"/>
        <v>45162</v>
      </c>
      <c r="R195" s="989">
        <f t="shared" si="26"/>
        <v>100</v>
      </c>
      <c r="S195" s="1011">
        <v>0</v>
      </c>
      <c r="T195" s="989">
        <f t="shared" si="27"/>
        <v>0</v>
      </c>
      <c r="U195" s="989">
        <f t="shared" si="25"/>
        <v>45162</v>
      </c>
      <c r="V195" s="989">
        <f t="shared" si="28"/>
        <v>100</v>
      </c>
      <c r="W195" s="989"/>
      <c r="X195" s="989">
        <f t="shared" si="23"/>
        <v>0</v>
      </c>
      <c r="Y195" s="1012"/>
    </row>
    <row r="196" spans="1:25" ht="63" customHeight="1">
      <c r="A196" s="1006">
        <v>78</v>
      </c>
      <c r="B196" s="1007" t="s">
        <v>1496</v>
      </c>
      <c r="C196" s="1008"/>
      <c r="D196" s="1008" t="s">
        <v>3520</v>
      </c>
      <c r="E196" s="1007" t="s">
        <v>2955</v>
      </c>
      <c r="F196" s="1010" t="s">
        <v>569</v>
      </c>
      <c r="G196" s="989">
        <v>90400</v>
      </c>
      <c r="H196" s="937"/>
      <c r="I196" s="1065"/>
      <c r="J196" s="1065"/>
      <c r="K196" s="1066">
        <f>-18000-9806.23</f>
        <v>-27806.23</v>
      </c>
      <c r="L196" s="1065"/>
      <c r="M196" s="1067"/>
      <c r="N196" s="989">
        <f>90400+M196+K196</f>
        <v>62593.770000000004</v>
      </c>
      <c r="O196" s="989">
        <v>0</v>
      </c>
      <c r="P196" s="989">
        <v>62593.77</v>
      </c>
      <c r="Q196" s="989">
        <f t="shared" si="24"/>
        <v>62593.77</v>
      </c>
      <c r="R196" s="989">
        <f t="shared" si="26"/>
        <v>99.999999999999986</v>
      </c>
      <c r="S196" s="1011">
        <v>0</v>
      </c>
      <c r="T196" s="989">
        <f t="shared" si="27"/>
        <v>0</v>
      </c>
      <c r="U196" s="989">
        <f t="shared" si="25"/>
        <v>62593.77</v>
      </c>
      <c r="V196" s="989">
        <f t="shared" si="28"/>
        <v>99.999999999999986</v>
      </c>
      <c r="W196" s="989"/>
      <c r="X196" s="989">
        <f t="shared" si="23"/>
        <v>0</v>
      </c>
      <c r="Y196" s="1012"/>
    </row>
    <row r="197" spans="1:25" ht="63" customHeight="1">
      <c r="A197" s="1006">
        <v>79</v>
      </c>
      <c r="B197" s="1007" t="s">
        <v>1497</v>
      </c>
      <c r="C197" s="1008"/>
      <c r="D197" s="1008" t="s">
        <v>3521</v>
      </c>
      <c r="E197" s="1007" t="s">
        <v>1498</v>
      </c>
      <c r="F197" s="1010" t="s">
        <v>569</v>
      </c>
      <c r="G197" s="989">
        <v>45200</v>
      </c>
      <c r="H197" s="937"/>
      <c r="I197" s="1065"/>
      <c r="J197" s="1065"/>
      <c r="K197" s="1066">
        <f>-1100-42.8</f>
        <v>-1142.8</v>
      </c>
      <c r="L197" s="1065"/>
      <c r="M197" s="1067"/>
      <c r="N197" s="989">
        <f>45200+K197+M197</f>
        <v>44057.2</v>
      </c>
      <c r="O197" s="989">
        <v>0</v>
      </c>
      <c r="P197" s="989">
        <v>44057.2</v>
      </c>
      <c r="Q197" s="989">
        <f t="shared" si="24"/>
        <v>44057.2</v>
      </c>
      <c r="R197" s="989">
        <f t="shared" si="26"/>
        <v>100</v>
      </c>
      <c r="S197" s="1011">
        <v>0</v>
      </c>
      <c r="T197" s="989">
        <f t="shared" si="27"/>
        <v>0</v>
      </c>
      <c r="U197" s="989">
        <f t="shared" si="25"/>
        <v>44057.2</v>
      </c>
      <c r="V197" s="989">
        <f t="shared" si="28"/>
        <v>100</v>
      </c>
      <c r="W197" s="989"/>
      <c r="X197" s="989">
        <f t="shared" si="23"/>
        <v>0</v>
      </c>
      <c r="Y197" s="1012"/>
    </row>
    <row r="198" spans="1:25" ht="63" customHeight="1">
      <c r="A198" s="1006">
        <v>80</v>
      </c>
      <c r="B198" s="1007" t="s">
        <v>1499</v>
      </c>
      <c r="C198" s="1008"/>
      <c r="D198" s="1008" t="s">
        <v>3522</v>
      </c>
      <c r="E198" s="1007" t="s">
        <v>1500</v>
      </c>
      <c r="F198" s="1010" t="s">
        <v>569</v>
      </c>
      <c r="G198" s="989">
        <v>90400</v>
      </c>
      <c r="H198" s="937"/>
      <c r="I198" s="1065"/>
      <c r="J198" s="1065"/>
      <c r="K198" s="1066">
        <f>-18000-32768.36</f>
        <v>-50768.36</v>
      </c>
      <c r="L198" s="1065"/>
      <c r="M198" s="1067"/>
      <c r="N198" s="989">
        <f>90400+M198+K198</f>
        <v>39631.64</v>
      </c>
      <c r="O198" s="989">
        <v>0</v>
      </c>
      <c r="P198" s="989">
        <v>39631.64</v>
      </c>
      <c r="Q198" s="989">
        <f t="shared" si="24"/>
        <v>39631.64</v>
      </c>
      <c r="R198" s="989">
        <f t="shared" si="26"/>
        <v>100</v>
      </c>
      <c r="S198" s="1011">
        <v>0</v>
      </c>
      <c r="T198" s="989">
        <f t="shared" si="27"/>
        <v>0</v>
      </c>
      <c r="U198" s="989">
        <f t="shared" si="25"/>
        <v>39631.64</v>
      </c>
      <c r="V198" s="989">
        <f t="shared" si="28"/>
        <v>100</v>
      </c>
      <c r="W198" s="989"/>
      <c r="X198" s="989">
        <f t="shared" si="23"/>
        <v>0</v>
      </c>
      <c r="Y198" s="1012"/>
    </row>
    <row r="199" spans="1:25" ht="63" customHeight="1">
      <c r="A199" s="1006">
        <v>81</v>
      </c>
      <c r="B199" s="1007" t="s">
        <v>1501</v>
      </c>
      <c r="C199" s="1008"/>
      <c r="D199" s="1008" t="s">
        <v>3523</v>
      </c>
      <c r="E199" s="1007" t="s">
        <v>1502</v>
      </c>
      <c r="F199" s="1010" t="s">
        <v>569</v>
      </c>
      <c r="G199" s="989">
        <v>45200</v>
      </c>
      <c r="H199" s="937"/>
      <c r="I199" s="1065"/>
      <c r="J199" s="1065"/>
      <c r="K199" s="1066">
        <f>-9500</f>
        <v>-9500</v>
      </c>
      <c r="L199" s="1065"/>
      <c r="M199" s="1067"/>
      <c r="N199" s="989">
        <f>36200+M199+K199</f>
        <v>26700</v>
      </c>
      <c r="O199" s="989">
        <v>26700</v>
      </c>
      <c r="P199" s="989">
        <v>0</v>
      </c>
      <c r="Q199" s="989">
        <f t="shared" si="24"/>
        <v>26700</v>
      </c>
      <c r="R199" s="989">
        <f t="shared" si="26"/>
        <v>100</v>
      </c>
      <c r="S199" s="1011">
        <v>0</v>
      </c>
      <c r="T199" s="989">
        <f t="shared" si="27"/>
        <v>0</v>
      </c>
      <c r="U199" s="989">
        <f t="shared" si="25"/>
        <v>26700</v>
      </c>
      <c r="V199" s="989">
        <f t="shared" si="28"/>
        <v>100</v>
      </c>
      <c r="W199" s="989"/>
      <c r="X199" s="989">
        <f t="shared" si="23"/>
        <v>0</v>
      </c>
      <c r="Y199" s="1012"/>
    </row>
    <row r="200" spans="1:25" ht="63" customHeight="1">
      <c r="A200" s="1006">
        <v>82</v>
      </c>
      <c r="B200" s="1007" t="s">
        <v>1503</v>
      </c>
      <c r="C200" s="1008"/>
      <c r="D200" s="1008" t="s">
        <v>3524</v>
      </c>
      <c r="E200" s="1007" t="s">
        <v>1504</v>
      </c>
      <c r="F200" s="1010" t="s">
        <v>546</v>
      </c>
      <c r="G200" s="989">
        <v>90400</v>
      </c>
      <c r="H200" s="937"/>
      <c r="I200" s="1065"/>
      <c r="J200" s="1065"/>
      <c r="K200" s="1066">
        <v>-15904.8</v>
      </c>
      <c r="L200" s="1065"/>
      <c r="M200" s="1067"/>
      <c r="N200" s="989">
        <f>90400+M200+K200</f>
        <v>74495.199999999997</v>
      </c>
      <c r="O200" s="989">
        <v>0</v>
      </c>
      <c r="P200" s="989">
        <v>74495.199999999997</v>
      </c>
      <c r="Q200" s="989">
        <f t="shared" si="24"/>
        <v>74495.199999999997</v>
      </c>
      <c r="R200" s="989">
        <f t="shared" si="26"/>
        <v>100</v>
      </c>
      <c r="S200" s="1011">
        <v>0</v>
      </c>
      <c r="T200" s="989">
        <f t="shared" si="27"/>
        <v>0</v>
      </c>
      <c r="U200" s="989">
        <f t="shared" si="25"/>
        <v>74495.199999999997</v>
      </c>
      <c r="V200" s="989">
        <f t="shared" si="28"/>
        <v>100</v>
      </c>
      <c r="W200" s="989"/>
      <c r="X200" s="989">
        <f t="shared" si="23"/>
        <v>0</v>
      </c>
      <c r="Y200" s="1012"/>
    </row>
    <row r="201" spans="1:25" ht="63" customHeight="1">
      <c r="A201" s="1006">
        <v>83</v>
      </c>
      <c r="B201" s="1007" t="s">
        <v>1505</v>
      </c>
      <c r="C201" s="1008"/>
      <c r="D201" s="1008" t="s">
        <v>3525</v>
      </c>
      <c r="E201" s="1007" t="s">
        <v>1506</v>
      </c>
      <c r="F201" s="1010" t="s">
        <v>574</v>
      </c>
      <c r="G201" s="989">
        <v>45200</v>
      </c>
      <c r="H201" s="937"/>
      <c r="I201" s="1065"/>
      <c r="J201" s="1065"/>
      <c r="K201" s="1066">
        <f>-30400</f>
        <v>-30400</v>
      </c>
      <c r="L201" s="1065"/>
      <c r="M201" s="1067"/>
      <c r="N201" s="989">
        <f>45200+M201+K201</f>
        <v>14800</v>
      </c>
      <c r="O201" s="989">
        <v>0</v>
      </c>
      <c r="P201" s="989">
        <v>14800</v>
      </c>
      <c r="Q201" s="989">
        <f t="shared" si="24"/>
        <v>14800</v>
      </c>
      <c r="R201" s="989">
        <f t="shared" si="26"/>
        <v>100</v>
      </c>
      <c r="S201" s="1011">
        <v>0</v>
      </c>
      <c r="T201" s="989">
        <f t="shared" si="27"/>
        <v>0</v>
      </c>
      <c r="U201" s="989">
        <f t="shared" si="25"/>
        <v>14800</v>
      </c>
      <c r="V201" s="989">
        <f t="shared" si="28"/>
        <v>100</v>
      </c>
      <c r="W201" s="989"/>
      <c r="X201" s="989">
        <f t="shared" si="23"/>
        <v>0</v>
      </c>
      <c r="Y201" s="1012"/>
    </row>
    <row r="202" spans="1:25" ht="63" customHeight="1">
      <c r="A202" s="1006">
        <v>84</v>
      </c>
      <c r="B202" s="1007" t="s">
        <v>1507</v>
      </c>
      <c r="C202" s="1008"/>
      <c r="D202" s="1008" t="s">
        <v>3526</v>
      </c>
      <c r="E202" s="1007" t="s">
        <v>1508</v>
      </c>
      <c r="F202" s="1010" t="s">
        <v>574</v>
      </c>
      <c r="G202" s="989">
        <v>45200</v>
      </c>
      <c r="H202" s="937"/>
      <c r="I202" s="1065"/>
      <c r="J202" s="1065"/>
      <c r="K202" s="1066">
        <v>-6935</v>
      </c>
      <c r="L202" s="1065"/>
      <c r="M202" s="1067"/>
      <c r="N202" s="989">
        <f>45200+M202+K202</f>
        <v>38265</v>
      </c>
      <c r="O202" s="989">
        <v>0</v>
      </c>
      <c r="P202" s="989">
        <v>38265</v>
      </c>
      <c r="Q202" s="989">
        <f t="shared" si="24"/>
        <v>38265</v>
      </c>
      <c r="R202" s="989">
        <f t="shared" si="26"/>
        <v>100</v>
      </c>
      <c r="S202" s="1011">
        <v>0</v>
      </c>
      <c r="T202" s="989">
        <f t="shared" si="27"/>
        <v>0</v>
      </c>
      <c r="U202" s="989">
        <f t="shared" si="25"/>
        <v>38265</v>
      </c>
      <c r="V202" s="989">
        <f t="shared" si="28"/>
        <v>100</v>
      </c>
      <c r="W202" s="989"/>
      <c r="X202" s="989">
        <f t="shared" si="23"/>
        <v>0</v>
      </c>
      <c r="Y202" s="1012"/>
    </row>
    <row r="203" spans="1:25" ht="63" customHeight="1">
      <c r="A203" s="1006">
        <v>85</v>
      </c>
      <c r="B203" s="1007" t="s">
        <v>1509</v>
      </c>
      <c r="C203" s="1008"/>
      <c r="D203" s="1008" t="s">
        <v>3527</v>
      </c>
      <c r="E203" s="1007" t="s">
        <v>1510</v>
      </c>
      <c r="F203" s="1010" t="s">
        <v>574</v>
      </c>
      <c r="G203" s="989">
        <v>45200</v>
      </c>
      <c r="H203" s="937"/>
      <c r="I203" s="1065"/>
      <c r="J203" s="1065"/>
      <c r="K203" s="1066">
        <v>-26768.77</v>
      </c>
      <c r="L203" s="1065"/>
      <c r="M203" s="1067"/>
      <c r="N203" s="989">
        <f>45200+M203+K203</f>
        <v>18431.23</v>
      </c>
      <c r="O203" s="989">
        <v>18431.23</v>
      </c>
      <c r="P203" s="989">
        <v>0</v>
      </c>
      <c r="Q203" s="989">
        <f t="shared" si="24"/>
        <v>18431.23</v>
      </c>
      <c r="R203" s="989">
        <f t="shared" si="26"/>
        <v>100</v>
      </c>
      <c r="S203" s="1011">
        <v>0</v>
      </c>
      <c r="T203" s="989">
        <f t="shared" si="27"/>
        <v>0</v>
      </c>
      <c r="U203" s="989">
        <f t="shared" si="25"/>
        <v>18431.23</v>
      </c>
      <c r="V203" s="989">
        <f t="shared" si="28"/>
        <v>100</v>
      </c>
      <c r="W203" s="989"/>
      <c r="X203" s="989">
        <f t="shared" si="23"/>
        <v>0</v>
      </c>
      <c r="Y203" s="1012"/>
    </row>
    <row r="204" spans="1:25" ht="63" customHeight="1">
      <c r="A204" s="1006">
        <v>86</v>
      </c>
      <c r="B204" s="1007" t="s">
        <v>1511</v>
      </c>
      <c r="C204" s="1008"/>
      <c r="D204" s="1008" t="s">
        <v>3528</v>
      </c>
      <c r="E204" s="1007" t="s">
        <v>1512</v>
      </c>
      <c r="F204" s="1010" t="s">
        <v>574</v>
      </c>
      <c r="G204" s="989">
        <v>45200</v>
      </c>
      <c r="H204" s="937"/>
      <c r="I204" s="1065"/>
      <c r="J204" s="1065"/>
      <c r="K204" s="1066"/>
      <c r="L204" s="1065"/>
      <c r="M204" s="1067">
        <v>-15200</v>
      </c>
      <c r="N204" s="989">
        <f>45200+M204</f>
        <v>30000</v>
      </c>
      <c r="O204" s="989">
        <v>0</v>
      </c>
      <c r="P204" s="989">
        <v>30000</v>
      </c>
      <c r="Q204" s="989">
        <f t="shared" si="24"/>
        <v>30000</v>
      </c>
      <c r="R204" s="989">
        <f t="shared" si="26"/>
        <v>100</v>
      </c>
      <c r="S204" s="1011">
        <v>0</v>
      </c>
      <c r="T204" s="989">
        <f t="shared" si="27"/>
        <v>0</v>
      </c>
      <c r="U204" s="989">
        <f t="shared" si="25"/>
        <v>30000</v>
      </c>
      <c r="V204" s="989">
        <f t="shared" si="28"/>
        <v>100</v>
      </c>
      <c r="W204" s="989"/>
      <c r="X204" s="989">
        <f t="shared" si="23"/>
        <v>0</v>
      </c>
      <c r="Y204" s="1012"/>
    </row>
    <row r="205" spans="1:25" s="1024" customFormat="1" ht="63" customHeight="1">
      <c r="A205" s="1006">
        <v>87</v>
      </c>
      <c r="B205" s="1007" t="s">
        <v>1513</v>
      </c>
      <c r="C205" s="1008"/>
      <c r="D205" s="1008" t="s">
        <v>3529</v>
      </c>
      <c r="E205" s="1007" t="s">
        <v>1514</v>
      </c>
      <c r="F205" s="1010" t="s">
        <v>793</v>
      </c>
      <c r="G205" s="989">
        <v>45200</v>
      </c>
      <c r="H205" s="937"/>
      <c r="I205" s="1065"/>
      <c r="J205" s="1065"/>
      <c r="K205" s="1066">
        <f>-9000-6200</f>
        <v>-15200</v>
      </c>
      <c r="L205" s="1065"/>
      <c r="M205" s="1067"/>
      <c r="N205" s="989">
        <f>45200+M205+K205</f>
        <v>30000</v>
      </c>
      <c r="O205" s="989">
        <v>0</v>
      </c>
      <c r="P205" s="989">
        <v>30000</v>
      </c>
      <c r="Q205" s="989">
        <f t="shared" si="24"/>
        <v>30000</v>
      </c>
      <c r="R205" s="989">
        <f t="shared" si="26"/>
        <v>100</v>
      </c>
      <c r="S205" s="1011">
        <v>0</v>
      </c>
      <c r="T205" s="989">
        <f t="shared" si="27"/>
        <v>0</v>
      </c>
      <c r="U205" s="989">
        <f t="shared" si="25"/>
        <v>30000</v>
      </c>
      <c r="V205" s="989">
        <f t="shared" si="28"/>
        <v>100</v>
      </c>
      <c r="W205" s="989"/>
      <c r="X205" s="989">
        <f t="shared" si="23"/>
        <v>0</v>
      </c>
      <c r="Y205" s="1012"/>
    </row>
    <row r="206" spans="1:25" ht="63" customHeight="1">
      <c r="A206" s="1006">
        <v>88</v>
      </c>
      <c r="B206" s="1007" t="s">
        <v>1515</v>
      </c>
      <c r="C206" s="1008"/>
      <c r="D206" s="1008" t="s">
        <v>3530</v>
      </c>
      <c r="E206" s="1007" t="s">
        <v>1516</v>
      </c>
      <c r="F206" s="1010" t="s">
        <v>793</v>
      </c>
      <c r="G206" s="989">
        <v>632800</v>
      </c>
      <c r="H206" s="937"/>
      <c r="I206" s="1065"/>
      <c r="J206" s="1065"/>
      <c r="K206" s="1066">
        <f>-98624-37741.96</f>
        <v>-136365.96</v>
      </c>
      <c r="L206" s="1065"/>
      <c r="M206" s="1067"/>
      <c r="N206" s="989">
        <f>632800+K206+M206</f>
        <v>496434.04000000004</v>
      </c>
      <c r="O206" s="989">
        <v>116846</v>
      </c>
      <c r="P206" s="989">
        <v>379588.04</v>
      </c>
      <c r="Q206" s="989">
        <f t="shared" si="24"/>
        <v>496434.04</v>
      </c>
      <c r="R206" s="989">
        <f t="shared" si="26"/>
        <v>99.999999999999986</v>
      </c>
      <c r="S206" s="1011">
        <v>0</v>
      </c>
      <c r="T206" s="989">
        <f t="shared" si="27"/>
        <v>0</v>
      </c>
      <c r="U206" s="989">
        <f t="shared" si="25"/>
        <v>496434.04</v>
      </c>
      <c r="V206" s="989">
        <f t="shared" si="28"/>
        <v>99.999999999999986</v>
      </c>
      <c r="W206" s="989"/>
      <c r="X206" s="989">
        <f t="shared" si="23"/>
        <v>0</v>
      </c>
      <c r="Y206" s="1012"/>
    </row>
    <row r="207" spans="1:25" ht="63" customHeight="1">
      <c r="A207" s="1006">
        <v>89</v>
      </c>
      <c r="B207" s="1007" t="s">
        <v>1517</v>
      </c>
      <c r="C207" s="1008"/>
      <c r="D207" s="1008" t="s">
        <v>3531</v>
      </c>
      <c r="E207" s="1007" t="s">
        <v>1518</v>
      </c>
      <c r="F207" s="1010" t="s">
        <v>793</v>
      </c>
      <c r="G207" s="989">
        <v>45200</v>
      </c>
      <c r="H207" s="937"/>
      <c r="I207" s="1065"/>
      <c r="J207" s="1065"/>
      <c r="K207" s="1066">
        <f>-9000-17217.02</f>
        <v>-26217.02</v>
      </c>
      <c r="L207" s="1065"/>
      <c r="M207" s="1067"/>
      <c r="N207" s="989">
        <f>45200+M207+K207</f>
        <v>18982.98</v>
      </c>
      <c r="O207" s="989">
        <v>18982.98</v>
      </c>
      <c r="P207" s="989">
        <v>0</v>
      </c>
      <c r="Q207" s="989">
        <f t="shared" si="24"/>
        <v>18982.98</v>
      </c>
      <c r="R207" s="989">
        <f t="shared" si="26"/>
        <v>100</v>
      </c>
      <c r="S207" s="1011">
        <v>0</v>
      </c>
      <c r="T207" s="989">
        <f t="shared" si="27"/>
        <v>0</v>
      </c>
      <c r="U207" s="989">
        <f>S207+Q207</f>
        <v>18982.98</v>
      </c>
      <c r="V207" s="989">
        <f t="shared" si="28"/>
        <v>100</v>
      </c>
      <c r="W207" s="989"/>
      <c r="X207" s="989">
        <f>N207-U207</f>
        <v>0</v>
      </c>
      <c r="Y207" s="1012"/>
    </row>
    <row r="208" spans="1:25" ht="63" customHeight="1">
      <c r="A208" s="1006">
        <v>90</v>
      </c>
      <c r="B208" s="1007" t="s">
        <v>1519</v>
      </c>
      <c r="C208" s="1008"/>
      <c r="D208" s="1008" t="s">
        <v>3532</v>
      </c>
      <c r="E208" s="1007" t="s">
        <v>1520</v>
      </c>
      <c r="F208" s="1010" t="s">
        <v>793</v>
      </c>
      <c r="G208" s="989">
        <v>90400</v>
      </c>
      <c r="H208" s="937"/>
      <c r="I208" s="1065"/>
      <c r="J208" s="1065"/>
      <c r="K208" s="1066">
        <v>-17000</v>
      </c>
      <c r="L208" s="1065"/>
      <c r="M208" s="1067"/>
      <c r="N208" s="989">
        <f>90400+K208</f>
        <v>73400</v>
      </c>
      <c r="O208" s="989">
        <v>0</v>
      </c>
      <c r="P208" s="989">
        <v>73400</v>
      </c>
      <c r="Q208" s="989">
        <f t="shared" si="24"/>
        <v>73400</v>
      </c>
      <c r="R208" s="989">
        <f t="shared" si="26"/>
        <v>100</v>
      </c>
      <c r="S208" s="1011">
        <v>0</v>
      </c>
      <c r="T208" s="989">
        <f t="shared" si="27"/>
        <v>0</v>
      </c>
      <c r="U208" s="989">
        <f t="shared" si="25"/>
        <v>73400</v>
      </c>
      <c r="V208" s="989">
        <f t="shared" si="28"/>
        <v>100</v>
      </c>
      <c r="W208" s="989"/>
      <c r="X208" s="989">
        <f t="shared" si="23"/>
        <v>0</v>
      </c>
      <c r="Y208" s="1012"/>
    </row>
    <row r="209" spans="1:39" ht="63" customHeight="1">
      <c r="A209" s="1006">
        <v>91</v>
      </c>
      <c r="B209" s="1007" t="s">
        <v>1521</v>
      </c>
      <c r="C209" s="1008"/>
      <c r="D209" s="1008" t="s">
        <v>3533</v>
      </c>
      <c r="E209" s="1007" t="s">
        <v>1522</v>
      </c>
      <c r="F209" s="1010" t="s">
        <v>793</v>
      </c>
      <c r="G209" s="989">
        <v>90400</v>
      </c>
      <c r="H209" s="937"/>
      <c r="I209" s="1065"/>
      <c r="J209" s="1065"/>
      <c r="K209" s="1066">
        <f>-18000-34900</f>
        <v>-52900</v>
      </c>
      <c r="L209" s="1065"/>
      <c r="M209" s="1067"/>
      <c r="N209" s="989">
        <f>90400+M209+K209</f>
        <v>37500</v>
      </c>
      <c r="O209" s="989">
        <v>37500</v>
      </c>
      <c r="P209" s="989">
        <v>0</v>
      </c>
      <c r="Q209" s="989">
        <f t="shared" si="24"/>
        <v>37500</v>
      </c>
      <c r="R209" s="989">
        <f t="shared" si="26"/>
        <v>100</v>
      </c>
      <c r="S209" s="1011">
        <v>0</v>
      </c>
      <c r="T209" s="989">
        <f t="shared" si="27"/>
        <v>0</v>
      </c>
      <c r="U209" s="989">
        <f t="shared" si="25"/>
        <v>37500</v>
      </c>
      <c r="V209" s="989">
        <f t="shared" si="28"/>
        <v>100</v>
      </c>
      <c r="W209" s="989"/>
      <c r="X209" s="989">
        <f t="shared" si="23"/>
        <v>0</v>
      </c>
      <c r="Y209" s="1012"/>
    </row>
    <row r="210" spans="1:39" ht="63" customHeight="1">
      <c r="A210" s="1006">
        <v>92</v>
      </c>
      <c r="B210" s="1007" t="s">
        <v>1523</v>
      </c>
      <c r="C210" s="1008"/>
      <c r="D210" s="1008" t="s">
        <v>3534</v>
      </c>
      <c r="E210" s="1007" t="s">
        <v>1524</v>
      </c>
      <c r="F210" s="1010" t="s">
        <v>793</v>
      </c>
      <c r="G210" s="989">
        <v>271200</v>
      </c>
      <c r="H210" s="937"/>
      <c r="I210" s="1065"/>
      <c r="J210" s="1065"/>
      <c r="K210" s="1066">
        <v>-55201</v>
      </c>
      <c r="L210" s="1065"/>
      <c r="M210" s="1067"/>
      <c r="N210" s="989">
        <f>271200+M210+K210</f>
        <v>215999</v>
      </c>
      <c r="O210" s="989">
        <v>0</v>
      </c>
      <c r="P210" s="989">
        <v>138399</v>
      </c>
      <c r="Q210" s="989">
        <f t="shared" si="24"/>
        <v>138399</v>
      </c>
      <c r="R210" s="989">
        <f t="shared" si="26"/>
        <v>64.073907749572911</v>
      </c>
      <c r="S210" s="1011">
        <v>77600</v>
      </c>
      <c r="T210" s="989">
        <f t="shared" si="27"/>
        <v>35.926092250427082</v>
      </c>
      <c r="U210" s="989">
        <f t="shared" si="25"/>
        <v>215999</v>
      </c>
      <c r="V210" s="989">
        <f t="shared" si="28"/>
        <v>100</v>
      </c>
      <c r="W210" s="989"/>
      <c r="X210" s="989">
        <f t="shared" si="23"/>
        <v>0</v>
      </c>
      <c r="Y210" s="1012"/>
    </row>
    <row r="211" spans="1:39" ht="63" customHeight="1">
      <c r="A211" s="1006">
        <v>93</v>
      </c>
      <c r="B211" s="1007" t="s">
        <v>1525</v>
      </c>
      <c r="C211" s="1008"/>
      <c r="D211" s="1008" t="s">
        <v>3535</v>
      </c>
      <c r="E211" s="1007" t="s">
        <v>1526</v>
      </c>
      <c r="F211" s="1010" t="s">
        <v>793</v>
      </c>
      <c r="G211" s="989">
        <v>316400</v>
      </c>
      <c r="H211" s="937"/>
      <c r="I211" s="1065"/>
      <c r="J211" s="1065"/>
      <c r="K211" s="1066">
        <v>-63000</v>
      </c>
      <c r="L211" s="1065"/>
      <c r="M211" s="1067"/>
      <c r="N211" s="989">
        <f>316400+K211</f>
        <v>253400</v>
      </c>
      <c r="O211" s="989">
        <v>253400</v>
      </c>
      <c r="P211" s="989">
        <v>0</v>
      </c>
      <c r="Q211" s="989">
        <f t="shared" si="24"/>
        <v>253400</v>
      </c>
      <c r="R211" s="989">
        <f t="shared" si="26"/>
        <v>100</v>
      </c>
      <c r="S211" s="1011">
        <v>0</v>
      </c>
      <c r="T211" s="989">
        <f t="shared" si="27"/>
        <v>0</v>
      </c>
      <c r="U211" s="989">
        <f t="shared" si="25"/>
        <v>253400</v>
      </c>
      <c r="V211" s="989">
        <f t="shared" si="28"/>
        <v>100</v>
      </c>
      <c r="W211" s="989"/>
      <c r="X211" s="989">
        <f t="shared" si="23"/>
        <v>0</v>
      </c>
      <c r="Y211" s="1012"/>
    </row>
    <row r="212" spans="1:39" ht="63" customHeight="1">
      <c r="A212" s="1006">
        <v>94</v>
      </c>
      <c r="B212" s="1007" t="s">
        <v>1527</v>
      </c>
      <c r="C212" s="1008"/>
      <c r="D212" s="1008" t="s">
        <v>3536</v>
      </c>
      <c r="E212" s="1007" t="s">
        <v>1528</v>
      </c>
      <c r="F212" s="1010" t="s">
        <v>793</v>
      </c>
      <c r="G212" s="989">
        <v>90400</v>
      </c>
      <c r="H212" s="937"/>
      <c r="I212" s="1065"/>
      <c r="J212" s="1065"/>
      <c r="K212" s="1066"/>
      <c r="L212" s="1065"/>
      <c r="M212" s="1067"/>
      <c r="N212" s="989">
        <v>90400</v>
      </c>
      <c r="O212" s="989">
        <v>0</v>
      </c>
      <c r="P212" s="989">
        <v>90400</v>
      </c>
      <c r="Q212" s="989">
        <f t="shared" si="24"/>
        <v>90400</v>
      </c>
      <c r="R212" s="989">
        <f t="shared" si="26"/>
        <v>100</v>
      </c>
      <c r="S212" s="1011">
        <v>0</v>
      </c>
      <c r="T212" s="989">
        <f t="shared" si="27"/>
        <v>0</v>
      </c>
      <c r="U212" s="989">
        <f t="shared" si="25"/>
        <v>90400</v>
      </c>
      <c r="V212" s="989">
        <f t="shared" si="28"/>
        <v>100</v>
      </c>
      <c r="W212" s="989"/>
      <c r="X212" s="989">
        <f t="shared" si="23"/>
        <v>0</v>
      </c>
      <c r="Y212" s="1012"/>
    </row>
    <row r="213" spans="1:39" ht="63" customHeight="1">
      <c r="A213" s="1006">
        <v>95</v>
      </c>
      <c r="B213" s="1007" t="s">
        <v>1529</v>
      </c>
      <c r="C213" s="1008"/>
      <c r="D213" s="1008" t="s">
        <v>3537</v>
      </c>
      <c r="E213" s="1007" t="s">
        <v>1530</v>
      </c>
      <c r="F213" s="1010" t="s">
        <v>793</v>
      </c>
      <c r="G213" s="989">
        <v>271200</v>
      </c>
      <c r="H213" s="937"/>
      <c r="I213" s="1065"/>
      <c r="J213" s="1065"/>
      <c r="K213" s="1066">
        <f>-43600-26700</f>
        <v>-70300</v>
      </c>
      <c r="L213" s="1065"/>
      <c r="M213" s="1067"/>
      <c r="N213" s="989">
        <f>271200+K213+M213</f>
        <v>200900</v>
      </c>
      <c r="O213" s="989">
        <v>116400</v>
      </c>
      <c r="P213" s="989">
        <v>84500</v>
      </c>
      <c r="Q213" s="989">
        <f t="shared" si="24"/>
        <v>200900</v>
      </c>
      <c r="R213" s="989">
        <f t="shared" si="26"/>
        <v>100</v>
      </c>
      <c r="S213" s="1011">
        <v>0</v>
      </c>
      <c r="T213" s="989">
        <f t="shared" si="27"/>
        <v>0</v>
      </c>
      <c r="U213" s="989">
        <f t="shared" si="25"/>
        <v>200900</v>
      </c>
      <c r="V213" s="989">
        <f t="shared" si="28"/>
        <v>100</v>
      </c>
      <c r="W213" s="989"/>
      <c r="X213" s="989">
        <f t="shared" si="23"/>
        <v>0</v>
      </c>
      <c r="Y213" s="1012"/>
    </row>
    <row r="214" spans="1:39" ht="63" customHeight="1">
      <c r="A214" s="1006">
        <v>96</v>
      </c>
      <c r="B214" s="1007" t="s">
        <v>1531</v>
      </c>
      <c r="C214" s="1008"/>
      <c r="D214" s="1008" t="s">
        <v>3538</v>
      </c>
      <c r="E214" s="1007" t="s">
        <v>3250</v>
      </c>
      <c r="F214" s="1010" t="s">
        <v>548</v>
      </c>
      <c r="G214" s="989">
        <v>90400</v>
      </c>
      <c r="H214" s="937"/>
      <c r="I214" s="1065"/>
      <c r="J214" s="1065"/>
      <c r="K214" s="1066">
        <v>-22590</v>
      </c>
      <c r="L214" s="1065"/>
      <c r="M214" s="1067"/>
      <c r="N214" s="989">
        <f>90400+M214+K214</f>
        <v>67810</v>
      </c>
      <c r="O214" s="989">
        <v>0</v>
      </c>
      <c r="P214" s="989">
        <v>67810</v>
      </c>
      <c r="Q214" s="989">
        <f t="shared" si="24"/>
        <v>67810</v>
      </c>
      <c r="R214" s="989">
        <f t="shared" si="26"/>
        <v>100</v>
      </c>
      <c r="S214" s="1011">
        <v>0</v>
      </c>
      <c r="T214" s="989">
        <f t="shared" si="27"/>
        <v>0</v>
      </c>
      <c r="U214" s="989">
        <f t="shared" si="25"/>
        <v>67810</v>
      </c>
      <c r="V214" s="989">
        <f t="shared" si="28"/>
        <v>100</v>
      </c>
      <c r="W214" s="989"/>
      <c r="X214" s="989">
        <f t="shared" si="23"/>
        <v>0</v>
      </c>
      <c r="Y214" s="1012"/>
    </row>
    <row r="215" spans="1:39" ht="63" customHeight="1">
      <c r="A215" s="1006">
        <v>97</v>
      </c>
      <c r="B215" s="1007" t="s">
        <v>1532</v>
      </c>
      <c r="C215" s="1008"/>
      <c r="D215" s="1008" t="s">
        <v>3539</v>
      </c>
      <c r="E215" s="1007" t="s">
        <v>3251</v>
      </c>
      <c r="F215" s="1010" t="s">
        <v>548</v>
      </c>
      <c r="G215" s="989">
        <v>45200</v>
      </c>
      <c r="H215" s="937"/>
      <c r="I215" s="1065"/>
      <c r="J215" s="1065"/>
      <c r="K215" s="1066">
        <v>-6200</v>
      </c>
      <c r="L215" s="1065"/>
      <c r="M215" s="1067"/>
      <c r="N215" s="989">
        <f>45200+M215+K215</f>
        <v>39000</v>
      </c>
      <c r="O215" s="989">
        <v>0</v>
      </c>
      <c r="P215" s="989">
        <v>39000</v>
      </c>
      <c r="Q215" s="989">
        <f t="shared" si="24"/>
        <v>39000</v>
      </c>
      <c r="R215" s="989">
        <f t="shared" si="26"/>
        <v>100</v>
      </c>
      <c r="S215" s="1011">
        <v>0</v>
      </c>
      <c r="T215" s="989">
        <f t="shared" si="27"/>
        <v>0</v>
      </c>
      <c r="U215" s="989">
        <f t="shared" si="25"/>
        <v>39000</v>
      </c>
      <c r="V215" s="989">
        <f t="shared" si="28"/>
        <v>100</v>
      </c>
      <c r="W215" s="989"/>
      <c r="X215" s="989">
        <f t="shared" si="23"/>
        <v>0</v>
      </c>
      <c r="Y215" s="1012"/>
    </row>
    <row r="216" spans="1:39" s="969" customFormat="1" ht="63" customHeight="1">
      <c r="A216" s="1006">
        <v>98</v>
      </c>
      <c r="B216" s="1007" t="s">
        <v>1533</v>
      </c>
      <c r="C216" s="1008"/>
      <c r="D216" s="1008" t="s">
        <v>3540</v>
      </c>
      <c r="E216" s="1007" t="s">
        <v>1534</v>
      </c>
      <c r="F216" s="1010" t="s">
        <v>548</v>
      </c>
      <c r="G216" s="989">
        <v>271200</v>
      </c>
      <c r="H216" s="937"/>
      <c r="I216" s="1046"/>
      <c r="J216" s="1046"/>
      <c r="K216" s="1047"/>
      <c r="L216" s="1046"/>
      <c r="M216" s="1094"/>
      <c r="N216" s="989">
        <v>271200</v>
      </c>
      <c r="O216" s="989">
        <v>0</v>
      </c>
      <c r="P216" s="989">
        <v>271200</v>
      </c>
      <c r="Q216" s="989">
        <f t="shared" si="24"/>
        <v>271200</v>
      </c>
      <c r="R216" s="989">
        <f t="shared" si="26"/>
        <v>100</v>
      </c>
      <c r="S216" s="1011">
        <v>0</v>
      </c>
      <c r="T216" s="989">
        <f t="shared" si="27"/>
        <v>0</v>
      </c>
      <c r="U216" s="989">
        <f t="shared" si="25"/>
        <v>271200</v>
      </c>
      <c r="V216" s="989">
        <f t="shared" si="28"/>
        <v>100</v>
      </c>
      <c r="W216" s="989"/>
      <c r="X216" s="989">
        <f t="shared" si="23"/>
        <v>0</v>
      </c>
      <c r="Y216" s="1012"/>
      <c r="Z216" s="941"/>
      <c r="AA216" s="941"/>
      <c r="AB216" s="941"/>
      <c r="AC216" s="941"/>
      <c r="AD216" s="941"/>
      <c r="AE216" s="941"/>
      <c r="AF216" s="941"/>
      <c r="AG216" s="941"/>
      <c r="AH216" s="941"/>
      <c r="AI216" s="941"/>
      <c r="AJ216" s="941"/>
      <c r="AK216" s="941"/>
      <c r="AL216" s="941"/>
      <c r="AM216" s="941"/>
    </row>
    <row r="217" spans="1:39" s="969" customFormat="1" ht="63" customHeight="1">
      <c r="A217" s="1006">
        <v>99</v>
      </c>
      <c r="B217" s="1007" t="s">
        <v>1535</v>
      </c>
      <c r="C217" s="1008"/>
      <c r="D217" s="1008" t="s">
        <v>3541</v>
      </c>
      <c r="E217" s="1007" t="s">
        <v>1536</v>
      </c>
      <c r="F217" s="1010" t="s">
        <v>548</v>
      </c>
      <c r="G217" s="989">
        <v>226000</v>
      </c>
      <c r="H217" s="937"/>
      <c r="I217" s="1046"/>
      <c r="J217" s="1046"/>
      <c r="K217" s="1047"/>
      <c r="L217" s="1046"/>
      <c r="M217" s="1094"/>
      <c r="N217" s="989">
        <v>226000</v>
      </c>
      <c r="O217" s="989">
        <v>0</v>
      </c>
      <c r="P217" s="989">
        <v>226000</v>
      </c>
      <c r="Q217" s="989">
        <f t="shared" si="24"/>
        <v>226000</v>
      </c>
      <c r="R217" s="989">
        <f t="shared" si="26"/>
        <v>100</v>
      </c>
      <c r="S217" s="1011">
        <v>0</v>
      </c>
      <c r="T217" s="989">
        <f t="shared" si="27"/>
        <v>0</v>
      </c>
      <c r="U217" s="989">
        <f t="shared" si="25"/>
        <v>226000</v>
      </c>
      <c r="V217" s="989">
        <f t="shared" si="28"/>
        <v>100</v>
      </c>
      <c r="W217" s="989"/>
      <c r="X217" s="989">
        <f t="shared" si="23"/>
        <v>0</v>
      </c>
      <c r="Y217" s="1012"/>
      <c r="Z217" s="941"/>
      <c r="AA217" s="941"/>
      <c r="AB217" s="941"/>
      <c r="AC217" s="941"/>
      <c r="AD217" s="941"/>
      <c r="AE217" s="941"/>
      <c r="AF217" s="941"/>
      <c r="AG217" s="941"/>
      <c r="AH217" s="941"/>
      <c r="AI217" s="941"/>
      <c r="AJ217" s="941"/>
      <c r="AK217" s="941"/>
      <c r="AL217" s="941"/>
      <c r="AM217" s="941"/>
    </row>
    <row r="218" spans="1:39" s="969" customFormat="1" ht="63" customHeight="1">
      <c r="A218" s="1006">
        <v>100</v>
      </c>
      <c r="B218" s="1007" t="s">
        <v>1537</v>
      </c>
      <c r="C218" s="1008"/>
      <c r="D218" s="1008" t="s">
        <v>3542</v>
      </c>
      <c r="E218" s="1007" t="s">
        <v>1538</v>
      </c>
      <c r="F218" s="1010" t="s">
        <v>548</v>
      </c>
      <c r="G218" s="989">
        <v>226000</v>
      </c>
      <c r="H218" s="937"/>
      <c r="I218" s="1046"/>
      <c r="J218" s="1046"/>
      <c r="K218" s="1047">
        <v>-500</v>
      </c>
      <c r="L218" s="1046"/>
      <c r="M218" s="1094">
        <v>-17000</v>
      </c>
      <c r="N218" s="989">
        <f>226000+M218+K218</f>
        <v>208500</v>
      </c>
      <c r="O218" s="989">
        <v>0</v>
      </c>
      <c r="P218" s="989">
        <v>208500</v>
      </c>
      <c r="Q218" s="989">
        <f t="shared" si="24"/>
        <v>208500</v>
      </c>
      <c r="R218" s="989">
        <f t="shared" si="26"/>
        <v>100</v>
      </c>
      <c r="S218" s="1011">
        <v>0</v>
      </c>
      <c r="T218" s="989">
        <f t="shared" si="27"/>
        <v>0</v>
      </c>
      <c r="U218" s="989">
        <f t="shared" si="25"/>
        <v>208500</v>
      </c>
      <c r="V218" s="989">
        <f t="shared" si="28"/>
        <v>100</v>
      </c>
      <c r="W218" s="989"/>
      <c r="X218" s="989">
        <f t="shared" si="23"/>
        <v>0</v>
      </c>
      <c r="Y218" s="1012"/>
      <c r="Z218" s="941"/>
      <c r="AA218" s="941"/>
      <c r="AB218" s="941"/>
      <c r="AC218" s="941"/>
      <c r="AD218" s="941"/>
      <c r="AE218" s="941"/>
      <c r="AF218" s="941"/>
      <c r="AG218" s="941"/>
      <c r="AH218" s="941"/>
      <c r="AI218" s="941"/>
      <c r="AJ218" s="941"/>
      <c r="AK218" s="941"/>
      <c r="AL218" s="941"/>
      <c r="AM218" s="941"/>
    </row>
    <row r="219" spans="1:39" s="969" customFormat="1" ht="63" customHeight="1">
      <c r="A219" s="1006">
        <v>101</v>
      </c>
      <c r="B219" s="1007" t="s">
        <v>1539</v>
      </c>
      <c r="C219" s="1008"/>
      <c r="D219" s="1008" t="s">
        <v>3543</v>
      </c>
      <c r="E219" s="1007" t="s">
        <v>1540</v>
      </c>
      <c r="F219" s="1010" t="s">
        <v>548</v>
      </c>
      <c r="G219" s="989">
        <v>90400</v>
      </c>
      <c r="H219" s="937"/>
      <c r="I219" s="1046"/>
      <c r="J219" s="1046"/>
      <c r="K219" s="1047">
        <v>-400</v>
      </c>
      <c r="L219" s="1046"/>
      <c r="M219" s="1094">
        <v>-19828.8</v>
      </c>
      <c r="N219" s="989">
        <f>90400+M219+K219</f>
        <v>70171.199999999997</v>
      </c>
      <c r="O219" s="989">
        <v>0</v>
      </c>
      <c r="P219" s="989">
        <v>70171.199999999997</v>
      </c>
      <c r="Q219" s="989">
        <f t="shared" si="24"/>
        <v>70171.199999999997</v>
      </c>
      <c r="R219" s="989">
        <f t="shared" si="26"/>
        <v>100</v>
      </c>
      <c r="S219" s="1011">
        <v>0</v>
      </c>
      <c r="T219" s="989">
        <f t="shared" si="27"/>
        <v>0</v>
      </c>
      <c r="U219" s="989">
        <f t="shared" si="25"/>
        <v>70171.199999999997</v>
      </c>
      <c r="V219" s="989">
        <f t="shared" si="28"/>
        <v>100</v>
      </c>
      <c r="W219" s="989"/>
      <c r="X219" s="989">
        <f t="shared" si="23"/>
        <v>0</v>
      </c>
      <c r="Y219" s="1012"/>
      <c r="Z219" s="941"/>
      <c r="AA219" s="941"/>
      <c r="AB219" s="941"/>
      <c r="AC219" s="941"/>
      <c r="AD219" s="941"/>
      <c r="AE219" s="941"/>
      <c r="AF219" s="941"/>
      <c r="AG219" s="941"/>
      <c r="AH219" s="941"/>
      <c r="AI219" s="941"/>
      <c r="AJ219" s="941"/>
      <c r="AK219" s="941"/>
      <c r="AL219" s="941"/>
      <c r="AM219" s="941"/>
    </row>
    <row r="220" spans="1:39" s="969" customFormat="1" ht="63" customHeight="1">
      <c r="A220" s="1006">
        <v>102</v>
      </c>
      <c r="B220" s="1007" t="s">
        <v>1541</v>
      </c>
      <c r="C220" s="1008"/>
      <c r="D220" s="1008" t="s">
        <v>3544</v>
      </c>
      <c r="E220" s="1007" t="s">
        <v>3252</v>
      </c>
      <c r="F220" s="1010" t="s">
        <v>548</v>
      </c>
      <c r="G220" s="989">
        <v>135600</v>
      </c>
      <c r="H220" s="937"/>
      <c r="I220" s="1046"/>
      <c r="J220" s="1046"/>
      <c r="K220" s="1047">
        <v>-600</v>
      </c>
      <c r="L220" s="1046"/>
      <c r="M220" s="1094"/>
      <c r="N220" s="989">
        <f>135600+M220+K220</f>
        <v>135000</v>
      </c>
      <c r="O220" s="989">
        <v>0</v>
      </c>
      <c r="P220" s="989">
        <v>135000</v>
      </c>
      <c r="Q220" s="989">
        <f t="shared" si="24"/>
        <v>135000</v>
      </c>
      <c r="R220" s="989">
        <f t="shared" si="26"/>
        <v>100</v>
      </c>
      <c r="S220" s="1011">
        <v>0</v>
      </c>
      <c r="T220" s="989">
        <f t="shared" si="27"/>
        <v>0</v>
      </c>
      <c r="U220" s="989">
        <f t="shared" si="25"/>
        <v>135000</v>
      </c>
      <c r="V220" s="989">
        <f t="shared" si="28"/>
        <v>100</v>
      </c>
      <c r="W220" s="989"/>
      <c r="X220" s="989">
        <f t="shared" si="23"/>
        <v>0</v>
      </c>
      <c r="Y220" s="1012"/>
      <c r="Z220" s="941"/>
      <c r="AA220" s="941"/>
      <c r="AB220" s="941"/>
      <c r="AC220" s="941"/>
      <c r="AD220" s="941"/>
      <c r="AE220" s="941"/>
      <c r="AF220" s="941"/>
      <c r="AG220" s="941"/>
      <c r="AH220" s="941"/>
      <c r="AI220" s="941"/>
      <c r="AJ220" s="941"/>
      <c r="AK220" s="941"/>
      <c r="AL220" s="941"/>
      <c r="AM220" s="941"/>
    </row>
    <row r="221" spans="1:39" s="969" customFormat="1" ht="63" customHeight="1">
      <c r="A221" s="1006">
        <v>103</v>
      </c>
      <c r="B221" s="1007" t="s">
        <v>1542</v>
      </c>
      <c r="C221" s="1008"/>
      <c r="D221" s="1008" t="s">
        <v>3545</v>
      </c>
      <c r="E221" s="1007" t="s">
        <v>1543</v>
      </c>
      <c r="F221" s="1010" t="s">
        <v>548</v>
      </c>
      <c r="G221" s="989">
        <v>316400</v>
      </c>
      <c r="H221" s="937"/>
      <c r="I221" s="1046"/>
      <c r="J221" s="1046"/>
      <c r="K221" s="1047">
        <v>-9700</v>
      </c>
      <c r="L221" s="1046"/>
      <c r="M221" s="1094"/>
      <c r="N221" s="989">
        <f>316400+M221+K221</f>
        <v>306700</v>
      </c>
      <c r="O221" s="989">
        <v>0</v>
      </c>
      <c r="P221" s="989">
        <v>300700</v>
      </c>
      <c r="Q221" s="989">
        <f t="shared" si="24"/>
        <v>300700</v>
      </c>
      <c r="R221" s="989">
        <f t="shared" si="26"/>
        <v>98.043690903162698</v>
      </c>
      <c r="S221" s="1011">
        <v>0</v>
      </c>
      <c r="T221" s="989">
        <f t="shared" si="27"/>
        <v>0</v>
      </c>
      <c r="U221" s="989">
        <f t="shared" si="25"/>
        <v>300700</v>
      </c>
      <c r="V221" s="989">
        <f t="shared" si="28"/>
        <v>98.043690903162698</v>
      </c>
      <c r="W221" s="989"/>
      <c r="X221" s="989">
        <f t="shared" si="23"/>
        <v>6000</v>
      </c>
      <c r="Y221" s="1012"/>
      <c r="Z221" s="941"/>
      <c r="AA221" s="941"/>
      <c r="AB221" s="941"/>
      <c r="AC221" s="941"/>
      <c r="AD221" s="941"/>
      <c r="AE221" s="941"/>
      <c r="AF221" s="941"/>
      <c r="AG221" s="941"/>
      <c r="AH221" s="941"/>
      <c r="AI221" s="941"/>
      <c r="AJ221" s="941"/>
      <c r="AK221" s="941"/>
      <c r="AL221" s="941"/>
      <c r="AM221" s="941"/>
    </row>
    <row r="222" spans="1:39" s="969" customFormat="1" ht="63" customHeight="1">
      <c r="A222" s="1006">
        <v>104</v>
      </c>
      <c r="B222" s="1007" t="s">
        <v>1544</v>
      </c>
      <c r="C222" s="1008"/>
      <c r="D222" s="1008" t="s">
        <v>3546</v>
      </c>
      <c r="E222" s="1007" t="s">
        <v>1545</v>
      </c>
      <c r="F222" s="1010" t="s">
        <v>548</v>
      </c>
      <c r="G222" s="989">
        <v>271200</v>
      </c>
      <c r="H222" s="937"/>
      <c r="I222" s="1046"/>
      <c r="J222" s="1046"/>
      <c r="K222" s="1047"/>
      <c r="L222" s="1046"/>
      <c r="M222" s="1094">
        <v>-27910.720000000001</v>
      </c>
      <c r="N222" s="989">
        <f>271200+M222</f>
        <v>243289.28</v>
      </c>
      <c r="O222" s="989">
        <v>0</v>
      </c>
      <c r="P222" s="989">
        <v>243289.28</v>
      </c>
      <c r="Q222" s="989">
        <f t="shared" si="24"/>
        <v>243289.28</v>
      </c>
      <c r="R222" s="989">
        <f t="shared" si="26"/>
        <v>100</v>
      </c>
      <c r="S222" s="1011">
        <v>0</v>
      </c>
      <c r="T222" s="989">
        <f t="shared" si="27"/>
        <v>0</v>
      </c>
      <c r="U222" s="989">
        <f t="shared" si="25"/>
        <v>243289.28</v>
      </c>
      <c r="V222" s="989">
        <f t="shared" si="28"/>
        <v>100</v>
      </c>
      <c r="W222" s="989"/>
      <c r="X222" s="989">
        <f t="shared" si="23"/>
        <v>0</v>
      </c>
      <c r="Y222" s="1012"/>
      <c r="Z222" s="941"/>
      <c r="AA222" s="941"/>
      <c r="AB222" s="941"/>
      <c r="AC222" s="941"/>
      <c r="AD222" s="941"/>
      <c r="AE222" s="941"/>
      <c r="AF222" s="941"/>
      <c r="AG222" s="941"/>
      <c r="AH222" s="941"/>
      <c r="AI222" s="941"/>
      <c r="AJ222" s="941"/>
      <c r="AK222" s="941"/>
      <c r="AL222" s="941"/>
      <c r="AM222" s="941"/>
    </row>
    <row r="223" spans="1:39" s="969" customFormat="1" ht="63" customHeight="1">
      <c r="A223" s="1006">
        <v>105</v>
      </c>
      <c r="B223" s="1007" t="s">
        <v>1546</v>
      </c>
      <c r="C223" s="1008"/>
      <c r="D223" s="1008" t="s">
        <v>3547</v>
      </c>
      <c r="E223" s="1007" t="s">
        <v>1547</v>
      </c>
      <c r="F223" s="1010" t="s">
        <v>548</v>
      </c>
      <c r="G223" s="989">
        <v>271200</v>
      </c>
      <c r="H223" s="937"/>
      <c r="I223" s="1046"/>
      <c r="J223" s="1046"/>
      <c r="K223" s="1047"/>
      <c r="L223" s="1046"/>
      <c r="M223" s="1094"/>
      <c r="N223" s="989">
        <v>271200</v>
      </c>
      <c r="O223" s="989">
        <v>90400</v>
      </c>
      <c r="P223" s="989">
        <v>180800</v>
      </c>
      <c r="Q223" s="989">
        <f t="shared" si="24"/>
        <v>271200</v>
      </c>
      <c r="R223" s="989">
        <f t="shared" si="26"/>
        <v>100</v>
      </c>
      <c r="S223" s="1011">
        <v>0</v>
      </c>
      <c r="T223" s="989">
        <f t="shared" si="27"/>
        <v>0</v>
      </c>
      <c r="U223" s="989">
        <f t="shared" si="25"/>
        <v>271200</v>
      </c>
      <c r="V223" s="989">
        <f t="shared" si="28"/>
        <v>100</v>
      </c>
      <c r="W223" s="989"/>
      <c r="X223" s="989">
        <f t="shared" si="23"/>
        <v>0</v>
      </c>
      <c r="Y223" s="1012"/>
      <c r="Z223" s="941"/>
      <c r="AA223" s="941"/>
      <c r="AB223" s="941"/>
      <c r="AC223" s="941"/>
      <c r="AD223" s="941"/>
      <c r="AE223" s="941"/>
      <c r="AF223" s="941"/>
      <c r="AG223" s="941"/>
      <c r="AH223" s="941"/>
      <c r="AI223" s="941"/>
      <c r="AJ223" s="941"/>
      <c r="AK223" s="941"/>
      <c r="AL223" s="941"/>
      <c r="AM223" s="941"/>
    </row>
    <row r="224" spans="1:39" s="969" customFormat="1" ht="63" customHeight="1">
      <c r="A224" s="1006">
        <v>106</v>
      </c>
      <c r="B224" s="1007" t="s">
        <v>1548</v>
      </c>
      <c r="C224" s="1008"/>
      <c r="D224" s="1008" t="s">
        <v>3548</v>
      </c>
      <c r="E224" s="1007" t="s">
        <v>1549</v>
      </c>
      <c r="F224" s="1010" t="s">
        <v>548</v>
      </c>
      <c r="G224" s="989">
        <v>45200</v>
      </c>
      <c r="H224" s="937"/>
      <c r="I224" s="1046"/>
      <c r="J224" s="1046"/>
      <c r="K224" s="1047">
        <v>-12480.77</v>
      </c>
      <c r="L224" s="1046"/>
      <c r="M224" s="1094"/>
      <c r="N224" s="989">
        <f>45200+M224+K224</f>
        <v>32719.23</v>
      </c>
      <c r="O224" s="989">
        <v>0</v>
      </c>
      <c r="P224" s="989">
        <v>32719.23</v>
      </c>
      <c r="Q224" s="989">
        <f t="shared" si="24"/>
        <v>32719.23</v>
      </c>
      <c r="R224" s="989">
        <f t="shared" si="26"/>
        <v>100</v>
      </c>
      <c r="S224" s="1011">
        <v>0</v>
      </c>
      <c r="T224" s="989">
        <f t="shared" si="27"/>
        <v>0</v>
      </c>
      <c r="U224" s="989">
        <f t="shared" si="25"/>
        <v>32719.23</v>
      </c>
      <c r="V224" s="989">
        <f t="shared" si="28"/>
        <v>100</v>
      </c>
      <c r="W224" s="989"/>
      <c r="X224" s="989">
        <f t="shared" si="23"/>
        <v>0</v>
      </c>
      <c r="Y224" s="1012"/>
      <c r="Z224" s="941"/>
      <c r="AA224" s="941"/>
      <c r="AB224" s="941"/>
      <c r="AC224" s="941"/>
      <c r="AD224" s="941"/>
      <c r="AE224" s="941"/>
      <c r="AF224" s="941"/>
      <c r="AG224" s="941"/>
      <c r="AH224" s="941"/>
      <c r="AI224" s="941"/>
      <c r="AJ224" s="941"/>
      <c r="AK224" s="941"/>
      <c r="AL224" s="941"/>
      <c r="AM224" s="941"/>
    </row>
    <row r="225" spans="1:39" s="969" customFormat="1" ht="63" customHeight="1">
      <c r="A225" s="1006">
        <v>107</v>
      </c>
      <c r="B225" s="1007" t="s">
        <v>2844</v>
      </c>
      <c r="C225" s="1008"/>
      <c r="D225" s="1008" t="s">
        <v>3549</v>
      </c>
      <c r="E225" s="1007" t="s">
        <v>1550</v>
      </c>
      <c r="F225" s="1010" t="s">
        <v>548</v>
      </c>
      <c r="G225" s="989">
        <v>180800</v>
      </c>
      <c r="H225" s="937"/>
      <c r="I225" s="1046"/>
      <c r="J225" s="1046"/>
      <c r="K225" s="1047"/>
      <c r="L225" s="1046"/>
      <c r="M225" s="1094">
        <v>-24764</v>
      </c>
      <c r="N225" s="989">
        <f>180800+M225</f>
        <v>156036</v>
      </c>
      <c r="O225" s="989">
        <v>0</v>
      </c>
      <c r="P225" s="989">
        <v>156036</v>
      </c>
      <c r="Q225" s="989">
        <f t="shared" si="24"/>
        <v>156036</v>
      </c>
      <c r="R225" s="989">
        <f t="shared" si="26"/>
        <v>100</v>
      </c>
      <c r="S225" s="1011">
        <v>0</v>
      </c>
      <c r="T225" s="989">
        <f t="shared" si="27"/>
        <v>0</v>
      </c>
      <c r="U225" s="989">
        <f t="shared" si="25"/>
        <v>156036</v>
      </c>
      <c r="V225" s="989">
        <f t="shared" si="28"/>
        <v>100</v>
      </c>
      <c r="W225" s="989"/>
      <c r="X225" s="989">
        <f t="shared" si="23"/>
        <v>0</v>
      </c>
      <c r="Y225" s="1012"/>
      <c r="Z225" s="941"/>
      <c r="AA225" s="941"/>
      <c r="AB225" s="941"/>
      <c r="AC225" s="941"/>
      <c r="AD225" s="941"/>
      <c r="AE225" s="941"/>
      <c r="AF225" s="941"/>
      <c r="AG225" s="941"/>
      <c r="AH225" s="941"/>
      <c r="AI225" s="941"/>
      <c r="AJ225" s="941"/>
      <c r="AK225" s="941"/>
      <c r="AL225" s="941"/>
      <c r="AM225" s="941"/>
    </row>
    <row r="226" spans="1:39" s="969" customFormat="1" ht="63" customHeight="1">
      <c r="A226" s="1006">
        <v>108</v>
      </c>
      <c r="B226" s="1007" t="s">
        <v>1551</v>
      </c>
      <c r="C226" s="1008"/>
      <c r="D226" s="1008" t="s">
        <v>3550</v>
      </c>
      <c r="E226" s="1007" t="s">
        <v>1552</v>
      </c>
      <c r="F226" s="1010" t="s">
        <v>548</v>
      </c>
      <c r="G226" s="989">
        <v>271200</v>
      </c>
      <c r="H226" s="937"/>
      <c r="I226" s="1046"/>
      <c r="J226" s="1046"/>
      <c r="K226" s="1047">
        <v>-80557.39</v>
      </c>
      <c r="L226" s="1046"/>
      <c r="M226" s="1094"/>
      <c r="N226" s="989">
        <f>271200+M226+K226</f>
        <v>190642.61</v>
      </c>
      <c r="O226" s="989">
        <v>0</v>
      </c>
      <c r="P226" s="989">
        <v>190204.61</v>
      </c>
      <c r="Q226" s="989">
        <f t="shared" si="24"/>
        <v>190204.61</v>
      </c>
      <c r="R226" s="989">
        <f t="shared" si="26"/>
        <v>99.770250732509382</v>
      </c>
      <c r="S226" s="1011">
        <v>0</v>
      </c>
      <c r="T226" s="989">
        <f t="shared" si="27"/>
        <v>0</v>
      </c>
      <c r="U226" s="989">
        <f t="shared" si="25"/>
        <v>190204.61</v>
      </c>
      <c r="V226" s="989">
        <f t="shared" si="28"/>
        <v>99.770250732509382</v>
      </c>
      <c r="W226" s="989"/>
      <c r="X226" s="989">
        <f t="shared" si="23"/>
        <v>438</v>
      </c>
      <c r="Y226" s="1012"/>
      <c r="Z226" s="941"/>
      <c r="AA226" s="941"/>
      <c r="AB226" s="941"/>
      <c r="AC226" s="941"/>
      <c r="AD226" s="941"/>
      <c r="AE226" s="941"/>
      <c r="AF226" s="941"/>
      <c r="AG226" s="941"/>
      <c r="AH226" s="941"/>
      <c r="AI226" s="941"/>
      <c r="AJ226" s="941"/>
      <c r="AK226" s="941"/>
      <c r="AL226" s="941"/>
      <c r="AM226" s="941"/>
    </row>
    <row r="227" spans="1:39" s="969" customFormat="1" ht="63" customHeight="1">
      <c r="A227" s="1006">
        <v>109</v>
      </c>
      <c r="B227" s="1007" t="s">
        <v>2845</v>
      </c>
      <c r="C227" s="1008"/>
      <c r="D227" s="1008" t="s">
        <v>3551</v>
      </c>
      <c r="E227" s="1007" t="s">
        <v>1553</v>
      </c>
      <c r="F227" s="1010" t="s">
        <v>548</v>
      </c>
      <c r="G227" s="989">
        <v>180800</v>
      </c>
      <c r="H227" s="937"/>
      <c r="I227" s="1046"/>
      <c r="J227" s="1046"/>
      <c r="K227" s="1047">
        <v>-13763</v>
      </c>
      <c r="L227" s="1046"/>
      <c r="M227" s="1094"/>
      <c r="N227" s="989">
        <f>180800+M227+K227</f>
        <v>167037</v>
      </c>
      <c r="O227" s="989">
        <v>88437</v>
      </c>
      <c r="P227" s="989">
        <v>78600</v>
      </c>
      <c r="Q227" s="989">
        <f t="shared" si="24"/>
        <v>167037</v>
      </c>
      <c r="R227" s="989">
        <f t="shared" si="26"/>
        <v>100</v>
      </c>
      <c r="S227" s="1011">
        <v>0</v>
      </c>
      <c r="T227" s="989">
        <f t="shared" si="27"/>
        <v>0</v>
      </c>
      <c r="U227" s="989">
        <f t="shared" si="25"/>
        <v>167037</v>
      </c>
      <c r="V227" s="989">
        <f t="shared" si="28"/>
        <v>100</v>
      </c>
      <c r="W227" s="989"/>
      <c r="X227" s="989">
        <f t="shared" si="23"/>
        <v>0</v>
      </c>
      <c r="Y227" s="1012"/>
      <c r="Z227" s="941"/>
      <c r="AA227" s="941"/>
      <c r="AB227" s="941"/>
      <c r="AC227" s="941"/>
      <c r="AD227" s="941"/>
      <c r="AE227" s="941"/>
      <c r="AF227" s="941"/>
      <c r="AG227" s="941"/>
      <c r="AH227" s="941"/>
      <c r="AI227" s="941"/>
      <c r="AJ227" s="941"/>
      <c r="AK227" s="941"/>
      <c r="AL227" s="941"/>
      <c r="AM227" s="941"/>
    </row>
    <row r="228" spans="1:39" s="969" customFormat="1" ht="63" customHeight="1">
      <c r="A228" s="1006">
        <v>110</v>
      </c>
      <c r="B228" s="1007" t="s">
        <v>2846</v>
      </c>
      <c r="C228" s="1008"/>
      <c r="D228" s="1008" t="s">
        <v>3552</v>
      </c>
      <c r="E228" s="1007" t="s">
        <v>1554</v>
      </c>
      <c r="F228" s="1010" t="s">
        <v>548</v>
      </c>
      <c r="G228" s="989">
        <v>271200</v>
      </c>
      <c r="H228" s="937"/>
      <c r="I228" s="1046"/>
      <c r="J228" s="1046"/>
      <c r="K228" s="1047"/>
      <c r="L228" s="1046"/>
      <c r="M228" s="1094"/>
      <c r="N228" s="989">
        <v>271200</v>
      </c>
      <c r="O228" s="989">
        <v>0</v>
      </c>
      <c r="P228" s="989">
        <v>236958</v>
      </c>
      <c r="Q228" s="989">
        <f t="shared" si="24"/>
        <v>236958</v>
      </c>
      <c r="R228" s="989">
        <f t="shared" si="26"/>
        <v>87.373893805309734</v>
      </c>
      <c r="S228" s="1011">
        <v>0</v>
      </c>
      <c r="T228" s="989">
        <f t="shared" si="27"/>
        <v>0</v>
      </c>
      <c r="U228" s="989">
        <f t="shared" si="25"/>
        <v>236958</v>
      </c>
      <c r="V228" s="989">
        <f t="shared" si="28"/>
        <v>87.373893805309734</v>
      </c>
      <c r="W228" s="989"/>
      <c r="X228" s="989">
        <f t="shared" si="23"/>
        <v>34242</v>
      </c>
      <c r="Y228" s="1012"/>
      <c r="Z228" s="941"/>
      <c r="AA228" s="941"/>
      <c r="AB228" s="941"/>
      <c r="AC228" s="941"/>
      <c r="AD228" s="941"/>
      <c r="AE228" s="941"/>
      <c r="AF228" s="941"/>
      <c r="AG228" s="941"/>
      <c r="AH228" s="941"/>
      <c r="AI228" s="941"/>
      <c r="AJ228" s="941"/>
      <c r="AK228" s="941"/>
      <c r="AL228" s="941"/>
      <c r="AM228" s="941"/>
    </row>
    <row r="229" spans="1:39" s="969" customFormat="1" ht="63" customHeight="1">
      <c r="A229" s="1006">
        <v>111</v>
      </c>
      <c r="B229" s="1007" t="s">
        <v>1555</v>
      </c>
      <c r="C229" s="1008"/>
      <c r="D229" s="1008" t="s">
        <v>3553</v>
      </c>
      <c r="E229" s="1007" t="s">
        <v>1556</v>
      </c>
      <c r="F229" s="1010" t="s">
        <v>548</v>
      </c>
      <c r="G229" s="989">
        <v>226000</v>
      </c>
      <c r="H229" s="937"/>
      <c r="I229" s="1046"/>
      <c r="J229" s="1046"/>
      <c r="K229" s="1047">
        <v>-252.01</v>
      </c>
      <c r="L229" s="1046"/>
      <c r="M229" s="1094"/>
      <c r="N229" s="989">
        <f>226000+M229+K229</f>
        <v>225747.99</v>
      </c>
      <c r="O229" s="989">
        <v>0</v>
      </c>
      <c r="P229" s="989">
        <v>225747.99</v>
      </c>
      <c r="Q229" s="989">
        <f t="shared" si="24"/>
        <v>225747.99</v>
      </c>
      <c r="R229" s="989">
        <f t="shared" si="26"/>
        <v>100</v>
      </c>
      <c r="S229" s="1011">
        <v>0</v>
      </c>
      <c r="T229" s="989">
        <f t="shared" si="27"/>
        <v>0</v>
      </c>
      <c r="U229" s="989">
        <f t="shared" si="25"/>
        <v>225747.99</v>
      </c>
      <c r="V229" s="989">
        <f t="shared" si="28"/>
        <v>100</v>
      </c>
      <c r="W229" s="989"/>
      <c r="X229" s="989">
        <f t="shared" si="23"/>
        <v>0</v>
      </c>
      <c r="Y229" s="1012"/>
      <c r="Z229" s="941"/>
      <c r="AA229" s="941"/>
      <c r="AB229" s="941"/>
      <c r="AC229" s="941"/>
      <c r="AD229" s="941"/>
      <c r="AE229" s="941"/>
      <c r="AF229" s="941"/>
      <c r="AG229" s="941"/>
      <c r="AH229" s="941"/>
      <c r="AI229" s="941"/>
      <c r="AJ229" s="941"/>
      <c r="AK229" s="941"/>
      <c r="AL229" s="941"/>
      <c r="AM229" s="941"/>
    </row>
    <row r="230" spans="1:39" s="969" customFormat="1" ht="63" customHeight="1">
      <c r="A230" s="1006">
        <v>112</v>
      </c>
      <c r="B230" s="1007" t="s">
        <v>1557</v>
      </c>
      <c r="C230" s="1008"/>
      <c r="D230" s="1008" t="s">
        <v>3554</v>
      </c>
      <c r="E230" s="1007" t="s">
        <v>1558</v>
      </c>
      <c r="F230" s="1010" t="s">
        <v>548</v>
      </c>
      <c r="G230" s="989">
        <v>45200</v>
      </c>
      <c r="H230" s="937"/>
      <c r="I230" s="1046"/>
      <c r="J230" s="1046"/>
      <c r="K230" s="1047">
        <v>-14740</v>
      </c>
      <c r="L230" s="1046"/>
      <c r="M230" s="1094"/>
      <c r="N230" s="989">
        <f>45200+M230+K230</f>
        <v>30460</v>
      </c>
      <c r="O230" s="989">
        <v>0</v>
      </c>
      <c r="P230" s="989">
        <v>30460</v>
      </c>
      <c r="Q230" s="989">
        <f t="shared" si="24"/>
        <v>30460</v>
      </c>
      <c r="R230" s="989">
        <f t="shared" si="26"/>
        <v>100</v>
      </c>
      <c r="S230" s="1011">
        <v>0</v>
      </c>
      <c r="T230" s="989">
        <f t="shared" si="27"/>
        <v>0</v>
      </c>
      <c r="U230" s="989">
        <f t="shared" si="25"/>
        <v>30460</v>
      </c>
      <c r="V230" s="989">
        <f t="shared" si="28"/>
        <v>100</v>
      </c>
      <c r="W230" s="989"/>
      <c r="X230" s="989">
        <f t="shared" si="23"/>
        <v>0</v>
      </c>
      <c r="Y230" s="1012"/>
      <c r="Z230" s="941"/>
      <c r="AA230" s="941"/>
      <c r="AB230" s="941"/>
      <c r="AC230" s="941"/>
      <c r="AD230" s="941"/>
      <c r="AE230" s="941"/>
      <c r="AF230" s="941"/>
      <c r="AG230" s="941"/>
      <c r="AH230" s="941"/>
      <c r="AI230" s="941"/>
      <c r="AJ230" s="941"/>
      <c r="AK230" s="941"/>
      <c r="AL230" s="941"/>
      <c r="AM230" s="941"/>
    </row>
    <row r="231" spans="1:39" s="969" customFormat="1" ht="63" customHeight="1">
      <c r="A231" s="1006">
        <v>113</v>
      </c>
      <c r="B231" s="1007" t="s">
        <v>2847</v>
      </c>
      <c r="C231" s="1008"/>
      <c r="D231" s="1008" t="s">
        <v>3555</v>
      </c>
      <c r="E231" s="1007" t="s">
        <v>1559</v>
      </c>
      <c r="F231" s="1010" t="s">
        <v>548</v>
      </c>
      <c r="G231" s="989">
        <v>271200</v>
      </c>
      <c r="H231" s="937"/>
      <c r="I231" s="1046"/>
      <c r="J231" s="1046"/>
      <c r="K231" s="1047">
        <v>-32714</v>
      </c>
      <c r="L231" s="1046"/>
      <c r="M231" s="1094"/>
      <c r="N231" s="989">
        <f>271200+M231+K231</f>
        <v>238486</v>
      </c>
      <c r="O231" s="989">
        <v>0</v>
      </c>
      <c r="P231" s="989">
        <v>238486</v>
      </c>
      <c r="Q231" s="989">
        <f t="shared" si="24"/>
        <v>238486</v>
      </c>
      <c r="R231" s="989">
        <f t="shared" si="26"/>
        <v>100</v>
      </c>
      <c r="S231" s="1011">
        <v>0</v>
      </c>
      <c r="T231" s="989">
        <f t="shared" si="27"/>
        <v>0</v>
      </c>
      <c r="U231" s="989">
        <f t="shared" si="25"/>
        <v>238486</v>
      </c>
      <c r="V231" s="989">
        <f t="shared" si="28"/>
        <v>100</v>
      </c>
      <c r="W231" s="989"/>
      <c r="X231" s="989">
        <f t="shared" si="23"/>
        <v>0</v>
      </c>
      <c r="Y231" s="1012"/>
      <c r="Z231" s="941"/>
      <c r="AA231" s="941"/>
      <c r="AB231" s="941"/>
      <c r="AC231" s="941"/>
      <c r="AD231" s="941"/>
      <c r="AE231" s="941"/>
      <c r="AF231" s="941"/>
      <c r="AG231" s="941"/>
      <c r="AH231" s="941"/>
      <c r="AI231" s="941"/>
      <c r="AJ231" s="941"/>
      <c r="AK231" s="941"/>
      <c r="AL231" s="941"/>
      <c r="AM231" s="941"/>
    </row>
    <row r="232" spans="1:39" s="969" customFormat="1" ht="63" customHeight="1">
      <c r="A232" s="1006">
        <v>114</v>
      </c>
      <c r="B232" s="1007" t="s">
        <v>1560</v>
      </c>
      <c r="C232" s="1008"/>
      <c r="D232" s="1008" t="s">
        <v>3556</v>
      </c>
      <c r="E232" s="1007" t="s">
        <v>1561</v>
      </c>
      <c r="F232" s="1010" t="s">
        <v>548</v>
      </c>
      <c r="G232" s="989">
        <v>45200</v>
      </c>
      <c r="H232" s="937"/>
      <c r="I232" s="1046"/>
      <c r="J232" s="1046"/>
      <c r="K232" s="1047"/>
      <c r="L232" s="1046"/>
      <c r="M232" s="1094">
        <v>-17652</v>
      </c>
      <c r="N232" s="989">
        <f>45200+M232</f>
        <v>27548</v>
      </c>
      <c r="O232" s="989">
        <v>0</v>
      </c>
      <c r="P232" s="989">
        <v>27548</v>
      </c>
      <c r="Q232" s="989">
        <f t="shared" si="24"/>
        <v>27548</v>
      </c>
      <c r="R232" s="989">
        <f t="shared" si="26"/>
        <v>100</v>
      </c>
      <c r="S232" s="1011">
        <v>0</v>
      </c>
      <c r="T232" s="989">
        <f t="shared" si="27"/>
        <v>0</v>
      </c>
      <c r="U232" s="989">
        <f t="shared" si="25"/>
        <v>27548</v>
      </c>
      <c r="V232" s="989">
        <f t="shared" si="28"/>
        <v>100</v>
      </c>
      <c r="W232" s="989"/>
      <c r="X232" s="989">
        <f t="shared" si="23"/>
        <v>0</v>
      </c>
      <c r="Y232" s="1012"/>
      <c r="Z232" s="941"/>
      <c r="AA232" s="941"/>
      <c r="AB232" s="941"/>
      <c r="AC232" s="941"/>
      <c r="AD232" s="941"/>
      <c r="AE232" s="941"/>
      <c r="AF232" s="941"/>
      <c r="AG232" s="941"/>
      <c r="AH232" s="941"/>
      <c r="AI232" s="941"/>
      <c r="AJ232" s="941"/>
      <c r="AK232" s="941"/>
      <c r="AL232" s="941"/>
      <c r="AM232" s="941"/>
    </row>
    <row r="233" spans="1:39" s="969" customFormat="1" ht="63" customHeight="1">
      <c r="A233" s="1006">
        <v>115</v>
      </c>
      <c r="B233" s="1007" t="s">
        <v>1562</v>
      </c>
      <c r="C233" s="1008"/>
      <c r="D233" s="1008" t="s">
        <v>3557</v>
      </c>
      <c r="E233" s="1007" t="s">
        <v>1563</v>
      </c>
      <c r="F233" s="1010" t="s">
        <v>548</v>
      </c>
      <c r="G233" s="989">
        <v>135600</v>
      </c>
      <c r="H233" s="937"/>
      <c r="I233" s="1046"/>
      <c r="J233" s="1046"/>
      <c r="K233" s="1047">
        <v>-51700</v>
      </c>
      <c r="L233" s="1046"/>
      <c r="M233" s="1094"/>
      <c r="N233" s="989">
        <f>135600+M233+K233</f>
        <v>83900</v>
      </c>
      <c r="O233" s="989">
        <v>0</v>
      </c>
      <c r="P233" s="989">
        <v>83900</v>
      </c>
      <c r="Q233" s="989">
        <f t="shared" si="24"/>
        <v>83900</v>
      </c>
      <c r="R233" s="989">
        <f t="shared" si="26"/>
        <v>100</v>
      </c>
      <c r="S233" s="1011">
        <v>0</v>
      </c>
      <c r="T233" s="989">
        <f t="shared" si="27"/>
        <v>0</v>
      </c>
      <c r="U233" s="989">
        <f t="shared" si="25"/>
        <v>83900</v>
      </c>
      <c r="V233" s="989">
        <f t="shared" si="28"/>
        <v>100</v>
      </c>
      <c r="W233" s="989"/>
      <c r="X233" s="989">
        <f t="shared" si="23"/>
        <v>0</v>
      </c>
      <c r="Y233" s="1012"/>
      <c r="Z233" s="941"/>
      <c r="AA233" s="941"/>
      <c r="AB233" s="941"/>
      <c r="AC233" s="941"/>
      <c r="AD233" s="941"/>
      <c r="AE233" s="941"/>
      <c r="AF233" s="941"/>
      <c r="AG233" s="941"/>
      <c r="AH233" s="941"/>
      <c r="AI233" s="941"/>
      <c r="AJ233" s="941"/>
      <c r="AK233" s="941"/>
      <c r="AL233" s="941"/>
      <c r="AM233" s="941"/>
    </row>
    <row r="234" spans="1:39" s="969" customFormat="1" ht="63" customHeight="1">
      <c r="A234" s="1006">
        <v>116</v>
      </c>
      <c r="B234" s="1007" t="s">
        <v>1564</v>
      </c>
      <c r="C234" s="1008"/>
      <c r="D234" s="1008" t="s">
        <v>3558</v>
      </c>
      <c r="E234" s="1007" t="s">
        <v>1565</v>
      </c>
      <c r="F234" s="1010" t="s">
        <v>548</v>
      </c>
      <c r="G234" s="989">
        <v>271200</v>
      </c>
      <c r="H234" s="937"/>
      <c r="I234" s="1046"/>
      <c r="J234" s="1046"/>
      <c r="K234" s="1047">
        <v>-66817.429999999993</v>
      </c>
      <c r="L234" s="1046"/>
      <c r="M234" s="1094"/>
      <c r="N234" s="989">
        <f>271200+M234+K234</f>
        <v>204382.57</v>
      </c>
      <c r="O234" s="989">
        <v>0</v>
      </c>
      <c r="P234" s="989">
        <v>204382.57</v>
      </c>
      <c r="Q234" s="989">
        <f t="shared" si="24"/>
        <v>204382.57</v>
      </c>
      <c r="R234" s="989">
        <f t="shared" si="26"/>
        <v>100</v>
      </c>
      <c r="S234" s="1011">
        <v>0</v>
      </c>
      <c r="T234" s="989">
        <f t="shared" si="27"/>
        <v>0</v>
      </c>
      <c r="U234" s="989">
        <f t="shared" si="25"/>
        <v>204382.57</v>
      </c>
      <c r="V234" s="989">
        <f t="shared" si="28"/>
        <v>100</v>
      </c>
      <c r="W234" s="989"/>
      <c r="X234" s="989">
        <f t="shared" si="23"/>
        <v>0</v>
      </c>
      <c r="Y234" s="1012"/>
      <c r="Z234" s="941"/>
      <c r="AA234" s="941"/>
      <c r="AB234" s="941"/>
      <c r="AC234" s="941"/>
      <c r="AD234" s="941"/>
      <c r="AE234" s="941"/>
      <c r="AF234" s="941"/>
      <c r="AG234" s="941"/>
      <c r="AH234" s="941"/>
      <c r="AI234" s="941"/>
      <c r="AJ234" s="941"/>
      <c r="AK234" s="941"/>
      <c r="AL234" s="941"/>
      <c r="AM234" s="941"/>
    </row>
    <row r="235" spans="1:39" s="969" customFormat="1" ht="63" customHeight="1">
      <c r="A235" s="1006">
        <v>117</v>
      </c>
      <c r="B235" s="1007" t="s">
        <v>2848</v>
      </c>
      <c r="C235" s="1008"/>
      <c r="D235" s="1008" t="s">
        <v>3559</v>
      </c>
      <c r="E235" s="1007" t="s">
        <v>1566</v>
      </c>
      <c r="F235" s="1010" t="s">
        <v>548</v>
      </c>
      <c r="G235" s="989">
        <v>226000</v>
      </c>
      <c r="H235" s="937"/>
      <c r="I235" s="1046"/>
      <c r="J235" s="1046"/>
      <c r="K235" s="1047">
        <v>-11623</v>
      </c>
      <c r="L235" s="1046"/>
      <c r="M235" s="1094">
        <v>-28448</v>
      </c>
      <c r="N235" s="989">
        <f>226000+M235+K235</f>
        <v>185929</v>
      </c>
      <c r="O235" s="989">
        <v>0</v>
      </c>
      <c r="P235" s="989">
        <v>185929</v>
      </c>
      <c r="Q235" s="989">
        <f t="shared" si="24"/>
        <v>185929</v>
      </c>
      <c r="R235" s="989">
        <f t="shared" si="26"/>
        <v>100</v>
      </c>
      <c r="S235" s="1011">
        <v>0</v>
      </c>
      <c r="T235" s="989">
        <f t="shared" si="27"/>
        <v>0</v>
      </c>
      <c r="U235" s="989">
        <f t="shared" si="25"/>
        <v>185929</v>
      </c>
      <c r="V235" s="989">
        <f t="shared" si="28"/>
        <v>100</v>
      </c>
      <c r="W235" s="989"/>
      <c r="X235" s="989">
        <f t="shared" si="23"/>
        <v>0</v>
      </c>
      <c r="Y235" s="1012"/>
      <c r="Z235" s="941"/>
      <c r="AA235" s="941"/>
      <c r="AB235" s="941"/>
      <c r="AC235" s="941"/>
      <c r="AD235" s="941"/>
      <c r="AE235" s="941"/>
      <c r="AF235" s="941"/>
      <c r="AG235" s="941"/>
      <c r="AH235" s="941"/>
      <c r="AI235" s="941"/>
      <c r="AJ235" s="941"/>
      <c r="AK235" s="941"/>
      <c r="AL235" s="941"/>
      <c r="AM235" s="941"/>
    </row>
    <row r="236" spans="1:39" s="969" customFormat="1" ht="63" customHeight="1">
      <c r="A236" s="1006">
        <v>118</v>
      </c>
      <c r="B236" s="1007" t="s">
        <v>2849</v>
      </c>
      <c r="C236" s="1008"/>
      <c r="D236" s="1008" t="s">
        <v>3560</v>
      </c>
      <c r="E236" s="1007" t="s">
        <v>1567</v>
      </c>
      <c r="F236" s="1010" t="s">
        <v>548</v>
      </c>
      <c r="G236" s="989">
        <v>316400</v>
      </c>
      <c r="H236" s="937"/>
      <c r="I236" s="1046"/>
      <c r="J236" s="1046"/>
      <c r="K236" s="1047"/>
      <c r="L236" s="1046"/>
      <c r="M236" s="1094"/>
      <c r="N236" s="989">
        <v>316400</v>
      </c>
      <c r="O236" s="989">
        <v>0</v>
      </c>
      <c r="P236" s="989">
        <v>316400</v>
      </c>
      <c r="Q236" s="989">
        <f t="shared" si="24"/>
        <v>316400</v>
      </c>
      <c r="R236" s="989">
        <f t="shared" si="26"/>
        <v>100</v>
      </c>
      <c r="S236" s="1011">
        <v>0</v>
      </c>
      <c r="T236" s="989">
        <f t="shared" si="27"/>
        <v>0</v>
      </c>
      <c r="U236" s="989">
        <f t="shared" si="25"/>
        <v>316400</v>
      </c>
      <c r="V236" s="989">
        <f t="shared" si="28"/>
        <v>100</v>
      </c>
      <c r="W236" s="989"/>
      <c r="X236" s="989">
        <f t="shared" si="23"/>
        <v>0</v>
      </c>
      <c r="Y236" s="1012"/>
      <c r="Z236" s="941"/>
      <c r="AA236" s="941"/>
      <c r="AB236" s="941"/>
      <c r="AC236" s="941"/>
      <c r="AD236" s="941"/>
      <c r="AE236" s="941"/>
      <c r="AF236" s="941"/>
      <c r="AG236" s="941"/>
      <c r="AH236" s="941"/>
      <c r="AI236" s="941"/>
      <c r="AJ236" s="941"/>
      <c r="AK236" s="941"/>
      <c r="AL236" s="941"/>
      <c r="AM236" s="941"/>
    </row>
    <row r="237" spans="1:39" s="969" customFormat="1" ht="63" customHeight="1">
      <c r="A237" s="1006">
        <v>119</v>
      </c>
      <c r="B237" s="1007" t="s">
        <v>2850</v>
      </c>
      <c r="C237" s="1008"/>
      <c r="D237" s="1008" t="s">
        <v>3561</v>
      </c>
      <c r="E237" s="1007" t="s">
        <v>1568</v>
      </c>
      <c r="F237" s="1010" t="s">
        <v>548</v>
      </c>
      <c r="G237" s="989">
        <v>180800</v>
      </c>
      <c r="H237" s="937"/>
      <c r="I237" s="1046"/>
      <c r="J237" s="1046"/>
      <c r="K237" s="1047">
        <v>-43000</v>
      </c>
      <c r="L237" s="1046"/>
      <c r="M237" s="1094"/>
      <c r="N237" s="989">
        <f>180800+M237+K237</f>
        <v>137800</v>
      </c>
      <c r="O237" s="989">
        <v>0</v>
      </c>
      <c r="P237" s="989">
        <v>137800</v>
      </c>
      <c r="Q237" s="989">
        <f t="shared" si="24"/>
        <v>137800</v>
      </c>
      <c r="R237" s="989">
        <f t="shared" si="26"/>
        <v>100</v>
      </c>
      <c r="S237" s="1011">
        <v>0</v>
      </c>
      <c r="T237" s="989">
        <f t="shared" si="27"/>
        <v>0</v>
      </c>
      <c r="U237" s="989">
        <f t="shared" si="25"/>
        <v>137800</v>
      </c>
      <c r="V237" s="989">
        <f t="shared" si="28"/>
        <v>100</v>
      </c>
      <c r="W237" s="989"/>
      <c r="X237" s="989">
        <f t="shared" si="23"/>
        <v>0</v>
      </c>
      <c r="Y237" s="1012"/>
      <c r="Z237" s="941"/>
      <c r="AA237" s="941"/>
      <c r="AB237" s="941"/>
      <c r="AC237" s="941"/>
      <c r="AD237" s="941"/>
      <c r="AE237" s="941"/>
      <c r="AF237" s="941"/>
      <c r="AG237" s="941"/>
      <c r="AH237" s="941"/>
      <c r="AI237" s="941"/>
      <c r="AJ237" s="941"/>
      <c r="AK237" s="941"/>
      <c r="AL237" s="941"/>
      <c r="AM237" s="941"/>
    </row>
    <row r="238" spans="1:39" s="969" customFormat="1" ht="63" customHeight="1">
      <c r="A238" s="1006">
        <v>120</v>
      </c>
      <c r="B238" s="1007" t="s">
        <v>1569</v>
      </c>
      <c r="C238" s="1008"/>
      <c r="D238" s="1008" t="s">
        <v>3562</v>
      </c>
      <c r="E238" s="1007" t="s">
        <v>1570</v>
      </c>
      <c r="F238" s="1010" t="s">
        <v>548</v>
      </c>
      <c r="G238" s="989">
        <v>135600</v>
      </c>
      <c r="H238" s="937"/>
      <c r="I238" s="1046"/>
      <c r="J238" s="1046"/>
      <c r="K238" s="1047">
        <v>-61343</v>
      </c>
      <c r="L238" s="1046"/>
      <c r="M238" s="1094"/>
      <c r="N238" s="989">
        <f>135600+M238+K238</f>
        <v>74257</v>
      </c>
      <c r="O238" s="989">
        <v>0</v>
      </c>
      <c r="P238" s="989">
        <v>74257</v>
      </c>
      <c r="Q238" s="989">
        <f t="shared" si="24"/>
        <v>74257</v>
      </c>
      <c r="R238" s="989">
        <f t="shared" si="26"/>
        <v>100</v>
      </c>
      <c r="S238" s="1011">
        <v>0</v>
      </c>
      <c r="T238" s="989">
        <f t="shared" si="27"/>
        <v>0</v>
      </c>
      <c r="U238" s="989">
        <f t="shared" si="25"/>
        <v>74257</v>
      </c>
      <c r="V238" s="989">
        <f t="shared" si="28"/>
        <v>100</v>
      </c>
      <c r="W238" s="989"/>
      <c r="X238" s="989">
        <f t="shared" si="23"/>
        <v>0</v>
      </c>
      <c r="Y238" s="1012"/>
      <c r="Z238" s="941"/>
      <c r="AA238" s="941"/>
      <c r="AB238" s="941"/>
      <c r="AC238" s="941"/>
      <c r="AD238" s="941"/>
      <c r="AE238" s="941"/>
      <c r="AF238" s="941"/>
      <c r="AG238" s="941"/>
      <c r="AH238" s="941"/>
      <c r="AI238" s="941"/>
      <c r="AJ238" s="941"/>
      <c r="AK238" s="941"/>
      <c r="AL238" s="941"/>
      <c r="AM238" s="941"/>
    </row>
    <row r="239" spans="1:39" s="969" customFormat="1" ht="63" customHeight="1">
      <c r="A239" s="1006">
        <v>121</v>
      </c>
      <c r="B239" s="1007" t="s">
        <v>1571</v>
      </c>
      <c r="C239" s="1008"/>
      <c r="D239" s="1008" t="s">
        <v>3563</v>
      </c>
      <c r="E239" s="1007" t="s">
        <v>1572</v>
      </c>
      <c r="F239" s="1010" t="s">
        <v>548</v>
      </c>
      <c r="G239" s="989">
        <v>226000</v>
      </c>
      <c r="H239" s="937"/>
      <c r="I239" s="1046"/>
      <c r="J239" s="1046"/>
      <c r="K239" s="1047"/>
      <c r="L239" s="1046"/>
      <c r="M239" s="1094"/>
      <c r="N239" s="989">
        <v>226000</v>
      </c>
      <c r="O239" s="989">
        <v>0</v>
      </c>
      <c r="P239" s="989">
        <v>226000</v>
      </c>
      <c r="Q239" s="989">
        <f t="shared" si="24"/>
        <v>226000</v>
      </c>
      <c r="R239" s="989">
        <f t="shared" si="26"/>
        <v>100</v>
      </c>
      <c r="S239" s="1011">
        <v>0</v>
      </c>
      <c r="T239" s="989">
        <f t="shared" si="27"/>
        <v>0</v>
      </c>
      <c r="U239" s="989">
        <f t="shared" si="25"/>
        <v>226000</v>
      </c>
      <c r="V239" s="989">
        <f t="shared" si="28"/>
        <v>100</v>
      </c>
      <c r="W239" s="989"/>
      <c r="X239" s="989">
        <f t="shared" si="23"/>
        <v>0</v>
      </c>
      <c r="Y239" s="1012"/>
      <c r="Z239" s="941"/>
      <c r="AA239" s="941"/>
      <c r="AB239" s="941"/>
      <c r="AC239" s="941"/>
      <c r="AD239" s="941"/>
      <c r="AE239" s="941"/>
      <c r="AF239" s="941"/>
      <c r="AG239" s="941"/>
      <c r="AH239" s="941"/>
      <c r="AI239" s="941"/>
      <c r="AJ239" s="941"/>
      <c r="AK239" s="941"/>
      <c r="AL239" s="941"/>
      <c r="AM239" s="941"/>
    </row>
    <row r="240" spans="1:39" s="969" customFormat="1" ht="63" customHeight="1">
      <c r="A240" s="1006">
        <v>122</v>
      </c>
      <c r="B240" s="1007" t="s">
        <v>1573</v>
      </c>
      <c r="C240" s="1008"/>
      <c r="D240" s="1008" t="s">
        <v>3564</v>
      </c>
      <c r="E240" s="1007" t="s">
        <v>1574</v>
      </c>
      <c r="F240" s="1010" t="s">
        <v>548</v>
      </c>
      <c r="G240" s="989">
        <v>45200</v>
      </c>
      <c r="H240" s="937"/>
      <c r="I240" s="1046"/>
      <c r="J240" s="1046"/>
      <c r="K240" s="1047"/>
      <c r="L240" s="1046"/>
      <c r="M240" s="1094"/>
      <c r="N240" s="989">
        <v>45200</v>
      </c>
      <c r="O240" s="989">
        <v>0</v>
      </c>
      <c r="P240" s="989">
        <v>45200</v>
      </c>
      <c r="Q240" s="989">
        <f t="shared" si="24"/>
        <v>45200</v>
      </c>
      <c r="R240" s="989">
        <f t="shared" si="26"/>
        <v>100</v>
      </c>
      <c r="S240" s="1011">
        <v>0</v>
      </c>
      <c r="T240" s="989">
        <f t="shared" si="27"/>
        <v>0</v>
      </c>
      <c r="U240" s="989">
        <f t="shared" si="25"/>
        <v>45200</v>
      </c>
      <c r="V240" s="989">
        <f t="shared" si="28"/>
        <v>100</v>
      </c>
      <c r="W240" s="989"/>
      <c r="X240" s="989">
        <f t="shared" si="23"/>
        <v>0</v>
      </c>
      <c r="Y240" s="1012"/>
      <c r="Z240" s="941"/>
      <c r="AA240" s="941"/>
      <c r="AB240" s="941"/>
      <c r="AC240" s="941"/>
      <c r="AD240" s="941"/>
      <c r="AE240" s="941"/>
      <c r="AF240" s="941"/>
      <c r="AG240" s="941"/>
      <c r="AH240" s="941"/>
      <c r="AI240" s="941"/>
      <c r="AJ240" s="941"/>
      <c r="AK240" s="941"/>
      <c r="AL240" s="941"/>
      <c r="AM240" s="941"/>
    </row>
    <row r="241" spans="1:39" s="969" customFormat="1" ht="63" customHeight="1">
      <c r="A241" s="1006">
        <v>123</v>
      </c>
      <c r="B241" s="1007" t="s">
        <v>2851</v>
      </c>
      <c r="C241" s="1008"/>
      <c r="D241" s="1008" t="s">
        <v>3565</v>
      </c>
      <c r="E241" s="1007" t="s">
        <v>1575</v>
      </c>
      <c r="F241" s="1010" t="s">
        <v>548</v>
      </c>
      <c r="G241" s="989">
        <v>45200</v>
      </c>
      <c r="H241" s="937"/>
      <c r="I241" s="1046"/>
      <c r="J241" s="1046"/>
      <c r="K241" s="1047"/>
      <c r="L241" s="1046"/>
      <c r="M241" s="1094"/>
      <c r="N241" s="989">
        <v>45200</v>
      </c>
      <c r="O241" s="989">
        <v>0</v>
      </c>
      <c r="P241" s="989">
        <v>45200</v>
      </c>
      <c r="Q241" s="989">
        <f t="shared" si="24"/>
        <v>45200</v>
      </c>
      <c r="R241" s="989">
        <f t="shared" si="26"/>
        <v>100</v>
      </c>
      <c r="S241" s="1011">
        <v>0</v>
      </c>
      <c r="T241" s="989">
        <f t="shared" si="27"/>
        <v>0</v>
      </c>
      <c r="U241" s="989">
        <f t="shared" si="25"/>
        <v>45200</v>
      </c>
      <c r="V241" s="989">
        <f t="shared" si="28"/>
        <v>100</v>
      </c>
      <c r="W241" s="989"/>
      <c r="X241" s="989">
        <f t="shared" si="23"/>
        <v>0</v>
      </c>
      <c r="Y241" s="1012"/>
      <c r="Z241" s="941"/>
      <c r="AA241" s="941"/>
      <c r="AB241" s="941"/>
      <c r="AC241" s="941"/>
      <c r="AD241" s="941"/>
      <c r="AE241" s="941"/>
      <c r="AF241" s="941"/>
      <c r="AG241" s="941"/>
      <c r="AH241" s="941"/>
      <c r="AI241" s="941"/>
      <c r="AJ241" s="941"/>
      <c r="AK241" s="941"/>
      <c r="AL241" s="941"/>
      <c r="AM241" s="941"/>
    </row>
    <row r="242" spans="1:39" s="969" customFormat="1" ht="63" customHeight="1">
      <c r="A242" s="1006">
        <v>124</v>
      </c>
      <c r="B242" s="1007" t="s">
        <v>1576</v>
      </c>
      <c r="C242" s="1008"/>
      <c r="D242" s="1008" t="s">
        <v>3566</v>
      </c>
      <c r="E242" s="1007" t="s">
        <v>1577</v>
      </c>
      <c r="F242" s="1010" t="s">
        <v>548</v>
      </c>
      <c r="G242" s="989">
        <v>90400</v>
      </c>
      <c r="H242" s="937"/>
      <c r="I242" s="1046"/>
      <c r="J242" s="1046"/>
      <c r="K242" s="1047"/>
      <c r="L242" s="1046"/>
      <c r="M242" s="1094"/>
      <c r="N242" s="989">
        <v>90400</v>
      </c>
      <c r="O242" s="989">
        <v>0</v>
      </c>
      <c r="P242" s="989">
        <v>90400</v>
      </c>
      <c r="Q242" s="989">
        <f t="shared" si="24"/>
        <v>90400</v>
      </c>
      <c r="R242" s="989">
        <f t="shared" si="26"/>
        <v>100</v>
      </c>
      <c r="S242" s="1011">
        <v>0</v>
      </c>
      <c r="T242" s="989">
        <f t="shared" si="27"/>
        <v>0</v>
      </c>
      <c r="U242" s="989">
        <f t="shared" si="25"/>
        <v>90400</v>
      </c>
      <c r="V242" s="989">
        <f t="shared" si="28"/>
        <v>100</v>
      </c>
      <c r="W242" s="989"/>
      <c r="X242" s="989">
        <f t="shared" si="23"/>
        <v>0</v>
      </c>
      <c r="Y242" s="1012"/>
      <c r="Z242" s="941"/>
      <c r="AA242" s="941"/>
      <c r="AB242" s="941"/>
      <c r="AC242" s="941"/>
      <c r="AD242" s="941"/>
      <c r="AE242" s="941"/>
      <c r="AF242" s="941"/>
      <c r="AG242" s="941"/>
      <c r="AH242" s="941"/>
      <c r="AI242" s="941"/>
      <c r="AJ242" s="941"/>
      <c r="AK242" s="941"/>
      <c r="AL242" s="941"/>
      <c r="AM242" s="941"/>
    </row>
    <row r="243" spans="1:39" s="969" customFormat="1" ht="63" customHeight="1">
      <c r="A243" s="1006">
        <v>125</v>
      </c>
      <c r="B243" s="1007" t="s">
        <v>1578</v>
      </c>
      <c r="C243" s="1008"/>
      <c r="D243" s="1008" t="s">
        <v>3567</v>
      </c>
      <c r="E243" s="1007" t="s">
        <v>1579</v>
      </c>
      <c r="F243" s="1010" t="s">
        <v>576</v>
      </c>
      <c r="G243" s="989">
        <v>90400</v>
      </c>
      <c r="H243" s="937"/>
      <c r="I243" s="1046"/>
      <c r="J243" s="1046"/>
      <c r="K243" s="1047"/>
      <c r="L243" s="1046"/>
      <c r="M243" s="1094"/>
      <c r="N243" s="989">
        <v>90400</v>
      </c>
      <c r="O243" s="989">
        <v>0</v>
      </c>
      <c r="P243" s="989">
        <v>90400</v>
      </c>
      <c r="Q243" s="989">
        <f t="shared" si="24"/>
        <v>90400</v>
      </c>
      <c r="R243" s="989">
        <f t="shared" si="26"/>
        <v>100</v>
      </c>
      <c r="S243" s="1011">
        <v>0</v>
      </c>
      <c r="T243" s="989">
        <f t="shared" si="27"/>
        <v>0</v>
      </c>
      <c r="U243" s="989">
        <f t="shared" si="25"/>
        <v>90400</v>
      </c>
      <c r="V243" s="989">
        <f t="shared" si="28"/>
        <v>100</v>
      </c>
      <c r="W243" s="989"/>
      <c r="X243" s="989">
        <f t="shared" si="23"/>
        <v>0</v>
      </c>
      <c r="Y243" s="1012"/>
      <c r="Z243" s="941"/>
      <c r="AA243" s="941"/>
      <c r="AB243" s="941"/>
      <c r="AC243" s="941"/>
      <c r="AD243" s="941"/>
      <c r="AE243" s="941"/>
      <c r="AF243" s="941"/>
      <c r="AG243" s="941"/>
      <c r="AH243" s="941"/>
      <c r="AI243" s="941"/>
      <c r="AJ243" s="941"/>
      <c r="AK243" s="941"/>
      <c r="AL243" s="941"/>
      <c r="AM243" s="941"/>
    </row>
    <row r="244" spans="1:39" s="969" customFormat="1" ht="63" customHeight="1">
      <c r="A244" s="1006">
        <v>126</v>
      </c>
      <c r="B244" s="1007" t="s">
        <v>1580</v>
      </c>
      <c r="C244" s="1008"/>
      <c r="D244" s="1008" t="s">
        <v>3568</v>
      </c>
      <c r="E244" s="1007" t="s">
        <v>1581</v>
      </c>
      <c r="F244" s="1010" t="s">
        <v>576</v>
      </c>
      <c r="G244" s="989">
        <v>45200</v>
      </c>
      <c r="H244" s="937"/>
      <c r="I244" s="1046"/>
      <c r="J244" s="1046"/>
      <c r="K244" s="1047"/>
      <c r="L244" s="1046"/>
      <c r="M244" s="1094"/>
      <c r="N244" s="989">
        <v>45200</v>
      </c>
      <c r="O244" s="989">
        <v>0</v>
      </c>
      <c r="P244" s="989">
        <v>45200</v>
      </c>
      <c r="Q244" s="989">
        <f t="shared" si="24"/>
        <v>45200</v>
      </c>
      <c r="R244" s="989">
        <f t="shared" si="26"/>
        <v>100</v>
      </c>
      <c r="S244" s="1011">
        <v>0</v>
      </c>
      <c r="T244" s="989">
        <f t="shared" si="27"/>
        <v>0</v>
      </c>
      <c r="U244" s="989">
        <f t="shared" si="25"/>
        <v>45200</v>
      </c>
      <c r="V244" s="989">
        <f t="shared" si="28"/>
        <v>100</v>
      </c>
      <c r="W244" s="989"/>
      <c r="X244" s="989">
        <f t="shared" si="23"/>
        <v>0</v>
      </c>
      <c r="Y244" s="1012"/>
      <c r="Z244" s="941"/>
      <c r="AA244" s="941"/>
      <c r="AB244" s="941"/>
      <c r="AC244" s="941"/>
      <c r="AD244" s="941"/>
      <c r="AE244" s="941"/>
      <c r="AF244" s="941"/>
      <c r="AG244" s="941"/>
      <c r="AH244" s="941"/>
      <c r="AI244" s="941"/>
      <c r="AJ244" s="941"/>
      <c r="AK244" s="941"/>
      <c r="AL244" s="941"/>
      <c r="AM244" s="941"/>
    </row>
    <row r="245" spans="1:39" s="969" customFormat="1" ht="63" customHeight="1">
      <c r="A245" s="1006">
        <v>127</v>
      </c>
      <c r="B245" s="1007" t="s">
        <v>1582</v>
      </c>
      <c r="C245" s="1008"/>
      <c r="D245" s="1008" t="s">
        <v>3569</v>
      </c>
      <c r="E245" s="1007" t="s">
        <v>1583</v>
      </c>
      <c r="F245" s="1010" t="s">
        <v>576</v>
      </c>
      <c r="G245" s="989">
        <v>90400</v>
      </c>
      <c r="H245" s="937"/>
      <c r="I245" s="1046"/>
      <c r="J245" s="1046"/>
      <c r="K245" s="1047">
        <v>-16111</v>
      </c>
      <c r="L245" s="1046"/>
      <c r="M245" s="1094"/>
      <c r="N245" s="989">
        <f>90400+M245+K245</f>
        <v>74289</v>
      </c>
      <c r="O245" s="989">
        <v>0</v>
      </c>
      <c r="P245" s="989">
        <v>74289</v>
      </c>
      <c r="Q245" s="989">
        <f t="shared" si="24"/>
        <v>74289</v>
      </c>
      <c r="R245" s="989">
        <f t="shared" si="26"/>
        <v>100</v>
      </c>
      <c r="S245" s="1011">
        <v>0</v>
      </c>
      <c r="T245" s="989">
        <f t="shared" si="27"/>
        <v>0</v>
      </c>
      <c r="U245" s="989">
        <f t="shared" si="25"/>
        <v>74289</v>
      </c>
      <c r="V245" s="989">
        <f t="shared" si="28"/>
        <v>100</v>
      </c>
      <c r="W245" s="989"/>
      <c r="X245" s="989">
        <f t="shared" si="23"/>
        <v>0</v>
      </c>
      <c r="Y245" s="1012"/>
      <c r="Z245" s="941"/>
      <c r="AA245" s="941"/>
      <c r="AB245" s="941"/>
      <c r="AC245" s="941"/>
      <c r="AD245" s="941"/>
      <c r="AE245" s="941"/>
      <c r="AF245" s="941"/>
      <c r="AG245" s="941"/>
      <c r="AH245" s="941"/>
      <c r="AI245" s="941"/>
      <c r="AJ245" s="941"/>
      <c r="AK245" s="941"/>
      <c r="AL245" s="941"/>
      <c r="AM245" s="941"/>
    </row>
    <row r="246" spans="1:39" s="969" customFormat="1" ht="63" customHeight="1">
      <c r="A246" s="1006">
        <v>128</v>
      </c>
      <c r="B246" s="1007" t="s">
        <v>2852</v>
      </c>
      <c r="C246" s="1008"/>
      <c r="D246" s="1008" t="s">
        <v>3570</v>
      </c>
      <c r="E246" s="1007" t="s">
        <v>1584</v>
      </c>
      <c r="F246" s="1010" t="s">
        <v>576</v>
      </c>
      <c r="G246" s="989">
        <v>45200</v>
      </c>
      <c r="H246" s="937"/>
      <c r="I246" s="1046"/>
      <c r="J246" s="1046"/>
      <c r="K246" s="1047">
        <v>-17450.04</v>
      </c>
      <c r="L246" s="1046"/>
      <c r="M246" s="1094"/>
      <c r="N246" s="989">
        <f>45200+M246+K246</f>
        <v>27749.96</v>
      </c>
      <c r="O246" s="989">
        <v>0</v>
      </c>
      <c r="P246" s="989">
        <v>27749.96</v>
      </c>
      <c r="Q246" s="989">
        <f t="shared" si="24"/>
        <v>27749.96</v>
      </c>
      <c r="R246" s="989">
        <f t="shared" si="26"/>
        <v>100</v>
      </c>
      <c r="S246" s="1011">
        <v>0</v>
      </c>
      <c r="T246" s="989">
        <f t="shared" si="27"/>
        <v>0</v>
      </c>
      <c r="U246" s="989">
        <f t="shared" si="25"/>
        <v>27749.96</v>
      </c>
      <c r="V246" s="989">
        <f t="shared" si="28"/>
        <v>100</v>
      </c>
      <c r="W246" s="989"/>
      <c r="X246" s="989">
        <f t="shared" ref="X246:X307" si="29">N246-U246</f>
        <v>0</v>
      </c>
      <c r="Y246" s="1012"/>
      <c r="Z246" s="941"/>
      <c r="AA246" s="941"/>
      <c r="AB246" s="941"/>
      <c r="AC246" s="941"/>
      <c r="AD246" s="941"/>
      <c r="AE246" s="941"/>
      <c r="AF246" s="941"/>
      <c r="AG246" s="941"/>
      <c r="AH246" s="941"/>
      <c r="AI246" s="941"/>
      <c r="AJ246" s="941"/>
      <c r="AK246" s="941"/>
      <c r="AL246" s="941"/>
      <c r="AM246" s="941"/>
    </row>
    <row r="247" spans="1:39" s="969" customFormat="1" ht="63" customHeight="1">
      <c r="A247" s="1006">
        <v>129</v>
      </c>
      <c r="B247" s="1007" t="s">
        <v>2853</v>
      </c>
      <c r="C247" s="1008"/>
      <c r="D247" s="1008" t="s">
        <v>3571</v>
      </c>
      <c r="E247" s="1007" t="s">
        <v>1585</v>
      </c>
      <c r="F247" s="1010" t="s">
        <v>576</v>
      </c>
      <c r="G247" s="989">
        <v>135600</v>
      </c>
      <c r="H247" s="937"/>
      <c r="I247" s="1046"/>
      <c r="J247" s="1046"/>
      <c r="K247" s="1047">
        <v>-33000</v>
      </c>
      <c r="L247" s="1046"/>
      <c r="M247" s="1094"/>
      <c r="N247" s="989">
        <f>135600+M247+K247</f>
        <v>102600</v>
      </c>
      <c r="O247" s="989">
        <v>0</v>
      </c>
      <c r="P247" s="989">
        <v>102600</v>
      </c>
      <c r="Q247" s="989">
        <f t="shared" ref="Q247:Q310" si="30">P247+O247</f>
        <v>102600</v>
      </c>
      <c r="R247" s="989">
        <f t="shared" si="26"/>
        <v>100</v>
      </c>
      <c r="S247" s="1011">
        <v>0</v>
      </c>
      <c r="T247" s="989">
        <f t="shared" si="27"/>
        <v>0</v>
      </c>
      <c r="U247" s="989">
        <f t="shared" ref="U247:U310" si="31">S247+Q247</f>
        <v>102600</v>
      </c>
      <c r="V247" s="989">
        <f t="shared" si="28"/>
        <v>100</v>
      </c>
      <c r="W247" s="989"/>
      <c r="X247" s="989">
        <f t="shared" si="29"/>
        <v>0</v>
      </c>
      <c r="Y247" s="1012"/>
      <c r="Z247" s="941"/>
      <c r="AA247" s="941"/>
      <c r="AB247" s="941"/>
      <c r="AC247" s="941"/>
      <c r="AD247" s="941"/>
      <c r="AE247" s="941"/>
      <c r="AF247" s="941"/>
      <c r="AG247" s="941"/>
      <c r="AH247" s="941"/>
      <c r="AI247" s="941"/>
      <c r="AJ247" s="941"/>
      <c r="AK247" s="941"/>
      <c r="AL247" s="941"/>
      <c r="AM247" s="941"/>
    </row>
    <row r="248" spans="1:39" s="969" customFormat="1" ht="63" customHeight="1">
      <c r="A248" s="1006">
        <v>130</v>
      </c>
      <c r="B248" s="1007" t="s">
        <v>2854</v>
      </c>
      <c r="C248" s="1008"/>
      <c r="D248" s="1008" t="s">
        <v>3572</v>
      </c>
      <c r="E248" s="1007" t="s">
        <v>1586</v>
      </c>
      <c r="F248" s="1010" t="s">
        <v>576</v>
      </c>
      <c r="G248" s="989">
        <v>45200</v>
      </c>
      <c r="H248" s="937"/>
      <c r="I248" s="1046"/>
      <c r="J248" s="1046"/>
      <c r="K248" s="1047">
        <v>-25200</v>
      </c>
      <c r="L248" s="1046"/>
      <c r="M248" s="1094"/>
      <c r="N248" s="989">
        <f>45200+M248+K248</f>
        <v>20000</v>
      </c>
      <c r="O248" s="989">
        <v>0</v>
      </c>
      <c r="P248" s="989">
        <v>20000</v>
      </c>
      <c r="Q248" s="989">
        <f t="shared" si="30"/>
        <v>20000</v>
      </c>
      <c r="R248" s="989">
        <f t="shared" ref="R248:R311" si="32">Q248/N248*100</f>
        <v>100</v>
      </c>
      <c r="S248" s="1011">
        <v>0</v>
      </c>
      <c r="T248" s="989">
        <f t="shared" ref="T248:T309" si="33">S248/N248*100</f>
        <v>0</v>
      </c>
      <c r="U248" s="989">
        <f t="shared" si="31"/>
        <v>20000</v>
      </c>
      <c r="V248" s="989">
        <f t="shared" ref="V248:V309" si="34">U248/N248*100</f>
        <v>100</v>
      </c>
      <c r="W248" s="989"/>
      <c r="X248" s="989">
        <f t="shared" si="29"/>
        <v>0</v>
      </c>
      <c r="Y248" s="1012"/>
      <c r="Z248" s="941"/>
      <c r="AA248" s="941"/>
      <c r="AB248" s="941"/>
      <c r="AC248" s="941"/>
      <c r="AD248" s="941"/>
      <c r="AE248" s="941"/>
      <c r="AF248" s="941"/>
      <c r="AG248" s="941"/>
      <c r="AH248" s="941"/>
      <c r="AI248" s="941"/>
      <c r="AJ248" s="941"/>
      <c r="AK248" s="941"/>
      <c r="AL248" s="941"/>
      <c r="AM248" s="941"/>
    </row>
    <row r="249" spans="1:39" s="969" customFormat="1" ht="63" customHeight="1">
      <c r="A249" s="1006">
        <v>131</v>
      </c>
      <c r="B249" s="1007" t="s">
        <v>2855</v>
      </c>
      <c r="C249" s="1008"/>
      <c r="D249" s="1008" t="s">
        <v>3573</v>
      </c>
      <c r="E249" s="1007" t="s">
        <v>1587</v>
      </c>
      <c r="F249" s="1010" t="s">
        <v>576</v>
      </c>
      <c r="G249" s="989">
        <v>45200</v>
      </c>
      <c r="H249" s="937"/>
      <c r="I249" s="1046"/>
      <c r="J249" s="1046"/>
      <c r="K249" s="1047">
        <v>-1200</v>
      </c>
      <c r="L249" s="1046"/>
      <c r="M249" s="1094"/>
      <c r="N249" s="989">
        <f>45200+M249+K249</f>
        <v>44000</v>
      </c>
      <c r="O249" s="989">
        <v>0</v>
      </c>
      <c r="P249" s="989">
        <v>44000</v>
      </c>
      <c r="Q249" s="989">
        <f t="shared" si="30"/>
        <v>44000</v>
      </c>
      <c r="R249" s="989">
        <f t="shared" si="32"/>
        <v>100</v>
      </c>
      <c r="S249" s="1011">
        <v>0</v>
      </c>
      <c r="T249" s="989">
        <f t="shared" si="33"/>
        <v>0</v>
      </c>
      <c r="U249" s="989">
        <f t="shared" si="31"/>
        <v>44000</v>
      </c>
      <c r="V249" s="989">
        <f t="shared" si="34"/>
        <v>100</v>
      </c>
      <c r="W249" s="989"/>
      <c r="X249" s="989">
        <f t="shared" si="29"/>
        <v>0</v>
      </c>
      <c r="Y249" s="1012"/>
      <c r="Z249" s="941"/>
      <c r="AA249" s="941"/>
      <c r="AB249" s="941"/>
      <c r="AC249" s="941"/>
      <c r="AD249" s="941"/>
      <c r="AE249" s="941"/>
      <c r="AF249" s="941"/>
      <c r="AG249" s="941"/>
      <c r="AH249" s="941"/>
      <c r="AI249" s="941"/>
      <c r="AJ249" s="941"/>
      <c r="AK249" s="941"/>
      <c r="AL249" s="941"/>
      <c r="AM249" s="941"/>
    </row>
    <row r="250" spans="1:39" s="969" customFormat="1" ht="63" customHeight="1">
      <c r="A250" s="1006">
        <v>132</v>
      </c>
      <c r="B250" s="1007" t="s">
        <v>2856</v>
      </c>
      <c r="C250" s="1008"/>
      <c r="D250" s="1008" t="s">
        <v>3574</v>
      </c>
      <c r="E250" s="1007" t="s">
        <v>1588</v>
      </c>
      <c r="F250" s="1010" t="s">
        <v>576</v>
      </c>
      <c r="G250" s="989">
        <v>90400</v>
      </c>
      <c r="H250" s="937"/>
      <c r="I250" s="1046"/>
      <c r="J250" s="1046"/>
      <c r="K250" s="1047"/>
      <c r="L250" s="1046"/>
      <c r="M250" s="1094"/>
      <c r="N250" s="989">
        <v>90400</v>
      </c>
      <c r="O250" s="989">
        <v>0</v>
      </c>
      <c r="P250" s="989">
        <v>90400</v>
      </c>
      <c r="Q250" s="989">
        <f t="shared" si="30"/>
        <v>90400</v>
      </c>
      <c r="R250" s="989">
        <f t="shared" si="32"/>
        <v>100</v>
      </c>
      <c r="S250" s="1011">
        <v>0</v>
      </c>
      <c r="T250" s="989">
        <f t="shared" si="33"/>
        <v>0</v>
      </c>
      <c r="U250" s="989">
        <f t="shared" si="31"/>
        <v>90400</v>
      </c>
      <c r="V250" s="989">
        <f t="shared" si="34"/>
        <v>100</v>
      </c>
      <c r="W250" s="989"/>
      <c r="X250" s="989">
        <f t="shared" si="29"/>
        <v>0</v>
      </c>
      <c r="Y250" s="1012"/>
      <c r="Z250" s="941"/>
      <c r="AA250" s="941"/>
      <c r="AB250" s="941"/>
      <c r="AC250" s="941"/>
      <c r="AD250" s="941"/>
      <c r="AE250" s="941"/>
      <c r="AF250" s="941"/>
      <c r="AG250" s="941"/>
      <c r="AH250" s="941"/>
      <c r="AI250" s="941"/>
      <c r="AJ250" s="941"/>
      <c r="AK250" s="941"/>
      <c r="AL250" s="941"/>
      <c r="AM250" s="941"/>
    </row>
    <row r="251" spans="1:39" s="969" customFormat="1" ht="63" customHeight="1">
      <c r="A251" s="1006">
        <v>133</v>
      </c>
      <c r="B251" s="1007" t="s">
        <v>2857</v>
      </c>
      <c r="C251" s="1008"/>
      <c r="D251" s="1008" t="s">
        <v>3575</v>
      </c>
      <c r="E251" s="1007" t="s">
        <v>1589</v>
      </c>
      <c r="F251" s="1010" t="s">
        <v>576</v>
      </c>
      <c r="G251" s="989">
        <v>45200</v>
      </c>
      <c r="H251" s="937"/>
      <c r="I251" s="1046"/>
      <c r="J251" s="1046"/>
      <c r="K251" s="1047"/>
      <c r="L251" s="1046"/>
      <c r="M251" s="1094"/>
      <c r="N251" s="989">
        <v>45200</v>
      </c>
      <c r="O251" s="989">
        <v>0</v>
      </c>
      <c r="P251" s="989">
        <v>45200</v>
      </c>
      <c r="Q251" s="989">
        <f t="shared" si="30"/>
        <v>45200</v>
      </c>
      <c r="R251" s="989">
        <f t="shared" si="32"/>
        <v>100</v>
      </c>
      <c r="S251" s="1011">
        <v>0</v>
      </c>
      <c r="T251" s="989">
        <f t="shared" si="33"/>
        <v>0</v>
      </c>
      <c r="U251" s="989">
        <f t="shared" si="31"/>
        <v>45200</v>
      </c>
      <c r="V251" s="989">
        <f t="shared" si="34"/>
        <v>100</v>
      </c>
      <c r="W251" s="989"/>
      <c r="X251" s="989">
        <f t="shared" si="29"/>
        <v>0</v>
      </c>
      <c r="Y251" s="1012"/>
      <c r="Z251" s="941"/>
      <c r="AA251" s="941"/>
      <c r="AB251" s="941"/>
      <c r="AC251" s="941"/>
      <c r="AD251" s="941"/>
      <c r="AE251" s="941"/>
      <c r="AF251" s="941"/>
      <c r="AG251" s="941"/>
      <c r="AH251" s="941"/>
      <c r="AI251" s="941"/>
      <c r="AJ251" s="941"/>
      <c r="AK251" s="941"/>
      <c r="AL251" s="941"/>
      <c r="AM251" s="941"/>
    </row>
    <row r="252" spans="1:39" s="969" customFormat="1" ht="63" customHeight="1">
      <c r="A252" s="1006">
        <v>134</v>
      </c>
      <c r="B252" s="1007" t="s">
        <v>2858</v>
      </c>
      <c r="C252" s="1008"/>
      <c r="D252" s="1008" t="s">
        <v>3576</v>
      </c>
      <c r="E252" s="1007" t="s">
        <v>1590</v>
      </c>
      <c r="F252" s="1010" t="s">
        <v>576</v>
      </c>
      <c r="G252" s="989">
        <v>90400</v>
      </c>
      <c r="H252" s="937"/>
      <c r="I252" s="1046"/>
      <c r="J252" s="1046"/>
      <c r="K252" s="1047"/>
      <c r="L252" s="1046"/>
      <c r="M252" s="1094"/>
      <c r="N252" s="989">
        <v>90400</v>
      </c>
      <c r="O252" s="989">
        <v>0</v>
      </c>
      <c r="P252" s="989">
        <v>90400</v>
      </c>
      <c r="Q252" s="989">
        <f t="shared" si="30"/>
        <v>90400</v>
      </c>
      <c r="R252" s="989">
        <f t="shared" si="32"/>
        <v>100</v>
      </c>
      <c r="S252" s="1011">
        <v>0</v>
      </c>
      <c r="T252" s="989">
        <f t="shared" si="33"/>
        <v>0</v>
      </c>
      <c r="U252" s="989">
        <f t="shared" si="31"/>
        <v>90400</v>
      </c>
      <c r="V252" s="989">
        <f t="shared" si="34"/>
        <v>100</v>
      </c>
      <c r="W252" s="989"/>
      <c r="X252" s="989">
        <f t="shared" si="29"/>
        <v>0</v>
      </c>
      <c r="Y252" s="1012"/>
      <c r="Z252" s="941"/>
      <c r="AA252" s="941"/>
      <c r="AB252" s="941"/>
      <c r="AC252" s="941"/>
      <c r="AD252" s="941"/>
      <c r="AE252" s="941"/>
      <c r="AF252" s="941"/>
      <c r="AG252" s="941"/>
      <c r="AH252" s="941"/>
      <c r="AI252" s="941"/>
      <c r="AJ252" s="941"/>
      <c r="AK252" s="941"/>
      <c r="AL252" s="941"/>
      <c r="AM252" s="941"/>
    </row>
    <row r="253" spans="1:39" s="969" customFormat="1" ht="63" customHeight="1">
      <c r="A253" s="1006">
        <v>135</v>
      </c>
      <c r="B253" s="1007" t="s">
        <v>2859</v>
      </c>
      <c r="C253" s="1008"/>
      <c r="D253" s="1008" t="s">
        <v>3577</v>
      </c>
      <c r="E253" s="1007" t="s">
        <v>1591</v>
      </c>
      <c r="F253" s="1010" t="s">
        <v>576</v>
      </c>
      <c r="G253" s="989">
        <v>180800</v>
      </c>
      <c r="H253" s="937"/>
      <c r="I253" s="1046"/>
      <c r="J253" s="1046"/>
      <c r="K253" s="1047"/>
      <c r="L253" s="1046"/>
      <c r="M253" s="1094"/>
      <c r="N253" s="989">
        <v>180800</v>
      </c>
      <c r="O253" s="989">
        <v>0</v>
      </c>
      <c r="P253" s="989">
        <v>180800</v>
      </c>
      <c r="Q253" s="989">
        <f t="shared" si="30"/>
        <v>180800</v>
      </c>
      <c r="R253" s="989">
        <f t="shared" si="32"/>
        <v>100</v>
      </c>
      <c r="S253" s="1011">
        <v>0</v>
      </c>
      <c r="T253" s="989">
        <f t="shared" si="33"/>
        <v>0</v>
      </c>
      <c r="U253" s="989">
        <f t="shared" si="31"/>
        <v>180800</v>
      </c>
      <c r="V253" s="989">
        <f t="shared" si="34"/>
        <v>100</v>
      </c>
      <c r="W253" s="989"/>
      <c r="X253" s="989">
        <f t="shared" si="29"/>
        <v>0</v>
      </c>
      <c r="Y253" s="1012"/>
      <c r="Z253" s="941"/>
      <c r="AA253" s="941"/>
      <c r="AB253" s="941"/>
      <c r="AC253" s="941"/>
      <c r="AD253" s="941"/>
      <c r="AE253" s="941"/>
      <c r="AF253" s="941"/>
      <c r="AG253" s="941"/>
      <c r="AH253" s="941"/>
      <c r="AI253" s="941"/>
      <c r="AJ253" s="941"/>
      <c r="AK253" s="941"/>
      <c r="AL253" s="941"/>
      <c r="AM253" s="941"/>
    </row>
    <row r="254" spans="1:39" s="969" customFormat="1" ht="63" customHeight="1">
      <c r="A254" s="1006">
        <v>136</v>
      </c>
      <c r="B254" s="1007" t="s">
        <v>2860</v>
      </c>
      <c r="C254" s="1008"/>
      <c r="D254" s="1008" t="s">
        <v>3578</v>
      </c>
      <c r="E254" s="1007" t="s">
        <v>1592</v>
      </c>
      <c r="F254" s="1010" t="s">
        <v>576</v>
      </c>
      <c r="G254" s="989">
        <v>45200</v>
      </c>
      <c r="H254" s="937"/>
      <c r="I254" s="1046"/>
      <c r="J254" s="1046"/>
      <c r="K254" s="1047">
        <v>-17900</v>
      </c>
      <c r="L254" s="1046"/>
      <c r="M254" s="1094"/>
      <c r="N254" s="989">
        <f>45200+M254+K254</f>
        <v>27300</v>
      </c>
      <c r="O254" s="989">
        <v>0</v>
      </c>
      <c r="P254" s="989">
        <v>27300</v>
      </c>
      <c r="Q254" s="989">
        <f t="shared" si="30"/>
        <v>27300</v>
      </c>
      <c r="R254" s="989">
        <f t="shared" si="32"/>
        <v>100</v>
      </c>
      <c r="S254" s="1011">
        <v>0</v>
      </c>
      <c r="T254" s="989">
        <f t="shared" si="33"/>
        <v>0</v>
      </c>
      <c r="U254" s="989">
        <f t="shared" si="31"/>
        <v>27300</v>
      </c>
      <c r="V254" s="989">
        <f t="shared" si="34"/>
        <v>100</v>
      </c>
      <c r="W254" s="989"/>
      <c r="X254" s="989">
        <f t="shared" si="29"/>
        <v>0</v>
      </c>
      <c r="Y254" s="1012"/>
      <c r="Z254" s="941"/>
      <c r="AA254" s="941"/>
      <c r="AB254" s="941"/>
      <c r="AC254" s="941"/>
      <c r="AD254" s="941"/>
      <c r="AE254" s="941"/>
      <c r="AF254" s="941"/>
      <c r="AG254" s="941"/>
      <c r="AH254" s="941"/>
      <c r="AI254" s="941"/>
      <c r="AJ254" s="941"/>
      <c r="AK254" s="941"/>
      <c r="AL254" s="941"/>
      <c r="AM254" s="941"/>
    </row>
    <row r="255" spans="1:39" s="969" customFormat="1" ht="63" customHeight="1">
      <c r="A255" s="1006">
        <v>137</v>
      </c>
      <c r="B255" s="1007" t="s">
        <v>2861</v>
      </c>
      <c r="C255" s="1008"/>
      <c r="D255" s="1008" t="s">
        <v>3579</v>
      </c>
      <c r="E255" s="1007" t="s">
        <v>1593</v>
      </c>
      <c r="F255" s="1010" t="s">
        <v>576</v>
      </c>
      <c r="G255" s="989">
        <v>45200</v>
      </c>
      <c r="H255" s="937"/>
      <c r="I255" s="1046"/>
      <c r="J255" s="1046"/>
      <c r="K255" s="1047">
        <v>-16200</v>
      </c>
      <c r="L255" s="1046"/>
      <c r="M255" s="1094">
        <v>-10902</v>
      </c>
      <c r="N255" s="989">
        <f>45200+M255+K255</f>
        <v>18098</v>
      </c>
      <c r="O255" s="989">
        <v>0</v>
      </c>
      <c r="P255" s="989">
        <v>18098</v>
      </c>
      <c r="Q255" s="989">
        <f t="shared" si="30"/>
        <v>18098</v>
      </c>
      <c r="R255" s="989">
        <f t="shared" si="32"/>
        <v>100</v>
      </c>
      <c r="S255" s="1011">
        <v>0</v>
      </c>
      <c r="T255" s="989">
        <f t="shared" si="33"/>
        <v>0</v>
      </c>
      <c r="U255" s="989">
        <f t="shared" si="31"/>
        <v>18098</v>
      </c>
      <c r="V255" s="989">
        <f t="shared" si="34"/>
        <v>100</v>
      </c>
      <c r="W255" s="989"/>
      <c r="X255" s="989">
        <f t="shared" si="29"/>
        <v>0</v>
      </c>
      <c r="Y255" s="1012"/>
      <c r="Z255" s="941"/>
      <c r="AA255" s="941"/>
      <c r="AB255" s="941"/>
      <c r="AC255" s="941"/>
      <c r="AD255" s="941"/>
      <c r="AE255" s="941"/>
      <c r="AF255" s="941"/>
      <c r="AG255" s="941"/>
      <c r="AH255" s="941"/>
      <c r="AI255" s="941"/>
      <c r="AJ255" s="941"/>
      <c r="AK255" s="941"/>
      <c r="AL255" s="941"/>
      <c r="AM255" s="941"/>
    </row>
    <row r="256" spans="1:39" s="969" customFormat="1" ht="63" customHeight="1">
      <c r="A256" s="1006">
        <v>138</v>
      </c>
      <c r="B256" s="1007" t="s">
        <v>1594</v>
      </c>
      <c r="C256" s="1008"/>
      <c r="D256" s="1008" t="s">
        <v>3580</v>
      </c>
      <c r="E256" s="1007" t="s">
        <v>1595</v>
      </c>
      <c r="F256" s="1010" t="s">
        <v>576</v>
      </c>
      <c r="G256" s="989">
        <v>226000</v>
      </c>
      <c r="H256" s="937"/>
      <c r="I256" s="1046"/>
      <c r="J256" s="1046"/>
      <c r="K256" s="1047"/>
      <c r="L256" s="1046"/>
      <c r="M256" s="1094"/>
      <c r="N256" s="989">
        <v>226000</v>
      </c>
      <c r="O256" s="989">
        <v>0</v>
      </c>
      <c r="P256" s="989">
        <v>135600</v>
      </c>
      <c r="Q256" s="989">
        <f t="shared" si="30"/>
        <v>135600</v>
      </c>
      <c r="R256" s="989">
        <f t="shared" si="32"/>
        <v>60</v>
      </c>
      <c r="S256" s="1011">
        <v>90400</v>
      </c>
      <c r="T256" s="989">
        <f t="shared" si="33"/>
        <v>40</v>
      </c>
      <c r="U256" s="989">
        <f t="shared" si="31"/>
        <v>226000</v>
      </c>
      <c r="V256" s="989">
        <f t="shared" si="34"/>
        <v>100</v>
      </c>
      <c r="W256" s="989"/>
      <c r="X256" s="989">
        <f t="shared" si="29"/>
        <v>0</v>
      </c>
      <c r="Y256" s="1012"/>
      <c r="Z256" s="941"/>
      <c r="AA256" s="941"/>
      <c r="AB256" s="941"/>
      <c r="AC256" s="941"/>
      <c r="AD256" s="941"/>
      <c r="AE256" s="941"/>
      <c r="AF256" s="941"/>
      <c r="AG256" s="941"/>
      <c r="AH256" s="941"/>
      <c r="AI256" s="941"/>
      <c r="AJ256" s="941"/>
      <c r="AK256" s="941"/>
      <c r="AL256" s="941"/>
      <c r="AM256" s="941"/>
    </row>
    <row r="257" spans="1:25" ht="63" customHeight="1">
      <c r="A257" s="1006">
        <v>139</v>
      </c>
      <c r="B257" s="1007" t="s">
        <v>2862</v>
      </c>
      <c r="C257" s="1008"/>
      <c r="D257" s="1008" t="s">
        <v>3581</v>
      </c>
      <c r="E257" s="1007" t="s">
        <v>1596</v>
      </c>
      <c r="F257" s="1010" t="s">
        <v>576</v>
      </c>
      <c r="G257" s="989">
        <v>226000</v>
      </c>
      <c r="H257" s="937"/>
      <c r="I257" s="1046"/>
      <c r="J257" s="1046"/>
      <c r="K257" s="1047">
        <v>-16000</v>
      </c>
      <c r="L257" s="1046"/>
      <c r="M257" s="1094"/>
      <c r="N257" s="989">
        <f>226000+M257+K257</f>
        <v>210000</v>
      </c>
      <c r="O257" s="989">
        <v>0</v>
      </c>
      <c r="P257" s="989">
        <v>210000</v>
      </c>
      <c r="Q257" s="989">
        <f t="shared" si="30"/>
        <v>210000</v>
      </c>
      <c r="R257" s="989">
        <f t="shared" si="32"/>
        <v>100</v>
      </c>
      <c r="S257" s="1011">
        <v>0</v>
      </c>
      <c r="T257" s="989">
        <f t="shared" si="33"/>
        <v>0</v>
      </c>
      <c r="U257" s="989">
        <f t="shared" si="31"/>
        <v>210000</v>
      </c>
      <c r="V257" s="989">
        <f t="shared" si="34"/>
        <v>100</v>
      </c>
      <c r="W257" s="989"/>
      <c r="X257" s="989">
        <f t="shared" si="29"/>
        <v>0</v>
      </c>
      <c r="Y257" s="1012"/>
    </row>
    <row r="258" spans="1:25" ht="63" customHeight="1">
      <c r="A258" s="1006">
        <v>140</v>
      </c>
      <c r="B258" s="1007" t="s">
        <v>2863</v>
      </c>
      <c r="C258" s="1008"/>
      <c r="D258" s="1008" t="s">
        <v>3582</v>
      </c>
      <c r="E258" s="1007" t="s">
        <v>3253</v>
      </c>
      <c r="F258" s="1010" t="s">
        <v>566</v>
      </c>
      <c r="G258" s="989">
        <v>180800</v>
      </c>
      <c r="H258" s="937"/>
      <c r="I258" s="1046"/>
      <c r="J258" s="1046"/>
      <c r="K258" s="1047">
        <v>-19700</v>
      </c>
      <c r="L258" s="1046"/>
      <c r="M258" s="1094"/>
      <c r="N258" s="989">
        <f>180800+M258+K258</f>
        <v>161100</v>
      </c>
      <c r="O258" s="989">
        <v>0</v>
      </c>
      <c r="P258" s="989">
        <v>161100</v>
      </c>
      <c r="Q258" s="989">
        <f t="shared" si="30"/>
        <v>161100</v>
      </c>
      <c r="R258" s="989">
        <f t="shared" si="32"/>
        <v>100</v>
      </c>
      <c r="S258" s="1011">
        <v>0</v>
      </c>
      <c r="T258" s="989">
        <f t="shared" si="33"/>
        <v>0</v>
      </c>
      <c r="U258" s="989">
        <f t="shared" si="31"/>
        <v>161100</v>
      </c>
      <c r="V258" s="989">
        <f t="shared" si="34"/>
        <v>100</v>
      </c>
      <c r="W258" s="989"/>
      <c r="X258" s="989">
        <f t="shared" si="29"/>
        <v>0</v>
      </c>
      <c r="Y258" s="1012"/>
    </row>
    <row r="259" spans="1:25" ht="63" customHeight="1">
      <c r="A259" s="1006">
        <v>141</v>
      </c>
      <c r="B259" s="1007" t="s">
        <v>4453</v>
      </c>
      <c r="C259" s="1008"/>
      <c r="D259" s="1008" t="s">
        <v>4454</v>
      </c>
      <c r="E259" s="1007" t="s">
        <v>4368</v>
      </c>
      <c r="F259" s="1010" t="s">
        <v>566</v>
      </c>
      <c r="G259" s="989"/>
      <c r="H259" s="937"/>
      <c r="I259" s="1046"/>
      <c r="J259" s="1046"/>
      <c r="K259" s="1047"/>
      <c r="L259" s="1046"/>
      <c r="M259" s="1094"/>
      <c r="N259" s="989">
        <v>0</v>
      </c>
      <c r="O259" s="989">
        <v>0</v>
      </c>
      <c r="P259" s="989"/>
      <c r="Q259" s="989">
        <f t="shared" si="30"/>
        <v>0</v>
      </c>
      <c r="R259" s="989" t="e">
        <f t="shared" si="32"/>
        <v>#DIV/0!</v>
      </c>
      <c r="S259" s="1011"/>
      <c r="T259" s="989">
        <v>0</v>
      </c>
      <c r="U259" s="989">
        <f t="shared" si="31"/>
        <v>0</v>
      </c>
      <c r="V259" s="989">
        <v>0</v>
      </c>
      <c r="W259" s="989"/>
      <c r="X259" s="989">
        <f t="shared" si="29"/>
        <v>0</v>
      </c>
      <c r="Y259" s="1012"/>
    </row>
    <row r="260" spans="1:25" ht="63" customHeight="1">
      <c r="A260" s="1006">
        <v>142</v>
      </c>
      <c r="B260" s="1007" t="s">
        <v>4455</v>
      </c>
      <c r="C260" s="1008"/>
      <c r="D260" s="1008" t="s">
        <v>4456</v>
      </c>
      <c r="E260" s="1007" t="s">
        <v>4369</v>
      </c>
      <c r="F260" s="1010" t="s">
        <v>566</v>
      </c>
      <c r="G260" s="989"/>
      <c r="H260" s="937"/>
      <c r="I260" s="1046"/>
      <c r="J260" s="1046"/>
      <c r="K260" s="1047"/>
      <c r="L260" s="1046"/>
      <c r="M260" s="1094"/>
      <c r="N260" s="989">
        <v>0</v>
      </c>
      <c r="O260" s="989">
        <v>0</v>
      </c>
      <c r="P260" s="989"/>
      <c r="Q260" s="989">
        <f t="shared" si="30"/>
        <v>0</v>
      </c>
      <c r="R260" s="989" t="e">
        <f t="shared" si="32"/>
        <v>#DIV/0!</v>
      </c>
      <c r="S260" s="1011"/>
      <c r="T260" s="989">
        <v>0</v>
      </c>
      <c r="U260" s="989">
        <f t="shared" si="31"/>
        <v>0</v>
      </c>
      <c r="V260" s="989">
        <v>0</v>
      </c>
      <c r="W260" s="989"/>
      <c r="X260" s="989">
        <f t="shared" si="29"/>
        <v>0</v>
      </c>
      <c r="Y260" s="1012"/>
    </row>
    <row r="261" spans="1:25" ht="63" customHeight="1">
      <c r="A261" s="1006">
        <v>143</v>
      </c>
      <c r="B261" s="1007" t="s">
        <v>2864</v>
      </c>
      <c r="C261" s="1008"/>
      <c r="D261" s="1008" t="s">
        <v>3583</v>
      </c>
      <c r="E261" s="1007" t="s">
        <v>3584</v>
      </c>
      <c r="F261" s="1010" t="s">
        <v>566</v>
      </c>
      <c r="G261" s="989">
        <v>135600</v>
      </c>
      <c r="H261" s="937"/>
      <c r="I261" s="1046"/>
      <c r="J261" s="1046"/>
      <c r="K261" s="1047">
        <f>-18744</f>
        <v>-18744</v>
      </c>
      <c r="L261" s="1046"/>
      <c r="M261" s="1094"/>
      <c r="N261" s="989">
        <f>108600+M261+K261</f>
        <v>89856</v>
      </c>
      <c r="O261" s="989">
        <v>0</v>
      </c>
      <c r="P261" s="989">
        <v>89856</v>
      </c>
      <c r="Q261" s="989">
        <f t="shared" si="30"/>
        <v>89856</v>
      </c>
      <c r="R261" s="989">
        <f t="shared" si="32"/>
        <v>100</v>
      </c>
      <c r="S261" s="1011">
        <v>0</v>
      </c>
      <c r="T261" s="989">
        <f t="shared" si="33"/>
        <v>0</v>
      </c>
      <c r="U261" s="989">
        <f t="shared" si="31"/>
        <v>89856</v>
      </c>
      <c r="V261" s="989">
        <f t="shared" si="34"/>
        <v>100</v>
      </c>
      <c r="W261" s="989"/>
      <c r="X261" s="989">
        <f t="shared" si="29"/>
        <v>0</v>
      </c>
      <c r="Y261" s="1012"/>
    </row>
    <row r="262" spans="1:25" ht="63" customHeight="1">
      <c r="A262" s="1006">
        <v>144</v>
      </c>
      <c r="B262" s="1007" t="s">
        <v>1597</v>
      </c>
      <c r="C262" s="1008"/>
      <c r="D262" s="1008" t="s">
        <v>3585</v>
      </c>
      <c r="E262" s="1007" t="s">
        <v>4338</v>
      </c>
      <c r="F262" s="1010" t="s">
        <v>566</v>
      </c>
      <c r="G262" s="989">
        <v>406800</v>
      </c>
      <c r="H262" s="937"/>
      <c r="I262" s="1046"/>
      <c r="J262" s="1046"/>
      <c r="K262" s="1047">
        <f>-48900-53349.79</f>
        <v>-102249.79000000001</v>
      </c>
      <c r="L262" s="1046"/>
      <c r="M262" s="1094"/>
      <c r="N262" s="989">
        <f>406800+M262+K262</f>
        <v>304550.20999999996</v>
      </c>
      <c r="O262" s="989">
        <v>0</v>
      </c>
      <c r="P262" s="989">
        <v>304550.21000000002</v>
      </c>
      <c r="Q262" s="989">
        <f t="shared" si="30"/>
        <v>304550.21000000002</v>
      </c>
      <c r="R262" s="989">
        <f t="shared" si="32"/>
        <v>100.00000000000003</v>
      </c>
      <c r="S262" s="1011">
        <v>0</v>
      </c>
      <c r="T262" s="989">
        <f t="shared" si="33"/>
        <v>0</v>
      </c>
      <c r="U262" s="989">
        <f t="shared" si="31"/>
        <v>304550.21000000002</v>
      </c>
      <c r="V262" s="989">
        <f t="shared" si="34"/>
        <v>100.00000000000003</v>
      </c>
      <c r="W262" s="989"/>
      <c r="X262" s="989">
        <f t="shared" si="29"/>
        <v>0</v>
      </c>
      <c r="Y262" s="1012"/>
    </row>
    <row r="263" spans="1:25" ht="63" customHeight="1">
      <c r="A263" s="1006">
        <v>145</v>
      </c>
      <c r="B263" s="1007" t="s">
        <v>2865</v>
      </c>
      <c r="C263" s="1008"/>
      <c r="D263" s="1008" t="s">
        <v>3586</v>
      </c>
      <c r="E263" s="1007" t="s">
        <v>3254</v>
      </c>
      <c r="F263" s="1010" t="s">
        <v>566</v>
      </c>
      <c r="G263" s="989">
        <v>406800</v>
      </c>
      <c r="H263" s="937"/>
      <c r="I263" s="1046"/>
      <c r="J263" s="1046"/>
      <c r="K263" s="1047">
        <f>-25700-54000-120425.99-19287.73</f>
        <v>-219413.72</v>
      </c>
      <c r="L263" s="1046"/>
      <c r="M263" s="1094"/>
      <c r="N263" s="989">
        <f>406800+K263+M263</f>
        <v>187386.28</v>
      </c>
      <c r="O263" s="989">
        <v>0</v>
      </c>
      <c r="P263" s="989">
        <v>181306.28</v>
      </c>
      <c r="Q263" s="989">
        <f t="shared" si="30"/>
        <v>181306.28</v>
      </c>
      <c r="R263" s="989">
        <f t="shared" si="32"/>
        <v>96.755365440842311</v>
      </c>
      <c r="S263" s="1011">
        <v>6080</v>
      </c>
      <c r="T263" s="989">
        <f t="shared" si="33"/>
        <v>3.2446345591576926</v>
      </c>
      <c r="U263" s="989">
        <f t="shared" si="31"/>
        <v>187386.28</v>
      </c>
      <c r="V263" s="989">
        <f t="shared" si="34"/>
        <v>100</v>
      </c>
      <c r="W263" s="989"/>
      <c r="X263" s="989">
        <f t="shared" si="29"/>
        <v>0</v>
      </c>
      <c r="Y263" s="1012"/>
    </row>
    <row r="264" spans="1:25" ht="63" customHeight="1">
      <c r="A264" s="1006">
        <v>146</v>
      </c>
      <c r="B264" s="1007" t="s">
        <v>2866</v>
      </c>
      <c r="C264" s="1008"/>
      <c r="D264" s="1008" t="s">
        <v>3587</v>
      </c>
      <c r="E264" s="1007" t="s">
        <v>1598</v>
      </c>
      <c r="F264" s="1010" t="s">
        <v>566</v>
      </c>
      <c r="G264" s="989">
        <v>271200</v>
      </c>
      <c r="H264" s="937"/>
      <c r="I264" s="1046"/>
      <c r="J264" s="1046"/>
      <c r="K264" s="1047">
        <f>-77560-3694.46</f>
        <v>-81254.460000000006</v>
      </c>
      <c r="L264" s="1046"/>
      <c r="M264" s="1094"/>
      <c r="N264" s="989">
        <f>217200+M264+K264</f>
        <v>135945.53999999998</v>
      </c>
      <c r="O264" s="989">
        <v>0</v>
      </c>
      <c r="P264" s="989">
        <v>135945.54</v>
      </c>
      <c r="Q264" s="989">
        <f t="shared" si="30"/>
        <v>135945.54</v>
      </c>
      <c r="R264" s="989">
        <f t="shared" si="32"/>
        <v>100.00000000000003</v>
      </c>
      <c r="S264" s="1011">
        <v>0</v>
      </c>
      <c r="T264" s="989">
        <f t="shared" si="33"/>
        <v>0</v>
      </c>
      <c r="U264" s="989">
        <f t="shared" si="31"/>
        <v>135945.54</v>
      </c>
      <c r="V264" s="989">
        <f t="shared" si="34"/>
        <v>100.00000000000003</v>
      </c>
      <c r="W264" s="989"/>
      <c r="X264" s="989">
        <f t="shared" si="29"/>
        <v>0</v>
      </c>
      <c r="Y264" s="1012"/>
    </row>
    <row r="265" spans="1:25" ht="63" customHeight="1">
      <c r="A265" s="1006">
        <v>147</v>
      </c>
      <c r="B265" s="1007" t="s">
        <v>1599</v>
      </c>
      <c r="C265" s="1008"/>
      <c r="D265" s="1008" t="s">
        <v>3588</v>
      </c>
      <c r="E265" s="1007" t="s">
        <v>3255</v>
      </c>
      <c r="F265" s="1010" t="s">
        <v>566</v>
      </c>
      <c r="G265" s="989">
        <v>45200</v>
      </c>
      <c r="H265" s="937"/>
      <c r="I265" s="1046"/>
      <c r="J265" s="1046"/>
      <c r="K265" s="1047">
        <v>-6601</v>
      </c>
      <c r="L265" s="1046"/>
      <c r="M265" s="1094"/>
      <c r="N265" s="989">
        <f>45200+M265+K265</f>
        <v>38599</v>
      </c>
      <c r="O265" s="989">
        <v>0</v>
      </c>
      <c r="P265" s="989">
        <v>38599</v>
      </c>
      <c r="Q265" s="989">
        <f t="shared" si="30"/>
        <v>38599</v>
      </c>
      <c r="R265" s="989">
        <f t="shared" si="32"/>
        <v>100</v>
      </c>
      <c r="S265" s="1011">
        <v>0</v>
      </c>
      <c r="T265" s="989">
        <f t="shared" si="33"/>
        <v>0</v>
      </c>
      <c r="U265" s="989">
        <f t="shared" si="31"/>
        <v>38599</v>
      </c>
      <c r="V265" s="989">
        <f t="shared" si="34"/>
        <v>100</v>
      </c>
      <c r="W265" s="989"/>
      <c r="X265" s="989">
        <f t="shared" si="29"/>
        <v>0</v>
      </c>
      <c r="Y265" s="1012"/>
    </row>
    <row r="266" spans="1:25" ht="63" customHeight="1">
      <c r="A266" s="1006">
        <v>148</v>
      </c>
      <c r="B266" s="1007" t="s">
        <v>2867</v>
      </c>
      <c r="C266" s="1008"/>
      <c r="D266" s="1008" t="s">
        <v>3589</v>
      </c>
      <c r="E266" s="1007" t="s">
        <v>3256</v>
      </c>
      <c r="F266" s="1010" t="s">
        <v>566</v>
      </c>
      <c r="G266" s="989">
        <v>135600</v>
      </c>
      <c r="H266" s="937"/>
      <c r="I266" s="1046"/>
      <c r="J266" s="1046"/>
      <c r="K266" s="1047">
        <v>-33700</v>
      </c>
      <c r="L266" s="1046"/>
      <c r="M266" s="1094"/>
      <c r="N266" s="989">
        <f>135600+M266+K266</f>
        <v>101900</v>
      </c>
      <c r="O266" s="989">
        <v>0</v>
      </c>
      <c r="P266" s="989">
        <v>101900</v>
      </c>
      <c r="Q266" s="989">
        <f t="shared" si="30"/>
        <v>101900</v>
      </c>
      <c r="R266" s="989">
        <f t="shared" si="32"/>
        <v>100</v>
      </c>
      <c r="S266" s="1011">
        <v>0</v>
      </c>
      <c r="T266" s="989">
        <f t="shared" si="33"/>
        <v>0</v>
      </c>
      <c r="U266" s="989">
        <f t="shared" si="31"/>
        <v>101900</v>
      </c>
      <c r="V266" s="989">
        <f t="shared" si="34"/>
        <v>100</v>
      </c>
      <c r="W266" s="989"/>
      <c r="X266" s="989">
        <f t="shared" si="29"/>
        <v>0</v>
      </c>
      <c r="Y266" s="1012"/>
    </row>
    <row r="267" spans="1:25" ht="63" customHeight="1">
      <c r="A267" s="1006">
        <v>149</v>
      </c>
      <c r="B267" s="1007" t="s">
        <v>4457</v>
      </c>
      <c r="C267" s="1008"/>
      <c r="D267" s="1008" t="s">
        <v>4458</v>
      </c>
      <c r="E267" s="1007" t="s">
        <v>4370</v>
      </c>
      <c r="F267" s="1010" t="s">
        <v>4371</v>
      </c>
      <c r="G267" s="989"/>
      <c r="H267" s="937"/>
      <c r="I267" s="1046"/>
      <c r="J267" s="1046"/>
      <c r="K267" s="1047"/>
      <c r="L267" s="1046"/>
      <c r="M267" s="1094"/>
      <c r="N267" s="989">
        <v>0</v>
      </c>
      <c r="O267" s="989">
        <v>0</v>
      </c>
      <c r="P267" s="989"/>
      <c r="Q267" s="989">
        <f t="shared" si="30"/>
        <v>0</v>
      </c>
      <c r="R267" s="989" t="e">
        <f t="shared" si="32"/>
        <v>#DIV/0!</v>
      </c>
      <c r="S267" s="1011"/>
      <c r="T267" s="989"/>
      <c r="U267" s="989">
        <f t="shared" si="31"/>
        <v>0</v>
      </c>
      <c r="V267" s="989"/>
      <c r="W267" s="989"/>
      <c r="X267" s="989">
        <f t="shared" si="29"/>
        <v>0</v>
      </c>
      <c r="Y267" s="1012"/>
    </row>
    <row r="268" spans="1:25" ht="63" customHeight="1">
      <c r="A268" s="1006">
        <v>150</v>
      </c>
      <c r="B268" s="1007" t="s">
        <v>4459</v>
      </c>
      <c r="C268" s="1008"/>
      <c r="D268" s="1008" t="s">
        <v>4460</v>
      </c>
      <c r="E268" s="1007" t="s">
        <v>4372</v>
      </c>
      <c r="F268" s="1010" t="s">
        <v>4371</v>
      </c>
      <c r="G268" s="989"/>
      <c r="H268" s="937"/>
      <c r="I268" s="1046"/>
      <c r="J268" s="1046"/>
      <c r="K268" s="1047"/>
      <c r="L268" s="1046"/>
      <c r="M268" s="1094"/>
      <c r="N268" s="989">
        <v>0</v>
      </c>
      <c r="O268" s="989">
        <v>0</v>
      </c>
      <c r="P268" s="989"/>
      <c r="Q268" s="989">
        <f t="shared" si="30"/>
        <v>0</v>
      </c>
      <c r="R268" s="989" t="e">
        <f t="shared" si="32"/>
        <v>#DIV/0!</v>
      </c>
      <c r="S268" s="1011"/>
      <c r="T268" s="989"/>
      <c r="U268" s="989">
        <f t="shared" si="31"/>
        <v>0</v>
      </c>
      <c r="V268" s="989"/>
      <c r="W268" s="989"/>
      <c r="X268" s="989">
        <f t="shared" si="29"/>
        <v>0</v>
      </c>
      <c r="Y268" s="1012"/>
    </row>
    <row r="269" spans="1:25" ht="63" customHeight="1">
      <c r="A269" s="1006">
        <v>151</v>
      </c>
      <c r="B269" s="1007" t="s">
        <v>4461</v>
      </c>
      <c r="C269" s="1008"/>
      <c r="D269" s="1008" t="s">
        <v>4462</v>
      </c>
      <c r="E269" s="1007" t="s">
        <v>4373</v>
      </c>
      <c r="F269" s="1010" t="s">
        <v>4371</v>
      </c>
      <c r="G269" s="989"/>
      <c r="H269" s="937"/>
      <c r="I269" s="1046"/>
      <c r="J269" s="1046"/>
      <c r="K269" s="1047"/>
      <c r="L269" s="1046"/>
      <c r="M269" s="1094"/>
      <c r="N269" s="989">
        <v>0</v>
      </c>
      <c r="O269" s="989">
        <v>0</v>
      </c>
      <c r="P269" s="989"/>
      <c r="Q269" s="989">
        <f t="shared" si="30"/>
        <v>0</v>
      </c>
      <c r="R269" s="989" t="e">
        <f t="shared" si="32"/>
        <v>#DIV/0!</v>
      </c>
      <c r="S269" s="1011"/>
      <c r="T269" s="989"/>
      <c r="U269" s="989">
        <f t="shared" si="31"/>
        <v>0</v>
      </c>
      <c r="V269" s="989"/>
      <c r="W269" s="989"/>
      <c r="X269" s="989">
        <f t="shared" si="29"/>
        <v>0</v>
      </c>
      <c r="Y269" s="1012"/>
    </row>
    <row r="270" spans="1:25" ht="63" customHeight="1">
      <c r="A270" s="1006">
        <v>152</v>
      </c>
      <c r="B270" s="1007" t="s">
        <v>4463</v>
      </c>
      <c r="C270" s="1008"/>
      <c r="D270" s="1008" t="s">
        <v>4464</v>
      </c>
      <c r="E270" s="1007" t="s">
        <v>4374</v>
      </c>
      <c r="F270" s="1010" t="s">
        <v>4371</v>
      </c>
      <c r="G270" s="989"/>
      <c r="H270" s="937"/>
      <c r="I270" s="1046"/>
      <c r="J270" s="1046"/>
      <c r="K270" s="1047"/>
      <c r="L270" s="1046"/>
      <c r="M270" s="1094"/>
      <c r="N270" s="989">
        <v>0</v>
      </c>
      <c r="O270" s="989">
        <v>0</v>
      </c>
      <c r="P270" s="989"/>
      <c r="Q270" s="989">
        <f t="shared" si="30"/>
        <v>0</v>
      </c>
      <c r="R270" s="989" t="e">
        <f t="shared" si="32"/>
        <v>#DIV/0!</v>
      </c>
      <c r="S270" s="1011"/>
      <c r="T270" s="989"/>
      <c r="U270" s="989">
        <f t="shared" si="31"/>
        <v>0</v>
      </c>
      <c r="V270" s="989"/>
      <c r="W270" s="989"/>
      <c r="X270" s="989">
        <f t="shared" si="29"/>
        <v>0</v>
      </c>
      <c r="Y270" s="1012"/>
    </row>
    <row r="271" spans="1:25" ht="63" customHeight="1">
      <c r="A271" s="1006">
        <v>153</v>
      </c>
      <c r="B271" s="1007" t="s">
        <v>4465</v>
      </c>
      <c r="C271" s="1008"/>
      <c r="D271" s="1008" t="s">
        <v>4466</v>
      </c>
      <c r="E271" s="1007" t="s">
        <v>4375</v>
      </c>
      <c r="F271" s="1095" t="s">
        <v>1378</v>
      </c>
      <c r="G271" s="989">
        <f>104000-104000</f>
        <v>0</v>
      </c>
      <c r="H271" s="937"/>
      <c r="I271" s="1046"/>
      <c r="J271" s="1046"/>
      <c r="K271" s="1047"/>
      <c r="L271" s="1046"/>
      <c r="M271" s="1094"/>
      <c r="N271" s="989">
        <v>0</v>
      </c>
      <c r="O271" s="989">
        <v>0</v>
      </c>
      <c r="P271" s="989"/>
      <c r="Q271" s="989">
        <f t="shared" si="30"/>
        <v>0</v>
      </c>
      <c r="R271" s="989" t="e">
        <f t="shared" si="32"/>
        <v>#DIV/0!</v>
      </c>
      <c r="S271" s="1011"/>
      <c r="T271" s="989"/>
      <c r="U271" s="989">
        <f t="shared" si="31"/>
        <v>0</v>
      </c>
      <c r="V271" s="989"/>
      <c r="W271" s="989"/>
      <c r="X271" s="989">
        <f t="shared" si="29"/>
        <v>0</v>
      </c>
      <c r="Y271" s="1012"/>
    </row>
    <row r="272" spans="1:25" ht="63" customHeight="1">
      <c r="A272" s="1006">
        <v>154</v>
      </c>
      <c r="B272" s="1007" t="s">
        <v>1600</v>
      </c>
      <c r="C272" s="1008"/>
      <c r="D272" s="1008" t="s">
        <v>3590</v>
      </c>
      <c r="E272" s="1007" t="s">
        <v>1601</v>
      </c>
      <c r="F272" s="1010" t="s">
        <v>1385</v>
      </c>
      <c r="G272" s="989">
        <v>104000</v>
      </c>
      <c r="H272" s="937"/>
      <c r="I272" s="1046"/>
      <c r="J272" s="1046"/>
      <c r="K272" s="1047">
        <v>-1000</v>
      </c>
      <c r="L272" s="1046"/>
      <c r="M272" s="1094"/>
      <c r="N272" s="989">
        <f>104000+M272+K272</f>
        <v>103000</v>
      </c>
      <c r="O272" s="989">
        <v>0</v>
      </c>
      <c r="P272" s="989">
        <v>103000</v>
      </c>
      <c r="Q272" s="989">
        <f t="shared" si="30"/>
        <v>103000</v>
      </c>
      <c r="R272" s="989">
        <f t="shared" si="32"/>
        <v>100</v>
      </c>
      <c r="S272" s="1011">
        <v>0</v>
      </c>
      <c r="T272" s="989">
        <f t="shared" si="33"/>
        <v>0</v>
      </c>
      <c r="U272" s="989">
        <f t="shared" si="31"/>
        <v>103000</v>
      </c>
      <c r="V272" s="989">
        <f t="shared" si="34"/>
        <v>100</v>
      </c>
      <c r="W272" s="989"/>
      <c r="X272" s="989">
        <f t="shared" si="29"/>
        <v>0</v>
      </c>
      <c r="Y272" s="1012"/>
    </row>
    <row r="273" spans="1:25" ht="63" customHeight="1">
      <c r="A273" s="1006">
        <v>155</v>
      </c>
      <c r="B273" s="1007" t="s">
        <v>2868</v>
      </c>
      <c r="C273" s="1008"/>
      <c r="D273" s="1008" t="s">
        <v>3591</v>
      </c>
      <c r="E273" s="1007" t="s">
        <v>1602</v>
      </c>
      <c r="F273" s="1010" t="s">
        <v>1385</v>
      </c>
      <c r="G273" s="989">
        <v>104000</v>
      </c>
      <c r="H273" s="937"/>
      <c r="I273" s="1046"/>
      <c r="J273" s="1046"/>
      <c r="K273" s="1047"/>
      <c r="L273" s="1046"/>
      <c r="M273" s="1094"/>
      <c r="N273" s="989">
        <v>104000</v>
      </c>
      <c r="O273" s="989">
        <v>0</v>
      </c>
      <c r="P273" s="989">
        <v>104000</v>
      </c>
      <c r="Q273" s="989">
        <f t="shared" si="30"/>
        <v>104000</v>
      </c>
      <c r="R273" s="989">
        <f t="shared" si="32"/>
        <v>100</v>
      </c>
      <c r="S273" s="1011">
        <v>0</v>
      </c>
      <c r="T273" s="989">
        <f t="shared" si="33"/>
        <v>0</v>
      </c>
      <c r="U273" s="989">
        <f t="shared" si="31"/>
        <v>104000</v>
      </c>
      <c r="V273" s="989">
        <f t="shared" si="34"/>
        <v>100</v>
      </c>
      <c r="W273" s="989"/>
      <c r="X273" s="989">
        <f t="shared" si="29"/>
        <v>0</v>
      </c>
      <c r="Y273" s="1012"/>
    </row>
    <row r="274" spans="1:25" ht="63" customHeight="1">
      <c r="A274" s="1006">
        <v>156</v>
      </c>
      <c r="B274" s="1007" t="s">
        <v>1603</v>
      </c>
      <c r="C274" s="1008"/>
      <c r="D274" s="1008" t="s">
        <v>3592</v>
      </c>
      <c r="E274" s="1007" t="s">
        <v>1604</v>
      </c>
      <c r="F274" s="1010" t="s">
        <v>559</v>
      </c>
      <c r="G274" s="989">
        <v>208000</v>
      </c>
      <c r="H274" s="937"/>
      <c r="I274" s="1046"/>
      <c r="J274" s="1046"/>
      <c r="K274" s="1047"/>
      <c r="L274" s="1046"/>
      <c r="M274" s="1094"/>
      <c r="N274" s="989">
        <v>208000</v>
      </c>
      <c r="O274" s="989">
        <v>208000</v>
      </c>
      <c r="P274" s="989"/>
      <c r="Q274" s="989">
        <f t="shared" si="30"/>
        <v>208000</v>
      </c>
      <c r="R274" s="989">
        <f t="shared" si="32"/>
        <v>100</v>
      </c>
      <c r="S274" s="1011"/>
      <c r="T274" s="989">
        <f t="shared" si="33"/>
        <v>0</v>
      </c>
      <c r="U274" s="989">
        <f t="shared" si="31"/>
        <v>208000</v>
      </c>
      <c r="V274" s="989">
        <f t="shared" si="34"/>
        <v>100</v>
      </c>
      <c r="W274" s="989"/>
      <c r="X274" s="989">
        <f t="shared" si="29"/>
        <v>0</v>
      </c>
      <c r="Y274" s="1012"/>
    </row>
    <row r="275" spans="1:25" ht="63" customHeight="1">
      <c r="A275" s="1006">
        <v>157</v>
      </c>
      <c r="B275" s="1007" t="s">
        <v>1605</v>
      </c>
      <c r="C275" s="1008"/>
      <c r="D275" s="1008" t="s">
        <v>3593</v>
      </c>
      <c r="E275" s="1007" t="s">
        <v>1606</v>
      </c>
      <c r="F275" s="1010" t="s">
        <v>559</v>
      </c>
      <c r="G275" s="989">
        <v>208000</v>
      </c>
      <c r="H275" s="937"/>
      <c r="I275" s="1046"/>
      <c r="J275" s="1046"/>
      <c r="K275" s="1047">
        <v>-76792.45</v>
      </c>
      <c r="L275" s="1046"/>
      <c r="M275" s="1094"/>
      <c r="N275" s="989">
        <f>208000+M275+K275</f>
        <v>131207.54999999999</v>
      </c>
      <c r="O275" s="989">
        <v>0</v>
      </c>
      <c r="P275" s="989">
        <v>131207.54999999999</v>
      </c>
      <c r="Q275" s="989">
        <f t="shared" si="30"/>
        <v>131207.54999999999</v>
      </c>
      <c r="R275" s="989">
        <f t="shared" si="32"/>
        <v>100</v>
      </c>
      <c r="S275" s="1011">
        <v>0</v>
      </c>
      <c r="T275" s="989">
        <f t="shared" si="33"/>
        <v>0</v>
      </c>
      <c r="U275" s="989">
        <f t="shared" si="31"/>
        <v>131207.54999999999</v>
      </c>
      <c r="V275" s="989">
        <f t="shared" si="34"/>
        <v>100</v>
      </c>
      <c r="W275" s="989"/>
      <c r="X275" s="989">
        <f t="shared" si="29"/>
        <v>0</v>
      </c>
      <c r="Y275" s="1012"/>
    </row>
    <row r="276" spans="1:25" ht="63" customHeight="1">
      <c r="A276" s="1006">
        <v>158</v>
      </c>
      <c r="B276" s="1007" t="s">
        <v>2869</v>
      </c>
      <c r="C276" s="1008"/>
      <c r="D276" s="1008" t="s">
        <v>3594</v>
      </c>
      <c r="E276" s="1007" t="s">
        <v>1607</v>
      </c>
      <c r="F276" s="1010" t="s">
        <v>559</v>
      </c>
      <c r="G276" s="989">
        <v>208000</v>
      </c>
      <c r="H276" s="937"/>
      <c r="I276" s="1046"/>
      <c r="J276" s="1046"/>
      <c r="K276" s="1047">
        <v>-12500</v>
      </c>
      <c r="L276" s="1046"/>
      <c r="M276" s="1094"/>
      <c r="N276" s="989">
        <f>208000+M276+K276</f>
        <v>195500</v>
      </c>
      <c r="O276" s="989">
        <v>0</v>
      </c>
      <c r="P276" s="989">
        <v>195500</v>
      </c>
      <c r="Q276" s="989">
        <f t="shared" si="30"/>
        <v>195500</v>
      </c>
      <c r="R276" s="989">
        <f t="shared" si="32"/>
        <v>100</v>
      </c>
      <c r="S276" s="1011">
        <v>0</v>
      </c>
      <c r="T276" s="989">
        <f t="shared" si="33"/>
        <v>0</v>
      </c>
      <c r="U276" s="989">
        <f t="shared" si="31"/>
        <v>195500</v>
      </c>
      <c r="V276" s="989">
        <f t="shared" si="34"/>
        <v>100</v>
      </c>
      <c r="W276" s="989"/>
      <c r="X276" s="989">
        <f t="shared" si="29"/>
        <v>0</v>
      </c>
      <c r="Y276" s="1012"/>
    </row>
    <row r="277" spans="1:25" ht="63" customHeight="1">
      <c r="A277" s="1006">
        <v>159</v>
      </c>
      <c r="B277" s="1007" t="s">
        <v>1608</v>
      </c>
      <c r="C277" s="1008"/>
      <c r="D277" s="1008" t="s">
        <v>3595</v>
      </c>
      <c r="E277" s="1007" t="s">
        <v>1609</v>
      </c>
      <c r="F277" s="1010" t="s">
        <v>559</v>
      </c>
      <c r="G277" s="989">
        <v>312000</v>
      </c>
      <c r="H277" s="937"/>
      <c r="I277" s="1046"/>
      <c r="J277" s="1046"/>
      <c r="K277" s="1047">
        <v>-12482.41</v>
      </c>
      <c r="L277" s="1046"/>
      <c r="M277" s="1094"/>
      <c r="N277" s="989">
        <f>312000+M277+K277</f>
        <v>299517.59000000003</v>
      </c>
      <c r="O277" s="989">
        <v>208000</v>
      </c>
      <c r="P277" s="989">
        <v>91517.59</v>
      </c>
      <c r="Q277" s="989">
        <f t="shared" si="30"/>
        <v>299517.58999999997</v>
      </c>
      <c r="R277" s="989">
        <f t="shared" si="32"/>
        <v>99.999999999999972</v>
      </c>
      <c r="S277" s="1011">
        <v>0</v>
      </c>
      <c r="T277" s="989">
        <f t="shared" si="33"/>
        <v>0</v>
      </c>
      <c r="U277" s="989">
        <f t="shared" si="31"/>
        <v>299517.58999999997</v>
      </c>
      <c r="V277" s="989">
        <f t="shared" si="34"/>
        <v>99.999999999999972</v>
      </c>
      <c r="W277" s="989"/>
      <c r="X277" s="989">
        <f t="shared" si="29"/>
        <v>0</v>
      </c>
      <c r="Y277" s="1012"/>
    </row>
    <row r="278" spans="1:25" ht="63" customHeight="1">
      <c r="A278" s="1006">
        <v>160</v>
      </c>
      <c r="B278" s="1007" t="s">
        <v>1610</v>
      </c>
      <c r="C278" s="1008"/>
      <c r="D278" s="1008" t="s">
        <v>3596</v>
      </c>
      <c r="E278" s="1007" t="s">
        <v>1611</v>
      </c>
      <c r="F278" s="1010" t="s">
        <v>559</v>
      </c>
      <c r="G278" s="989">
        <v>104000</v>
      </c>
      <c r="H278" s="937"/>
      <c r="I278" s="1046"/>
      <c r="J278" s="1046"/>
      <c r="K278" s="1047"/>
      <c r="L278" s="1046"/>
      <c r="M278" s="1094"/>
      <c r="N278" s="989">
        <v>104000</v>
      </c>
      <c r="O278" s="989">
        <v>104000</v>
      </c>
      <c r="P278" s="989"/>
      <c r="Q278" s="989">
        <f t="shared" si="30"/>
        <v>104000</v>
      </c>
      <c r="R278" s="989">
        <f t="shared" si="32"/>
        <v>100</v>
      </c>
      <c r="S278" s="1011"/>
      <c r="T278" s="989">
        <f t="shared" si="33"/>
        <v>0</v>
      </c>
      <c r="U278" s="989">
        <f t="shared" si="31"/>
        <v>104000</v>
      </c>
      <c r="V278" s="989">
        <f t="shared" si="34"/>
        <v>100</v>
      </c>
      <c r="W278" s="989"/>
      <c r="X278" s="989">
        <f t="shared" si="29"/>
        <v>0</v>
      </c>
      <c r="Y278" s="1012"/>
    </row>
    <row r="279" spans="1:25" ht="63" customHeight="1">
      <c r="A279" s="1006">
        <v>161</v>
      </c>
      <c r="B279" s="1007" t="s">
        <v>2870</v>
      </c>
      <c r="C279" s="1008"/>
      <c r="D279" s="1008" t="s">
        <v>3597</v>
      </c>
      <c r="E279" s="1007" t="s">
        <v>1612</v>
      </c>
      <c r="F279" s="1010" t="s">
        <v>559</v>
      </c>
      <c r="G279" s="989">
        <v>104000</v>
      </c>
      <c r="H279" s="937"/>
      <c r="I279" s="1046"/>
      <c r="J279" s="1046"/>
      <c r="K279" s="1047">
        <v>-13312</v>
      </c>
      <c r="L279" s="1046"/>
      <c r="M279" s="1094"/>
      <c r="N279" s="989">
        <f>104000+M279+K279</f>
        <v>90688</v>
      </c>
      <c r="O279" s="989">
        <v>0</v>
      </c>
      <c r="P279" s="989">
        <v>90688</v>
      </c>
      <c r="Q279" s="989">
        <f t="shared" si="30"/>
        <v>90688</v>
      </c>
      <c r="R279" s="989">
        <f t="shared" si="32"/>
        <v>100</v>
      </c>
      <c r="S279" s="1011">
        <v>0</v>
      </c>
      <c r="T279" s="989">
        <f t="shared" si="33"/>
        <v>0</v>
      </c>
      <c r="U279" s="989">
        <f t="shared" si="31"/>
        <v>90688</v>
      </c>
      <c r="V279" s="989">
        <f t="shared" si="34"/>
        <v>100</v>
      </c>
      <c r="W279" s="989"/>
      <c r="X279" s="989">
        <f t="shared" si="29"/>
        <v>0</v>
      </c>
      <c r="Y279" s="1012"/>
    </row>
    <row r="280" spans="1:25" ht="63" customHeight="1">
      <c r="A280" s="1006">
        <v>162</v>
      </c>
      <c r="B280" s="1007" t="s">
        <v>1613</v>
      </c>
      <c r="C280" s="1008"/>
      <c r="D280" s="1008" t="s">
        <v>3598</v>
      </c>
      <c r="E280" s="1007" t="s">
        <v>1614</v>
      </c>
      <c r="F280" s="1010" t="s">
        <v>559</v>
      </c>
      <c r="G280" s="989">
        <v>936000</v>
      </c>
      <c r="H280" s="937"/>
      <c r="I280" s="1046"/>
      <c r="J280" s="1046"/>
      <c r="K280" s="1047"/>
      <c r="L280" s="1046"/>
      <c r="M280" s="1094"/>
      <c r="N280" s="989">
        <v>936000</v>
      </c>
      <c r="O280" s="989">
        <v>936000</v>
      </c>
      <c r="P280" s="989"/>
      <c r="Q280" s="989">
        <f t="shared" si="30"/>
        <v>936000</v>
      </c>
      <c r="R280" s="989">
        <f t="shared" si="32"/>
        <v>100</v>
      </c>
      <c r="S280" s="1011"/>
      <c r="T280" s="989">
        <f t="shared" si="33"/>
        <v>0</v>
      </c>
      <c r="U280" s="989">
        <f t="shared" si="31"/>
        <v>936000</v>
      </c>
      <c r="V280" s="989">
        <f t="shared" si="34"/>
        <v>100</v>
      </c>
      <c r="W280" s="989"/>
      <c r="X280" s="989">
        <f t="shared" si="29"/>
        <v>0</v>
      </c>
      <c r="Y280" s="1012"/>
    </row>
    <row r="281" spans="1:25" ht="63" customHeight="1">
      <c r="A281" s="1006">
        <v>163</v>
      </c>
      <c r="B281" s="1007" t="s">
        <v>1615</v>
      </c>
      <c r="C281" s="1008"/>
      <c r="D281" s="1008" t="s">
        <v>3599</v>
      </c>
      <c r="E281" s="1007" t="s">
        <v>1616</v>
      </c>
      <c r="F281" s="1010" t="s">
        <v>559</v>
      </c>
      <c r="G281" s="989">
        <v>104000</v>
      </c>
      <c r="H281" s="937"/>
      <c r="I281" s="1046"/>
      <c r="J281" s="1046"/>
      <c r="K281" s="1047"/>
      <c r="L281" s="1046"/>
      <c r="M281" s="1094"/>
      <c r="N281" s="989">
        <v>104000</v>
      </c>
      <c r="O281" s="989">
        <v>104000</v>
      </c>
      <c r="P281" s="989"/>
      <c r="Q281" s="989">
        <f t="shared" si="30"/>
        <v>104000</v>
      </c>
      <c r="R281" s="989">
        <f t="shared" si="32"/>
        <v>100</v>
      </c>
      <c r="S281" s="1011"/>
      <c r="T281" s="989">
        <f t="shared" si="33"/>
        <v>0</v>
      </c>
      <c r="U281" s="989">
        <f t="shared" si="31"/>
        <v>104000</v>
      </c>
      <c r="V281" s="989">
        <f t="shared" si="34"/>
        <v>100</v>
      </c>
      <c r="W281" s="989"/>
      <c r="X281" s="989">
        <f t="shared" si="29"/>
        <v>0</v>
      </c>
      <c r="Y281" s="1012"/>
    </row>
    <row r="282" spans="1:25" ht="63" customHeight="1">
      <c r="A282" s="1006">
        <v>164</v>
      </c>
      <c r="B282" s="1007" t="s">
        <v>2871</v>
      </c>
      <c r="C282" s="1008"/>
      <c r="D282" s="1008" t="s">
        <v>3600</v>
      </c>
      <c r="E282" s="1007" t="s">
        <v>1617</v>
      </c>
      <c r="F282" s="1010" t="s">
        <v>559</v>
      </c>
      <c r="G282" s="989">
        <v>312000</v>
      </c>
      <c r="H282" s="937"/>
      <c r="I282" s="1046"/>
      <c r="J282" s="1046"/>
      <c r="K282" s="1047"/>
      <c r="L282" s="1046"/>
      <c r="M282" s="1094"/>
      <c r="N282" s="989">
        <v>312000</v>
      </c>
      <c r="O282" s="989">
        <v>312000</v>
      </c>
      <c r="P282" s="989"/>
      <c r="Q282" s="989">
        <f t="shared" si="30"/>
        <v>312000</v>
      </c>
      <c r="R282" s="989">
        <f t="shared" si="32"/>
        <v>100</v>
      </c>
      <c r="S282" s="1011"/>
      <c r="T282" s="989">
        <f t="shared" si="33"/>
        <v>0</v>
      </c>
      <c r="U282" s="989">
        <f t="shared" si="31"/>
        <v>312000</v>
      </c>
      <c r="V282" s="989">
        <f t="shared" si="34"/>
        <v>100</v>
      </c>
      <c r="W282" s="989"/>
      <c r="X282" s="989">
        <f t="shared" si="29"/>
        <v>0</v>
      </c>
      <c r="Y282" s="1012"/>
    </row>
    <row r="283" spans="1:25" s="950" customFormat="1" ht="63" customHeight="1">
      <c r="A283" s="1006">
        <v>165</v>
      </c>
      <c r="B283" s="1007" t="s">
        <v>4467</v>
      </c>
      <c r="C283" s="1008"/>
      <c r="D283" s="1008" t="s">
        <v>4468</v>
      </c>
      <c r="E283" s="1007" t="s">
        <v>4376</v>
      </c>
      <c r="F283" s="1010" t="s">
        <v>568</v>
      </c>
      <c r="G283" s="989"/>
      <c r="H283" s="937"/>
      <c r="I283" s="1046"/>
      <c r="J283" s="1046"/>
      <c r="K283" s="1047"/>
      <c r="L283" s="1046"/>
      <c r="M283" s="1094"/>
      <c r="N283" s="989">
        <v>0</v>
      </c>
      <c r="O283" s="989">
        <v>0</v>
      </c>
      <c r="P283" s="989"/>
      <c r="Q283" s="989">
        <f t="shared" si="30"/>
        <v>0</v>
      </c>
      <c r="R283" s="989" t="e">
        <f t="shared" si="32"/>
        <v>#DIV/0!</v>
      </c>
      <c r="S283" s="1011"/>
      <c r="T283" s="989"/>
      <c r="U283" s="989">
        <f t="shared" si="31"/>
        <v>0</v>
      </c>
      <c r="V283" s="989"/>
      <c r="W283" s="989"/>
      <c r="X283" s="989">
        <f t="shared" si="29"/>
        <v>0</v>
      </c>
      <c r="Y283" s="1012"/>
    </row>
    <row r="284" spans="1:25" ht="63" customHeight="1">
      <c r="A284" s="1006">
        <v>166</v>
      </c>
      <c r="B284" s="1007" t="s">
        <v>1618</v>
      </c>
      <c r="C284" s="1008"/>
      <c r="D284" s="1008" t="s">
        <v>3601</v>
      </c>
      <c r="E284" s="1007" t="s">
        <v>1619</v>
      </c>
      <c r="F284" s="1010" t="s">
        <v>568</v>
      </c>
      <c r="G284" s="989">
        <v>208000</v>
      </c>
      <c r="H284" s="937"/>
      <c r="I284" s="1046"/>
      <c r="J284" s="1046"/>
      <c r="K284" s="1047">
        <v>-57800</v>
      </c>
      <c r="L284" s="1046"/>
      <c r="M284" s="1094"/>
      <c r="N284" s="989">
        <f>208000+M284+K284</f>
        <v>150200</v>
      </c>
      <c r="O284" s="989">
        <v>150200</v>
      </c>
      <c r="P284" s="989">
        <v>0</v>
      </c>
      <c r="Q284" s="989">
        <f t="shared" si="30"/>
        <v>150200</v>
      </c>
      <c r="R284" s="989">
        <f t="shared" si="32"/>
        <v>100</v>
      </c>
      <c r="S284" s="1011">
        <v>0</v>
      </c>
      <c r="T284" s="989">
        <f t="shared" si="33"/>
        <v>0</v>
      </c>
      <c r="U284" s="989">
        <f t="shared" si="31"/>
        <v>150200</v>
      </c>
      <c r="V284" s="989">
        <f t="shared" si="34"/>
        <v>100</v>
      </c>
      <c r="W284" s="989"/>
      <c r="X284" s="989">
        <f t="shared" si="29"/>
        <v>0</v>
      </c>
      <c r="Y284" s="1012"/>
    </row>
    <row r="285" spans="1:25" ht="63" customHeight="1">
      <c r="A285" s="1006">
        <v>167</v>
      </c>
      <c r="B285" s="1007" t="s">
        <v>1620</v>
      </c>
      <c r="C285" s="1008"/>
      <c r="D285" s="1008" t="s">
        <v>3602</v>
      </c>
      <c r="E285" s="1007" t="s">
        <v>1621</v>
      </c>
      <c r="F285" s="1010" t="s">
        <v>568</v>
      </c>
      <c r="G285" s="989">
        <v>104000</v>
      </c>
      <c r="H285" s="937"/>
      <c r="I285" s="1046"/>
      <c r="J285" s="1046"/>
      <c r="K285" s="1047">
        <v>-4808.08</v>
      </c>
      <c r="L285" s="1046"/>
      <c r="M285" s="1094"/>
      <c r="N285" s="989">
        <f>104000+M285+K285</f>
        <v>99191.92</v>
      </c>
      <c r="O285" s="989">
        <v>0</v>
      </c>
      <c r="P285" s="989">
        <v>99191.92</v>
      </c>
      <c r="Q285" s="989">
        <f t="shared" si="30"/>
        <v>99191.92</v>
      </c>
      <c r="R285" s="989">
        <f t="shared" si="32"/>
        <v>100</v>
      </c>
      <c r="S285" s="1011">
        <v>0</v>
      </c>
      <c r="T285" s="989">
        <f t="shared" si="33"/>
        <v>0</v>
      </c>
      <c r="U285" s="989">
        <f t="shared" si="31"/>
        <v>99191.92</v>
      </c>
      <c r="V285" s="989">
        <f t="shared" si="34"/>
        <v>100</v>
      </c>
      <c r="W285" s="989"/>
      <c r="X285" s="989">
        <f t="shared" si="29"/>
        <v>0</v>
      </c>
      <c r="Y285" s="1012"/>
    </row>
    <row r="286" spans="1:25" ht="63" customHeight="1">
      <c r="A286" s="1006">
        <v>168</v>
      </c>
      <c r="B286" s="1007" t="s">
        <v>1622</v>
      </c>
      <c r="C286" s="1008"/>
      <c r="D286" s="1008" t="s">
        <v>3603</v>
      </c>
      <c r="E286" s="1007" t="s">
        <v>3257</v>
      </c>
      <c r="F286" s="1010" t="s">
        <v>568</v>
      </c>
      <c r="G286" s="989">
        <v>104000</v>
      </c>
      <c r="H286" s="937"/>
      <c r="I286" s="1046"/>
      <c r="J286" s="1046"/>
      <c r="K286" s="1047">
        <v>-32000</v>
      </c>
      <c r="L286" s="1046"/>
      <c r="M286" s="1094"/>
      <c r="N286" s="989">
        <f>104000+M286+K286</f>
        <v>72000</v>
      </c>
      <c r="O286" s="989">
        <v>72000</v>
      </c>
      <c r="P286" s="989">
        <v>0</v>
      </c>
      <c r="Q286" s="989">
        <f t="shared" si="30"/>
        <v>72000</v>
      </c>
      <c r="R286" s="989">
        <f t="shared" si="32"/>
        <v>100</v>
      </c>
      <c r="S286" s="1011">
        <v>0</v>
      </c>
      <c r="T286" s="989">
        <f t="shared" si="33"/>
        <v>0</v>
      </c>
      <c r="U286" s="989">
        <f t="shared" si="31"/>
        <v>72000</v>
      </c>
      <c r="V286" s="989">
        <f t="shared" si="34"/>
        <v>100</v>
      </c>
      <c r="W286" s="989"/>
      <c r="X286" s="989">
        <f t="shared" si="29"/>
        <v>0</v>
      </c>
      <c r="Y286" s="1012"/>
    </row>
    <row r="287" spans="1:25" ht="63" customHeight="1">
      <c r="A287" s="1006">
        <v>169</v>
      </c>
      <c r="B287" s="1007" t="s">
        <v>2872</v>
      </c>
      <c r="C287" s="1008"/>
      <c r="D287" s="1008" t="s">
        <v>3604</v>
      </c>
      <c r="E287" s="1007" t="s">
        <v>1623</v>
      </c>
      <c r="F287" s="1010" t="s">
        <v>568</v>
      </c>
      <c r="G287" s="989">
        <v>104000</v>
      </c>
      <c r="H287" s="937"/>
      <c r="I287" s="1046"/>
      <c r="J287" s="1046"/>
      <c r="K287" s="1047"/>
      <c r="L287" s="1046"/>
      <c r="M287" s="1094"/>
      <c r="N287" s="989">
        <v>104000</v>
      </c>
      <c r="O287" s="989">
        <v>0</v>
      </c>
      <c r="P287" s="989">
        <v>104000</v>
      </c>
      <c r="Q287" s="989">
        <f t="shared" si="30"/>
        <v>104000</v>
      </c>
      <c r="R287" s="989">
        <f t="shared" si="32"/>
        <v>100</v>
      </c>
      <c r="S287" s="1011">
        <v>0</v>
      </c>
      <c r="T287" s="989">
        <f t="shared" si="33"/>
        <v>0</v>
      </c>
      <c r="U287" s="989">
        <f t="shared" si="31"/>
        <v>104000</v>
      </c>
      <c r="V287" s="989">
        <f t="shared" si="34"/>
        <v>100</v>
      </c>
      <c r="W287" s="989"/>
      <c r="X287" s="989">
        <f t="shared" si="29"/>
        <v>0</v>
      </c>
      <c r="Y287" s="1012"/>
    </row>
    <row r="288" spans="1:25" ht="63" customHeight="1">
      <c r="A288" s="1006">
        <v>170</v>
      </c>
      <c r="B288" s="1007" t="s">
        <v>2873</v>
      </c>
      <c r="C288" s="1008"/>
      <c r="D288" s="1008" t="s">
        <v>3605</v>
      </c>
      <c r="E288" s="1007" t="s">
        <v>4339</v>
      </c>
      <c r="F288" s="1010" t="s">
        <v>554</v>
      </c>
      <c r="G288" s="989">
        <v>728000</v>
      </c>
      <c r="H288" s="937"/>
      <c r="I288" s="1046"/>
      <c r="J288" s="1046"/>
      <c r="K288" s="1047">
        <f>-28100-2000</f>
        <v>-30100</v>
      </c>
      <c r="L288" s="1046"/>
      <c r="M288" s="1094">
        <v>-2600</v>
      </c>
      <c r="N288" s="989">
        <f>728000+K288+M288</f>
        <v>695300</v>
      </c>
      <c r="O288" s="989">
        <v>0</v>
      </c>
      <c r="P288" s="989">
        <v>695300</v>
      </c>
      <c r="Q288" s="989">
        <f t="shared" si="30"/>
        <v>695300</v>
      </c>
      <c r="R288" s="989">
        <f t="shared" si="32"/>
        <v>100</v>
      </c>
      <c r="S288" s="1011">
        <v>0</v>
      </c>
      <c r="T288" s="989">
        <f t="shared" si="33"/>
        <v>0</v>
      </c>
      <c r="U288" s="989">
        <f t="shared" si="31"/>
        <v>695300</v>
      </c>
      <c r="V288" s="989">
        <f t="shared" si="34"/>
        <v>100</v>
      </c>
      <c r="W288" s="989"/>
      <c r="X288" s="989">
        <f t="shared" si="29"/>
        <v>0</v>
      </c>
      <c r="Y288" s="1012"/>
    </row>
    <row r="289" spans="1:39" s="969" customFormat="1" ht="63" customHeight="1">
      <c r="A289" s="1006">
        <v>171</v>
      </c>
      <c r="B289" s="1007" t="s">
        <v>1624</v>
      </c>
      <c r="C289" s="1008"/>
      <c r="D289" s="1008" t="s">
        <v>3606</v>
      </c>
      <c r="E289" s="1007" t="s">
        <v>1625</v>
      </c>
      <c r="F289" s="1010" t="s">
        <v>554</v>
      </c>
      <c r="G289" s="989">
        <v>520000</v>
      </c>
      <c r="H289" s="937"/>
      <c r="I289" s="1046"/>
      <c r="J289" s="1046"/>
      <c r="K289" s="1047">
        <v>-30851</v>
      </c>
      <c r="L289" s="1046"/>
      <c r="M289" s="1094"/>
      <c r="N289" s="989">
        <f>520000+M289+K289</f>
        <v>489149</v>
      </c>
      <c r="O289" s="989">
        <v>489149</v>
      </c>
      <c r="P289" s="989">
        <v>0</v>
      </c>
      <c r="Q289" s="989">
        <f t="shared" si="30"/>
        <v>489149</v>
      </c>
      <c r="R289" s="989">
        <f t="shared" si="32"/>
        <v>100</v>
      </c>
      <c r="S289" s="1011">
        <v>0</v>
      </c>
      <c r="T289" s="989">
        <f t="shared" si="33"/>
        <v>0</v>
      </c>
      <c r="U289" s="989">
        <f t="shared" si="31"/>
        <v>489149</v>
      </c>
      <c r="V289" s="989">
        <f t="shared" si="34"/>
        <v>100</v>
      </c>
      <c r="W289" s="989"/>
      <c r="X289" s="989">
        <f t="shared" si="29"/>
        <v>0</v>
      </c>
      <c r="Y289" s="1012"/>
      <c r="Z289" s="941"/>
      <c r="AA289" s="941"/>
      <c r="AB289" s="941"/>
      <c r="AC289" s="941"/>
      <c r="AD289" s="941"/>
      <c r="AE289" s="941"/>
      <c r="AF289" s="941"/>
      <c r="AG289" s="941"/>
      <c r="AH289" s="941"/>
      <c r="AI289" s="941"/>
      <c r="AJ289" s="941"/>
      <c r="AK289" s="941"/>
      <c r="AL289" s="941"/>
      <c r="AM289" s="941"/>
    </row>
    <row r="290" spans="1:39" s="969" customFormat="1" ht="63" customHeight="1">
      <c r="A290" s="1006">
        <v>172</v>
      </c>
      <c r="B290" s="1007" t="s">
        <v>1626</v>
      </c>
      <c r="C290" s="1008"/>
      <c r="D290" s="1008" t="s">
        <v>3607</v>
      </c>
      <c r="E290" s="1007" t="s">
        <v>1627</v>
      </c>
      <c r="F290" s="1010" t="s">
        <v>554</v>
      </c>
      <c r="G290" s="989">
        <v>312000</v>
      </c>
      <c r="H290" s="937"/>
      <c r="I290" s="1046"/>
      <c r="J290" s="1046"/>
      <c r="K290" s="1047">
        <f>-64200.82</f>
        <v>-64200.82</v>
      </c>
      <c r="L290" s="1046"/>
      <c r="M290" s="1094"/>
      <c r="N290" s="989">
        <f>294762+M290+K290</f>
        <v>230561.18</v>
      </c>
      <c r="O290" s="989">
        <v>230561.18</v>
      </c>
      <c r="P290" s="989">
        <v>0</v>
      </c>
      <c r="Q290" s="989">
        <f t="shared" si="30"/>
        <v>230561.18</v>
      </c>
      <c r="R290" s="989">
        <f t="shared" si="32"/>
        <v>100</v>
      </c>
      <c r="S290" s="1011">
        <v>0</v>
      </c>
      <c r="T290" s="989">
        <f t="shared" si="33"/>
        <v>0</v>
      </c>
      <c r="U290" s="989">
        <f t="shared" si="31"/>
        <v>230561.18</v>
      </c>
      <c r="V290" s="989">
        <f t="shared" si="34"/>
        <v>100</v>
      </c>
      <c r="W290" s="989"/>
      <c r="X290" s="989">
        <f t="shared" si="29"/>
        <v>0</v>
      </c>
      <c r="Y290" s="1012"/>
      <c r="Z290" s="941"/>
      <c r="AA290" s="941"/>
      <c r="AB290" s="941"/>
      <c r="AC290" s="941"/>
      <c r="AD290" s="941"/>
      <c r="AE290" s="941"/>
      <c r="AF290" s="941"/>
      <c r="AG290" s="941"/>
      <c r="AH290" s="941"/>
      <c r="AI290" s="941"/>
      <c r="AJ290" s="941"/>
      <c r="AK290" s="941"/>
      <c r="AL290" s="941"/>
      <c r="AM290" s="941"/>
    </row>
    <row r="291" spans="1:39" s="969" customFormat="1" ht="63" customHeight="1">
      <c r="A291" s="1006">
        <v>173</v>
      </c>
      <c r="B291" s="1007" t="s">
        <v>1628</v>
      </c>
      <c r="C291" s="1008"/>
      <c r="D291" s="1008" t="s">
        <v>3608</v>
      </c>
      <c r="E291" s="1007" t="s">
        <v>4340</v>
      </c>
      <c r="F291" s="1010" t="s">
        <v>554</v>
      </c>
      <c r="G291" s="989">
        <v>624000</v>
      </c>
      <c r="H291" s="937"/>
      <c r="I291" s="1046"/>
      <c r="J291" s="1046"/>
      <c r="K291" s="1047">
        <f>-54000-157000</f>
        <v>-211000</v>
      </c>
      <c r="L291" s="1046"/>
      <c r="M291" s="1094">
        <v>-56758</v>
      </c>
      <c r="N291" s="989">
        <f>624000+K291+M291</f>
        <v>356242</v>
      </c>
      <c r="O291" s="989">
        <v>0</v>
      </c>
      <c r="P291" s="989">
        <v>356242</v>
      </c>
      <c r="Q291" s="989">
        <f t="shared" si="30"/>
        <v>356242</v>
      </c>
      <c r="R291" s="989">
        <f t="shared" si="32"/>
        <v>100</v>
      </c>
      <c r="S291" s="1011">
        <v>0</v>
      </c>
      <c r="T291" s="989">
        <f t="shared" si="33"/>
        <v>0</v>
      </c>
      <c r="U291" s="989">
        <f t="shared" si="31"/>
        <v>356242</v>
      </c>
      <c r="V291" s="989">
        <f t="shared" si="34"/>
        <v>100</v>
      </c>
      <c r="W291" s="989"/>
      <c r="X291" s="989">
        <f t="shared" si="29"/>
        <v>0</v>
      </c>
      <c r="Y291" s="1012"/>
      <c r="Z291" s="941"/>
      <c r="AA291" s="941"/>
      <c r="AB291" s="941"/>
      <c r="AC291" s="941"/>
      <c r="AD291" s="941"/>
      <c r="AE291" s="941"/>
      <c r="AF291" s="941"/>
      <c r="AG291" s="941"/>
      <c r="AH291" s="941"/>
      <c r="AI291" s="941"/>
      <c r="AJ291" s="941"/>
      <c r="AK291" s="941"/>
      <c r="AL291" s="941"/>
      <c r="AM291" s="941"/>
    </row>
    <row r="292" spans="1:39" s="969" customFormat="1" ht="63" customHeight="1">
      <c r="A292" s="1006">
        <v>174</v>
      </c>
      <c r="B292" s="1007" t="s">
        <v>2874</v>
      </c>
      <c r="C292" s="1008"/>
      <c r="D292" s="1008" t="s">
        <v>3609</v>
      </c>
      <c r="E292" s="1007" t="s">
        <v>1629</v>
      </c>
      <c r="F292" s="1010" t="s">
        <v>554</v>
      </c>
      <c r="G292" s="989">
        <v>520000</v>
      </c>
      <c r="H292" s="937"/>
      <c r="I292" s="1046"/>
      <c r="J292" s="1046"/>
      <c r="K292" s="1047"/>
      <c r="L292" s="1046"/>
      <c r="M292" s="1094"/>
      <c r="N292" s="989">
        <v>520000</v>
      </c>
      <c r="O292" s="989">
        <v>0</v>
      </c>
      <c r="P292" s="989">
        <v>520000</v>
      </c>
      <c r="Q292" s="989">
        <f t="shared" si="30"/>
        <v>520000</v>
      </c>
      <c r="R292" s="989">
        <f t="shared" si="32"/>
        <v>100</v>
      </c>
      <c r="S292" s="1011">
        <v>0</v>
      </c>
      <c r="T292" s="989">
        <f t="shared" si="33"/>
        <v>0</v>
      </c>
      <c r="U292" s="989">
        <f t="shared" si="31"/>
        <v>520000</v>
      </c>
      <c r="V292" s="989">
        <f t="shared" si="34"/>
        <v>100</v>
      </c>
      <c r="W292" s="989"/>
      <c r="X292" s="989">
        <f t="shared" si="29"/>
        <v>0</v>
      </c>
      <c r="Y292" s="1012"/>
      <c r="Z292" s="941"/>
      <c r="AA292" s="941"/>
      <c r="AB292" s="941"/>
      <c r="AC292" s="941"/>
      <c r="AD292" s="941"/>
      <c r="AE292" s="941"/>
      <c r="AF292" s="941"/>
      <c r="AG292" s="941"/>
      <c r="AH292" s="941"/>
      <c r="AI292" s="941"/>
      <c r="AJ292" s="941"/>
      <c r="AK292" s="941"/>
      <c r="AL292" s="941"/>
      <c r="AM292" s="941"/>
    </row>
    <row r="293" spans="1:39" s="969" customFormat="1" ht="63" customHeight="1">
      <c r="A293" s="1006">
        <v>175</v>
      </c>
      <c r="B293" s="1007" t="s">
        <v>1630</v>
      </c>
      <c r="C293" s="1008"/>
      <c r="D293" s="1008" t="s">
        <v>3610</v>
      </c>
      <c r="E293" s="1007" t="s">
        <v>1631</v>
      </c>
      <c r="F293" s="1010" t="s">
        <v>554</v>
      </c>
      <c r="G293" s="989">
        <v>416000</v>
      </c>
      <c r="H293" s="937"/>
      <c r="I293" s="1046"/>
      <c r="J293" s="1046"/>
      <c r="K293" s="1047">
        <f>-104831</f>
        <v>-104831</v>
      </c>
      <c r="L293" s="1046"/>
      <c r="M293" s="1094">
        <v>-43841</v>
      </c>
      <c r="N293" s="989">
        <f>380000+M293+K293</f>
        <v>231328</v>
      </c>
      <c r="O293" s="989">
        <v>0</v>
      </c>
      <c r="P293" s="989">
        <v>231328</v>
      </c>
      <c r="Q293" s="989">
        <f t="shared" si="30"/>
        <v>231328</v>
      </c>
      <c r="R293" s="989">
        <f t="shared" si="32"/>
        <v>100</v>
      </c>
      <c r="S293" s="1011">
        <v>0</v>
      </c>
      <c r="T293" s="989">
        <f t="shared" si="33"/>
        <v>0</v>
      </c>
      <c r="U293" s="989">
        <f t="shared" si="31"/>
        <v>231328</v>
      </c>
      <c r="V293" s="989">
        <f t="shared" si="34"/>
        <v>100</v>
      </c>
      <c r="W293" s="989"/>
      <c r="X293" s="989">
        <f t="shared" si="29"/>
        <v>0</v>
      </c>
      <c r="Y293" s="1012"/>
      <c r="Z293" s="941"/>
      <c r="AA293" s="941"/>
      <c r="AB293" s="941"/>
      <c r="AC293" s="941"/>
      <c r="AD293" s="941"/>
      <c r="AE293" s="941"/>
      <c r="AF293" s="941"/>
      <c r="AG293" s="941"/>
      <c r="AH293" s="941"/>
      <c r="AI293" s="941"/>
      <c r="AJ293" s="941"/>
      <c r="AK293" s="941"/>
      <c r="AL293" s="941"/>
      <c r="AM293" s="941"/>
    </row>
    <row r="294" spans="1:39" s="969" customFormat="1" ht="63" customHeight="1">
      <c r="A294" s="1006">
        <v>176</v>
      </c>
      <c r="B294" s="1007" t="s">
        <v>1632</v>
      </c>
      <c r="C294" s="1008"/>
      <c r="D294" s="1008" t="s">
        <v>3611</v>
      </c>
      <c r="E294" s="1007" t="s">
        <v>1633</v>
      </c>
      <c r="F294" s="1010" t="s">
        <v>554</v>
      </c>
      <c r="G294" s="989">
        <f>1768000-577097</f>
        <v>1190903</v>
      </c>
      <c r="H294" s="937"/>
      <c r="I294" s="1046"/>
      <c r="J294" s="1046"/>
      <c r="K294" s="1047">
        <f>-123190-577097</f>
        <v>-700287</v>
      </c>
      <c r="L294" s="1046"/>
      <c r="M294" s="1094">
        <f>-346913-230184+577097</f>
        <v>0</v>
      </c>
      <c r="N294" s="989">
        <f>1768000+M294+K294</f>
        <v>1067713</v>
      </c>
      <c r="O294" s="989">
        <v>0</v>
      </c>
      <c r="P294" s="989">
        <v>1067713</v>
      </c>
      <c r="Q294" s="989">
        <f t="shared" si="30"/>
        <v>1067713</v>
      </c>
      <c r="R294" s="989">
        <f t="shared" si="32"/>
        <v>100</v>
      </c>
      <c r="S294" s="1011">
        <v>0</v>
      </c>
      <c r="T294" s="989">
        <f t="shared" si="33"/>
        <v>0</v>
      </c>
      <c r="U294" s="989">
        <f t="shared" si="31"/>
        <v>1067713</v>
      </c>
      <c r="V294" s="989">
        <f t="shared" si="34"/>
        <v>100</v>
      </c>
      <c r="W294" s="989"/>
      <c r="X294" s="989">
        <f t="shared" si="29"/>
        <v>0</v>
      </c>
      <c r="Y294" s="1012"/>
      <c r="Z294" s="941"/>
      <c r="AA294" s="941"/>
      <c r="AB294" s="941"/>
      <c r="AC294" s="941"/>
      <c r="AD294" s="941"/>
      <c r="AE294" s="941"/>
      <c r="AF294" s="941"/>
      <c r="AG294" s="941"/>
      <c r="AH294" s="941"/>
      <c r="AI294" s="941"/>
      <c r="AJ294" s="941"/>
      <c r="AK294" s="941"/>
      <c r="AL294" s="941"/>
      <c r="AM294" s="941"/>
    </row>
    <row r="295" spans="1:39" s="969" customFormat="1" ht="63" customHeight="1">
      <c r="A295" s="1006">
        <v>177</v>
      </c>
      <c r="B295" s="1007" t="s">
        <v>2875</v>
      </c>
      <c r="C295" s="1008"/>
      <c r="D295" s="1008" t="s">
        <v>3612</v>
      </c>
      <c r="E295" s="1007" t="s">
        <v>1634</v>
      </c>
      <c r="F295" s="1010" t="s">
        <v>554</v>
      </c>
      <c r="G295" s="989">
        <v>312000</v>
      </c>
      <c r="H295" s="937"/>
      <c r="I295" s="1046"/>
      <c r="J295" s="1046"/>
      <c r="K295" s="1047">
        <v>-27000</v>
      </c>
      <c r="L295" s="1046"/>
      <c r="M295" s="1094"/>
      <c r="N295" s="989">
        <f>312000+K295</f>
        <v>285000</v>
      </c>
      <c r="O295" s="989">
        <v>0</v>
      </c>
      <c r="P295" s="989">
        <v>285000</v>
      </c>
      <c r="Q295" s="989">
        <f t="shared" si="30"/>
        <v>285000</v>
      </c>
      <c r="R295" s="989">
        <f t="shared" si="32"/>
        <v>100</v>
      </c>
      <c r="S295" s="1011">
        <v>0</v>
      </c>
      <c r="T295" s="989">
        <f t="shared" si="33"/>
        <v>0</v>
      </c>
      <c r="U295" s="989">
        <f t="shared" si="31"/>
        <v>285000</v>
      </c>
      <c r="V295" s="989">
        <f t="shared" si="34"/>
        <v>100</v>
      </c>
      <c r="W295" s="989"/>
      <c r="X295" s="989">
        <f t="shared" si="29"/>
        <v>0</v>
      </c>
      <c r="Y295" s="1012"/>
      <c r="Z295" s="941"/>
      <c r="AA295" s="941"/>
      <c r="AB295" s="941"/>
      <c r="AC295" s="941"/>
      <c r="AD295" s="941"/>
      <c r="AE295" s="941"/>
      <c r="AF295" s="941"/>
      <c r="AG295" s="941"/>
      <c r="AH295" s="941"/>
      <c r="AI295" s="941"/>
      <c r="AJ295" s="941"/>
      <c r="AK295" s="941"/>
      <c r="AL295" s="941"/>
      <c r="AM295" s="941"/>
    </row>
    <row r="296" spans="1:39" s="969" customFormat="1" ht="63" customHeight="1">
      <c r="A296" s="1006">
        <v>178</v>
      </c>
      <c r="B296" s="1007" t="s">
        <v>2876</v>
      </c>
      <c r="C296" s="1008"/>
      <c r="D296" s="1008" t="s">
        <v>3613</v>
      </c>
      <c r="E296" s="1007" t="s">
        <v>1635</v>
      </c>
      <c r="F296" s="1010" t="s">
        <v>554</v>
      </c>
      <c r="G296" s="989">
        <v>1144000</v>
      </c>
      <c r="H296" s="937"/>
      <c r="I296" s="1046"/>
      <c r="J296" s="1046"/>
      <c r="K296" s="1047">
        <f>-182582</f>
        <v>-182582</v>
      </c>
      <c r="L296" s="1046"/>
      <c r="M296" s="1094"/>
      <c r="N296" s="989">
        <f>1070600+M296+K296</f>
        <v>888018</v>
      </c>
      <c r="O296" s="989">
        <v>606781</v>
      </c>
      <c r="P296" s="989">
        <v>281237</v>
      </c>
      <c r="Q296" s="989">
        <f t="shared" si="30"/>
        <v>888018</v>
      </c>
      <c r="R296" s="989">
        <f t="shared" si="32"/>
        <v>100</v>
      </c>
      <c r="S296" s="1011">
        <v>0</v>
      </c>
      <c r="T296" s="989">
        <f t="shared" si="33"/>
        <v>0</v>
      </c>
      <c r="U296" s="989">
        <f t="shared" si="31"/>
        <v>888018</v>
      </c>
      <c r="V296" s="989">
        <f t="shared" si="34"/>
        <v>100</v>
      </c>
      <c r="W296" s="989"/>
      <c r="X296" s="989">
        <f t="shared" si="29"/>
        <v>0</v>
      </c>
      <c r="Y296" s="1012"/>
      <c r="Z296" s="941"/>
      <c r="AA296" s="941"/>
      <c r="AB296" s="941"/>
      <c r="AC296" s="941"/>
      <c r="AD296" s="941"/>
      <c r="AE296" s="941"/>
      <c r="AF296" s="941"/>
      <c r="AG296" s="941"/>
      <c r="AH296" s="941"/>
      <c r="AI296" s="941"/>
      <c r="AJ296" s="941"/>
      <c r="AK296" s="941"/>
      <c r="AL296" s="941"/>
      <c r="AM296" s="941"/>
    </row>
    <row r="297" spans="1:39" s="969" customFormat="1" ht="63" customHeight="1">
      <c r="A297" s="1006">
        <v>179</v>
      </c>
      <c r="B297" s="1007" t="s">
        <v>2877</v>
      </c>
      <c r="C297" s="1008"/>
      <c r="D297" s="1008" t="s">
        <v>3614</v>
      </c>
      <c r="E297" s="1007" t="s">
        <v>4341</v>
      </c>
      <c r="F297" s="1010" t="s">
        <v>554</v>
      </c>
      <c r="G297" s="989">
        <v>832000</v>
      </c>
      <c r="H297" s="937"/>
      <c r="I297" s="1046"/>
      <c r="J297" s="1046"/>
      <c r="K297" s="1047">
        <f>-48000-92068.69</f>
        <v>-140068.69</v>
      </c>
      <c r="L297" s="1046"/>
      <c r="M297" s="1094"/>
      <c r="N297" s="989">
        <f>832000+K297+M297</f>
        <v>691931.31</v>
      </c>
      <c r="O297" s="989">
        <v>0</v>
      </c>
      <c r="P297" s="989">
        <v>691931.31</v>
      </c>
      <c r="Q297" s="989">
        <f t="shared" si="30"/>
        <v>691931.31</v>
      </c>
      <c r="R297" s="989">
        <f t="shared" si="32"/>
        <v>100</v>
      </c>
      <c r="S297" s="1011">
        <v>0</v>
      </c>
      <c r="T297" s="989">
        <f t="shared" si="33"/>
        <v>0</v>
      </c>
      <c r="U297" s="989">
        <f t="shared" si="31"/>
        <v>691931.31</v>
      </c>
      <c r="V297" s="989">
        <f t="shared" si="34"/>
        <v>100</v>
      </c>
      <c r="W297" s="989"/>
      <c r="X297" s="989">
        <f t="shared" si="29"/>
        <v>0</v>
      </c>
      <c r="Y297" s="1012"/>
      <c r="Z297" s="941"/>
      <c r="AA297" s="941"/>
      <c r="AB297" s="941"/>
      <c r="AC297" s="941"/>
      <c r="AD297" s="941"/>
      <c r="AE297" s="941"/>
      <c r="AF297" s="941"/>
      <c r="AG297" s="941"/>
      <c r="AH297" s="941"/>
      <c r="AI297" s="941"/>
      <c r="AJ297" s="941"/>
      <c r="AK297" s="941"/>
      <c r="AL297" s="941"/>
      <c r="AM297" s="941"/>
    </row>
    <row r="298" spans="1:39" s="969" customFormat="1" ht="63" customHeight="1">
      <c r="A298" s="1006">
        <v>180</v>
      </c>
      <c r="B298" s="1007" t="s">
        <v>2878</v>
      </c>
      <c r="C298" s="1008"/>
      <c r="D298" s="1008" t="s">
        <v>3615</v>
      </c>
      <c r="E298" s="1007" t="s">
        <v>1636</v>
      </c>
      <c r="F298" s="1010" t="s">
        <v>554</v>
      </c>
      <c r="G298" s="989">
        <v>104000</v>
      </c>
      <c r="H298" s="937"/>
      <c r="I298" s="1046"/>
      <c r="J298" s="1046"/>
      <c r="K298" s="1047">
        <f>-52488.77</f>
        <v>-52488.77</v>
      </c>
      <c r="L298" s="1046"/>
      <c r="M298" s="1094"/>
      <c r="N298" s="989">
        <f>95000+M298+K298</f>
        <v>42511.23</v>
      </c>
      <c r="O298" s="989">
        <v>42511.23</v>
      </c>
      <c r="P298" s="989">
        <v>0</v>
      </c>
      <c r="Q298" s="989">
        <f t="shared" si="30"/>
        <v>42511.23</v>
      </c>
      <c r="R298" s="989">
        <f t="shared" si="32"/>
        <v>100</v>
      </c>
      <c r="S298" s="1011">
        <v>0</v>
      </c>
      <c r="T298" s="989">
        <f t="shared" si="33"/>
        <v>0</v>
      </c>
      <c r="U298" s="989">
        <f t="shared" si="31"/>
        <v>42511.23</v>
      </c>
      <c r="V298" s="989">
        <f t="shared" si="34"/>
        <v>100</v>
      </c>
      <c r="W298" s="989"/>
      <c r="X298" s="989">
        <f t="shared" si="29"/>
        <v>0</v>
      </c>
      <c r="Y298" s="1012"/>
      <c r="Z298" s="941"/>
      <c r="AA298" s="941"/>
      <c r="AB298" s="941"/>
      <c r="AC298" s="941"/>
      <c r="AD298" s="941"/>
      <c r="AE298" s="941"/>
      <c r="AF298" s="941"/>
      <c r="AG298" s="941"/>
      <c r="AH298" s="941"/>
      <c r="AI298" s="941"/>
      <c r="AJ298" s="941"/>
      <c r="AK298" s="941"/>
      <c r="AL298" s="941"/>
      <c r="AM298" s="941"/>
    </row>
    <row r="299" spans="1:39" s="969" customFormat="1" ht="63" customHeight="1">
      <c r="A299" s="1006">
        <v>181</v>
      </c>
      <c r="B299" s="1007" t="s">
        <v>1637</v>
      </c>
      <c r="C299" s="1008"/>
      <c r="D299" s="1008" t="s">
        <v>3616</v>
      </c>
      <c r="E299" s="1007" t="s">
        <v>1638</v>
      </c>
      <c r="F299" s="1010" t="s">
        <v>554</v>
      </c>
      <c r="G299" s="989">
        <v>1144000</v>
      </c>
      <c r="H299" s="937"/>
      <c r="I299" s="1046"/>
      <c r="J299" s="1046"/>
      <c r="K299" s="1047">
        <f>-90000-314573.13</f>
        <v>-404573.13</v>
      </c>
      <c r="L299" s="1046"/>
      <c r="M299" s="1094"/>
      <c r="N299" s="989">
        <f>1144000+M299+K299</f>
        <v>739426.87</v>
      </c>
      <c r="O299" s="989">
        <v>270600</v>
      </c>
      <c r="P299" s="989">
        <v>468826.87</v>
      </c>
      <c r="Q299" s="989">
        <f t="shared" si="30"/>
        <v>739426.87</v>
      </c>
      <c r="R299" s="989">
        <f t="shared" si="32"/>
        <v>100</v>
      </c>
      <c r="S299" s="1011">
        <v>0</v>
      </c>
      <c r="T299" s="989">
        <f t="shared" si="33"/>
        <v>0</v>
      </c>
      <c r="U299" s="989">
        <f t="shared" si="31"/>
        <v>739426.87</v>
      </c>
      <c r="V299" s="989">
        <f t="shared" si="34"/>
        <v>100</v>
      </c>
      <c r="W299" s="989"/>
      <c r="X299" s="989">
        <f t="shared" si="29"/>
        <v>0</v>
      </c>
      <c r="Y299" s="1012"/>
      <c r="Z299" s="941"/>
      <c r="AA299" s="941"/>
      <c r="AB299" s="941"/>
      <c r="AC299" s="941"/>
      <c r="AD299" s="941"/>
      <c r="AE299" s="941"/>
      <c r="AF299" s="941"/>
      <c r="AG299" s="941"/>
      <c r="AH299" s="941"/>
      <c r="AI299" s="941"/>
      <c r="AJ299" s="941"/>
      <c r="AK299" s="941"/>
      <c r="AL299" s="941"/>
      <c r="AM299" s="941"/>
    </row>
    <row r="300" spans="1:39" s="969" customFormat="1" ht="63" customHeight="1">
      <c r="A300" s="1006">
        <v>182</v>
      </c>
      <c r="B300" s="1007" t="s">
        <v>2879</v>
      </c>
      <c r="C300" s="1008"/>
      <c r="D300" s="1008" t="s">
        <v>3617</v>
      </c>
      <c r="E300" s="1007" t="s">
        <v>1639</v>
      </c>
      <c r="F300" s="1010" t="s">
        <v>554</v>
      </c>
      <c r="G300" s="989">
        <v>208000</v>
      </c>
      <c r="H300" s="937"/>
      <c r="I300" s="1046"/>
      <c r="J300" s="1046"/>
      <c r="K300" s="1047">
        <v>-17600</v>
      </c>
      <c r="L300" s="1046"/>
      <c r="M300" s="1094"/>
      <c r="N300" s="989">
        <f>G300+K300+L300+M300</f>
        <v>190400</v>
      </c>
      <c r="O300" s="989">
        <v>0</v>
      </c>
      <c r="P300" s="989">
        <v>190400</v>
      </c>
      <c r="Q300" s="989">
        <f t="shared" si="30"/>
        <v>190400</v>
      </c>
      <c r="R300" s="989">
        <f t="shared" si="32"/>
        <v>100</v>
      </c>
      <c r="S300" s="1011">
        <v>0</v>
      </c>
      <c r="T300" s="989">
        <f t="shared" si="33"/>
        <v>0</v>
      </c>
      <c r="U300" s="989">
        <f t="shared" si="31"/>
        <v>190400</v>
      </c>
      <c r="V300" s="989">
        <f t="shared" si="34"/>
        <v>100</v>
      </c>
      <c r="W300" s="989"/>
      <c r="X300" s="989">
        <f t="shared" si="29"/>
        <v>0</v>
      </c>
      <c r="Y300" s="1012"/>
      <c r="Z300" s="941"/>
      <c r="AA300" s="941"/>
      <c r="AB300" s="941"/>
      <c r="AC300" s="941"/>
      <c r="AD300" s="941"/>
      <c r="AE300" s="941"/>
      <c r="AF300" s="941"/>
      <c r="AG300" s="941"/>
      <c r="AH300" s="941"/>
      <c r="AI300" s="941"/>
      <c r="AJ300" s="941"/>
      <c r="AK300" s="941"/>
      <c r="AL300" s="941"/>
      <c r="AM300" s="941"/>
    </row>
    <row r="301" spans="1:39" s="969" customFormat="1" ht="63" customHeight="1">
      <c r="A301" s="1006">
        <v>183</v>
      </c>
      <c r="B301" s="1007" t="s">
        <v>1640</v>
      </c>
      <c r="C301" s="1008"/>
      <c r="D301" s="1008" t="s">
        <v>3618</v>
      </c>
      <c r="E301" s="1007" t="s">
        <v>4342</v>
      </c>
      <c r="F301" s="1010" t="s">
        <v>554</v>
      </c>
      <c r="G301" s="989">
        <v>1040000</v>
      </c>
      <c r="H301" s="937"/>
      <c r="I301" s="1046"/>
      <c r="J301" s="1046"/>
      <c r="K301" s="1047">
        <f>-34000-73100</f>
        <v>-107100</v>
      </c>
      <c r="L301" s="1046"/>
      <c r="M301" s="1094"/>
      <c r="N301" s="989">
        <f>G301+K301+M301</f>
        <v>932900</v>
      </c>
      <c r="O301" s="989">
        <v>0</v>
      </c>
      <c r="P301" s="989">
        <v>932900</v>
      </c>
      <c r="Q301" s="989">
        <f t="shared" si="30"/>
        <v>932900</v>
      </c>
      <c r="R301" s="989">
        <f t="shared" si="32"/>
        <v>100</v>
      </c>
      <c r="S301" s="1011">
        <v>0</v>
      </c>
      <c r="T301" s="989">
        <f t="shared" si="33"/>
        <v>0</v>
      </c>
      <c r="U301" s="989">
        <f t="shared" si="31"/>
        <v>932900</v>
      </c>
      <c r="V301" s="989">
        <f t="shared" si="34"/>
        <v>100</v>
      </c>
      <c r="W301" s="989"/>
      <c r="X301" s="989">
        <f t="shared" si="29"/>
        <v>0</v>
      </c>
      <c r="Y301" s="1012"/>
      <c r="Z301" s="941"/>
      <c r="AA301" s="941"/>
      <c r="AB301" s="941"/>
      <c r="AC301" s="941"/>
      <c r="AD301" s="941"/>
      <c r="AE301" s="941"/>
      <c r="AF301" s="941"/>
      <c r="AG301" s="941"/>
      <c r="AH301" s="941"/>
      <c r="AI301" s="941"/>
      <c r="AJ301" s="941"/>
      <c r="AK301" s="941"/>
      <c r="AL301" s="941"/>
      <c r="AM301" s="941"/>
    </row>
    <row r="302" spans="1:39" s="969" customFormat="1" ht="63" customHeight="1">
      <c r="A302" s="1006">
        <v>184</v>
      </c>
      <c r="B302" s="1007" t="s">
        <v>2880</v>
      </c>
      <c r="C302" s="1008"/>
      <c r="D302" s="1008" t="s">
        <v>3619</v>
      </c>
      <c r="E302" s="1007" t="s">
        <v>1641</v>
      </c>
      <c r="F302" s="1010" t="s">
        <v>554</v>
      </c>
      <c r="G302" s="989">
        <v>416000</v>
      </c>
      <c r="H302" s="937"/>
      <c r="I302" s="1046"/>
      <c r="J302" s="1046"/>
      <c r="K302" s="1047">
        <f>-36000-158697.25</f>
        <v>-194697.25</v>
      </c>
      <c r="L302" s="1046"/>
      <c r="M302" s="1094">
        <v>-2161.59</v>
      </c>
      <c r="N302" s="989">
        <f>G302+K302+L302+M302</f>
        <v>219141.16</v>
      </c>
      <c r="O302" s="989">
        <v>0</v>
      </c>
      <c r="P302" s="989">
        <v>219141.16</v>
      </c>
      <c r="Q302" s="989">
        <f t="shared" si="30"/>
        <v>219141.16</v>
      </c>
      <c r="R302" s="989">
        <f t="shared" si="32"/>
        <v>100</v>
      </c>
      <c r="S302" s="1011">
        <v>0</v>
      </c>
      <c r="T302" s="989">
        <f t="shared" si="33"/>
        <v>0</v>
      </c>
      <c r="U302" s="989">
        <f t="shared" si="31"/>
        <v>219141.16</v>
      </c>
      <c r="V302" s="989">
        <f t="shared" si="34"/>
        <v>100</v>
      </c>
      <c r="W302" s="989"/>
      <c r="X302" s="989">
        <f t="shared" si="29"/>
        <v>0</v>
      </c>
      <c r="Y302" s="1012"/>
      <c r="Z302" s="941"/>
      <c r="AA302" s="941"/>
      <c r="AB302" s="941"/>
      <c r="AC302" s="941"/>
      <c r="AD302" s="941"/>
      <c r="AE302" s="941"/>
      <c r="AF302" s="941"/>
      <c r="AG302" s="941"/>
      <c r="AH302" s="941"/>
      <c r="AI302" s="941"/>
      <c r="AJ302" s="941"/>
      <c r="AK302" s="941"/>
      <c r="AL302" s="941"/>
      <c r="AM302" s="941"/>
    </row>
    <row r="303" spans="1:39" s="969" customFormat="1" ht="63" customHeight="1">
      <c r="A303" s="1006">
        <v>185</v>
      </c>
      <c r="B303" s="1007" t="s">
        <v>1642</v>
      </c>
      <c r="C303" s="1008"/>
      <c r="D303" s="1008" t="s">
        <v>3620</v>
      </c>
      <c r="E303" s="1007" t="s">
        <v>1643</v>
      </c>
      <c r="F303" s="1010" t="s">
        <v>554</v>
      </c>
      <c r="G303" s="989">
        <v>3640000</v>
      </c>
      <c r="H303" s="937"/>
      <c r="I303" s="1046"/>
      <c r="J303" s="1046"/>
      <c r="K303" s="1047">
        <v>-330866.36</v>
      </c>
      <c r="L303" s="1046"/>
      <c r="M303" s="1094"/>
      <c r="N303" s="989">
        <f>3640000+M303+K303</f>
        <v>3309133.64</v>
      </c>
      <c r="O303" s="989">
        <v>1161946.46</v>
      </c>
      <c r="P303" s="989">
        <v>2096776.3</v>
      </c>
      <c r="Q303" s="989">
        <f t="shared" si="30"/>
        <v>3258722.76</v>
      </c>
      <c r="R303" s="989">
        <f t="shared" si="32"/>
        <v>98.476613957482826</v>
      </c>
      <c r="S303" s="1011">
        <v>0</v>
      </c>
      <c r="T303" s="989">
        <f t="shared" si="33"/>
        <v>0</v>
      </c>
      <c r="U303" s="989">
        <f t="shared" si="31"/>
        <v>3258722.76</v>
      </c>
      <c r="V303" s="989">
        <f t="shared" si="34"/>
        <v>98.476613957482826</v>
      </c>
      <c r="W303" s="989"/>
      <c r="X303" s="989">
        <f t="shared" si="29"/>
        <v>50410.880000000354</v>
      </c>
      <c r="Y303" s="1012"/>
      <c r="Z303" s="941"/>
      <c r="AA303" s="941"/>
      <c r="AB303" s="941"/>
      <c r="AC303" s="941"/>
      <c r="AD303" s="941"/>
      <c r="AE303" s="941"/>
      <c r="AF303" s="941"/>
      <c r="AG303" s="941"/>
      <c r="AH303" s="941"/>
      <c r="AI303" s="941"/>
      <c r="AJ303" s="941"/>
      <c r="AK303" s="941"/>
      <c r="AL303" s="941"/>
      <c r="AM303" s="941"/>
    </row>
    <row r="304" spans="1:39" s="969" customFormat="1" ht="63" customHeight="1">
      <c r="A304" s="1006">
        <v>186</v>
      </c>
      <c r="B304" s="1007" t="s">
        <v>2881</v>
      </c>
      <c r="C304" s="1008"/>
      <c r="D304" s="1008" t="s">
        <v>3621</v>
      </c>
      <c r="E304" s="1007" t="s">
        <v>1644</v>
      </c>
      <c r="F304" s="1010" t="s">
        <v>554</v>
      </c>
      <c r="G304" s="989">
        <v>104000</v>
      </c>
      <c r="H304" s="937"/>
      <c r="I304" s="1046"/>
      <c r="J304" s="1046"/>
      <c r="K304" s="1047">
        <v>-11729</v>
      </c>
      <c r="L304" s="1046"/>
      <c r="M304" s="1094"/>
      <c r="N304" s="989">
        <f>104000+M304+K304</f>
        <v>92271</v>
      </c>
      <c r="O304" s="989">
        <v>0</v>
      </c>
      <c r="P304" s="989">
        <v>92271</v>
      </c>
      <c r="Q304" s="989">
        <f t="shared" si="30"/>
        <v>92271</v>
      </c>
      <c r="R304" s="989">
        <f t="shared" si="32"/>
        <v>100</v>
      </c>
      <c r="S304" s="1011">
        <v>0</v>
      </c>
      <c r="T304" s="989">
        <f t="shared" si="33"/>
        <v>0</v>
      </c>
      <c r="U304" s="989">
        <f t="shared" si="31"/>
        <v>92271</v>
      </c>
      <c r="V304" s="989">
        <f t="shared" si="34"/>
        <v>100</v>
      </c>
      <c r="W304" s="989"/>
      <c r="X304" s="989">
        <f t="shared" si="29"/>
        <v>0</v>
      </c>
      <c r="Y304" s="1012"/>
      <c r="Z304" s="941"/>
      <c r="AA304" s="941"/>
      <c r="AB304" s="941"/>
      <c r="AC304" s="941"/>
      <c r="AD304" s="941"/>
      <c r="AE304" s="941"/>
      <c r="AF304" s="941"/>
      <c r="AG304" s="941"/>
      <c r="AH304" s="941"/>
      <c r="AI304" s="941"/>
      <c r="AJ304" s="941"/>
      <c r="AK304" s="941"/>
      <c r="AL304" s="941"/>
      <c r="AM304" s="941"/>
    </row>
    <row r="305" spans="1:25" ht="63" customHeight="1">
      <c r="A305" s="1006">
        <v>187</v>
      </c>
      <c r="B305" s="1007" t="s">
        <v>2882</v>
      </c>
      <c r="C305" s="1008"/>
      <c r="D305" s="1008" t="s">
        <v>3622</v>
      </c>
      <c r="E305" s="1007" t="s">
        <v>1645</v>
      </c>
      <c r="F305" s="1010" t="s">
        <v>554</v>
      </c>
      <c r="G305" s="989">
        <v>1040000</v>
      </c>
      <c r="H305" s="937"/>
      <c r="I305" s="1046"/>
      <c r="J305" s="1046"/>
      <c r="K305" s="1047">
        <f>-57460-168381</f>
        <v>-225841</v>
      </c>
      <c r="L305" s="1046"/>
      <c r="M305" s="1094"/>
      <c r="N305" s="989">
        <f>1040000+M305+K305</f>
        <v>814159</v>
      </c>
      <c r="O305" s="989">
        <v>0</v>
      </c>
      <c r="P305" s="989">
        <v>814159</v>
      </c>
      <c r="Q305" s="989">
        <f t="shared" si="30"/>
        <v>814159</v>
      </c>
      <c r="R305" s="989">
        <f t="shared" si="32"/>
        <v>100</v>
      </c>
      <c r="S305" s="1011">
        <v>0</v>
      </c>
      <c r="T305" s="989">
        <f t="shared" si="33"/>
        <v>0</v>
      </c>
      <c r="U305" s="989">
        <f t="shared" si="31"/>
        <v>814159</v>
      </c>
      <c r="V305" s="989">
        <f t="shared" si="34"/>
        <v>100</v>
      </c>
      <c r="W305" s="989"/>
      <c r="X305" s="989">
        <f t="shared" si="29"/>
        <v>0</v>
      </c>
      <c r="Y305" s="1012"/>
    </row>
    <row r="306" spans="1:25" ht="63" customHeight="1">
      <c r="A306" s="1006">
        <v>188</v>
      </c>
      <c r="B306" s="1007" t="s">
        <v>2883</v>
      </c>
      <c r="C306" s="1008"/>
      <c r="D306" s="1008" t="s">
        <v>3623</v>
      </c>
      <c r="E306" s="1007" t="s">
        <v>1646</v>
      </c>
      <c r="F306" s="1010" t="s">
        <v>554</v>
      </c>
      <c r="G306" s="989">
        <v>208000</v>
      </c>
      <c r="H306" s="937"/>
      <c r="I306" s="1046"/>
      <c r="J306" s="1046"/>
      <c r="K306" s="1047">
        <v>-48378</v>
      </c>
      <c r="L306" s="1046"/>
      <c r="M306" s="1094"/>
      <c r="N306" s="989">
        <f>208000+M306+K306</f>
        <v>159622</v>
      </c>
      <c r="O306" s="989">
        <v>0</v>
      </c>
      <c r="P306" s="989">
        <v>159622</v>
      </c>
      <c r="Q306" s="989">
        <f t="shared" si="30"/>
        <v>159622</v>
      </c>
      <c r="R306" s="989">
        <f t="shared" si="32"/>
        <v>100</v>
      </c>
      <c r="S306" s="1011">
        <v>0</v>
      </c>
      <c r="T306" s="989">
        <f t="shared" si="33"/>
        <v>0</v>
      </c>
      <c r="U306" s="989">
        <f t="shared" si="31"/>
        <v>159622</v>
      </c>
      <c r="V306" s="989">
        <f t="shared" si="34"/>
        <v>100</v>
      </c>
      <c r="W306" s="989"/>
      <c r="X306" s="989">
        <f t="shared" si="29"/>
        <v>0</v>
      </c>
      <c r="Y306" s="1012"/>
    </row>
    <row r="307" spans="1:25" ht="63" customHeight="1">
      <c r="A307" s="1006">
        <v>189</v>
      </c>
      <c r="B307" s="1007" t="s">
        <v>1647</v>
      </c>
      <c r="C307" s="1008"/>
      <c r="D307" s="1008" t="s">
        <v>3624</v>
      </c>
      <c r="E307" s="1007" t="s">
        <v>1648</v>
      </c>
      <c r="F307" s="1010" t="s">
        <v>554</v>
      </c>
      <c r="G307" s="989">
        <v>1040000</v>
      </c>
      <c r="H307" s="937"/>
      <c r="I307" s="1046"/>
      <c r="J307" s="1046"/>
      <c r="K307" s="1047">
        <f>-85433-66976</f>
        <v>-152409</v>
      </c>
      <c r="L307" s="1046"/>
      <c r="M307" s="1094"/>
      <c r="N307" s="989">
        <f>1040000+M307+K307</f>
        <v>887591</v>
      </c>
      <c r="O307" s="989">
        <v>0</v>
      </c>
      <c r="P307" s="989">
        <v>887591</v>
      </c>
      <c r="Q307" s="989">
        <f t="shared" si="30"/>
        <v>887591</v>
      </c>
      <c r="R307" s="989">
        <f t="shared" si="32"/>
        <v>100</v>
      </c>
      <c r="S307" s="1011">
        <v>0</v>
      </c>
      <c r="T307" s="989">
        <f t="shared" si="33"/>
        <v>0</v>
      </c>
      <c r="U307" s="989">
        <f t="shared" si="31"/>
        <v>887591</v>
      </c>
      <c r="V307" s="989">
        <f t="shared" si="34"/>
        <v>100</v>
      </c>
      <c r="W307" s="989"/>
      <c r="X307" s="989">
        <f t="shared" si="29"/>
        <v>0</v>
      </c>
      <c r="Y307" s="1012"/>
    </row>
    <row r="308" spans="1:25" ht="63" customHeight="1">
      <c r="A308" s="1006">
        <v>190</v>
      </c>
      <c r="B308" s="1007" t="s">
        <v>2884</v>
      </c>
      <c r="C308" s="1008"/>
      <c r="D308" s="1008" t="s">
        <v>3625</v>
      </c>
      <c r="E308" s="1007" t="s">
        <v>1649</v>
      </c>
      <c r="F308" s="1010" t="s">
        <v>554</v>
      </c>
      <c r="G308" s="989">
        <v>1560000</v>
      </c>
      <c r="H308" s="937"/>
      <c r="I308" s="1046"/>
      <c r="J308" s="1046"/>
      <c r="K308" s="1047">
        <f>-25000-46105.06</f>
        <v>-71105.06</v>
      </c>
      <c r="L308" s="1046"/>
      <c r="M308" s="1094"/>
      <c r="N308" s="989">
        <f>G308+K308+M308</f>
        <v>1488894.94</v>
      </c>
      <c r="O308" s="989">
        <v>828920.94</v>
      </c>
      <c r="P308" s="989">
        <v>659974</v>
      </c>
      <c r="Q308" s="989">
        <f>P308+O308</f>
        <v>1488894.94</v>
      </c>
      <c r="R308" s="989">
        <f t="shared" si="32"/>
        <v>100</v>
      </c>
      <c r="S308" s="1011">
        <v>0</v>
      </c>
      <c r="T308" s="989">
        <f t="shared" si="33"/>
        <v>0</v>
      </c>
      <c r="U308" s="989">
        <f>S308+Q308</f>
        <v>1488894.94</v>
      </c>
      <c r="V308" s="989">
        <f t="shared" si="34"/>
        <v>100</v>
      </c>
      <c r="W308" s="989"/>
      <c r="X308" s="989">
        <f>N308-U308</f>
        <v>0</v>
      </c>
      <c r="Y308" s="1025"/>
    </row>
    <row r="309" spans="1:25" ht="63" customHeight="1">
      <c r="A309" s="1006">
        <v>191</v>
      </c>
      <c r="B309" s="1007" t="s">
        <v>1650</v>
      </c>
      <c r="C309" s="1008"/>
      <c r="D309" s="1008" t="s">
        <v>3626</v>
      </c>
      <c r="E309" s="1007" t="s">
        <v>1651</v>
      </c>
      <c r="F309" s="1010" t="s">
        <v>554</v>
      </c>
      <c r="G309" s="989">
        <v>520000</v>
      </c>
      <c r="H309" s="937"/>
      <c r="I309" s="1046"/>
      <c r="J309" s="1046"/>
      <c r="K309" s="1047">
        <f>-29000-19345</f>
        <v>-48345</v>
      </c>
      <c r="L309" s="1046"/>
      <c r="M309" s="1094"/>
      <c r="N309" s="989">
        <f>G309+K309+M309</f>
        <v>471655</v>
      </c>
      <c r="O309" s="989">
        <v>0</v>
      </c>
      <c r="P309" s="989">
        <v>471655</v>
      </c>
      <c r="Q309" s="989">
        <f t="shared" si="30"/>
        <v>471655</v>
      </c>
      <c r="R309" s="989">
        <f t="shared" si="32"/>
        <v>100</v>
      </c>
      <c r="S309" s="1011">
        <v>0</v>
      </c>
      <c r="T309" s="989">
        <f t="shared" si="33"/>
        <v>0</v>
      </c>
      <c r="U309" s="989">
        <f t="shared" si="31"/>
        <v>471655</v>
      </c>
      <c r="V309" s="989">
        <f t="shared" si="34"/>
        <v>100</v>
      </c>
      <c r="W309" s="989"/>
      <c r="X309" s="989">
        <f t="shared" ref="X309:X372" si="35">N309-U309</f>
        <v>0</v>
      </c>
      <c r="Y309" s="1012"/>
    </row>
    <row r="310" spans="1:25" s="950" customFormat="1" ht="63" customHeight="1">
      <c r="A310" s="1006"/>
      <c r="B310" s="1007" t="s">
        <v>4469</v>
      </c>
      <c r="C310" s="1008"/>
      <c r="D310" s="1008" t="s">
        <v>4470</v>
      </c>
      <c r="E310" s="1007" t="s">
        <v>4377</v>
      </c>
      <c r="F310" s="1010" t="s">
        <v>585</v>
      </c>
      <c r="G310" s="989"/>
      <c r="H310" s="937"/>
      <c r="I310" s="1046"/>
      <c r="J310" s="1046"/>
      <c r="K310" s="1047"/>
      <c r="L310" s="1046"/>
      <c r="M310" s="1094"/>
      <c r="N310" s="989">
        <v>0</v>
      </c>
      <c r="O310" s="989">
        <v>0</v>
      </c>
      <c r="P310" s="989"/>
      <c r="Q310" s="989">
        <f t="shared" si="30"/>
        <v>0</v>
      </c>
      <c r="R310" s="989" t="e">
        <f t="shared" si="32"/>
        <v>#DIV/0!</v>
      </c>
      <c r="S310" s="1011"/>
      <c r="T310" s="989"/>
      <c r="U310" s="989">
        <f t="shared" si="31"/>
        <v>0</v>
      </c>
      <c r="V310" s="989"/>
      <c r="W310" s="989"/>
      <c r="X310" s="989">
        <f t="shared" si="35"/>
        <v>0</v>
      </c>
      <c r="Y310" s="1012"/>
    </row>
    <row r="311" spans="1:25" ht="63" customHeight="1">
      <c r="A311" s="1006">
        <v>194</v>
      </c>
      <c r="B311" s="1007" t="s">
        <v>1652</v>
      </c>
      <c r="C311" s="1008"/>
      <c r="D311" s="1008" t="s">
        <v>3627</v>
      </c>
      <c r="E311" s="1007" t="s">
        <v>3360</v>
      </c>
      <c r="F311" s="1010" t="s">
        <v>585</v>
      </c>
      <c r="G311" s="989">
        <f>45200+45200</f>
        <v>90400</v>
      </c>
      <c r="H311" s="937"/>
      <c r="I311" s="1046"/>
      <c r="J311" s="1046"/>
      <c r="K311" s="1047"/>
      <c r="L311" s="1046"/>
      <c r="M311" s="1094"/>
      <c r="N311" s="989">
        <v>90400</v>
      </c>
      <c r="O311" s="989">
        <v>90400</v>
      </c>
      <c r="P311" s="989"/>
      <c r="Q311" s="989">
        <f t="shared" ref="Q311:Q374" si="36">P311+O311</f>
        <v>90400</v>
      </c>
      <c r="R311" s="989">
        <f t="shared" si="32"/>
        <v>100</v>
      </c>
      <c r="S311" s="1011"/>
      <c r="T311" s="989">
        <f t="shared" ref="T311:T374" si="37">S311/N311*100</f>
        <v>0</v>
      </c>
      <c r="U311" s="989">
        <f t="shared" ref="U311:U374" si="38">S311+Q311</f>
        <v>90400</v>
      </c>
      <c r="V311" s="989">
        <f t="shared" ref="V311:V374" si="39">U311/N311*100</f>
        <v>100</v>
      </c>
      <c r="W311" s="989"/>
      <c r="X311" s="989">
        <f t="shared" si="35"/>
        <v>0</v>
      </c>
      <c r="Y311" s="1012"/>
    </row>
    <row r="312" spans="1:25" s="950" customFormat="1" ht="63" customHeight="1">
      <c r="A312" s="1006"/>
      <c r="B312" s="1007" t="s">
        <v>4471</v>
      </c>
      <c r="C312" s="1008"/>
      <c r="D312" s="1008" t="s">
        <v>4472</v>
      </c>
      <c r="E312" s="1007" t="s">
        <v>4421</v>
      </c>
      <c r="F312" s="1010" t="s">
        <v>585</v>
      </c>
      <c r="G312" s="989"/>
      <c r="H312" s="937"/>
      <c r="I312" s="1046"/>
      <c r="J312" s="1046"/>
      <c r="K312" s="1047"/>
      <c r="L312" s="1046"/>
      <c r="M312" s="1094"/>
      <c r="N312" s="989">
        <v>0</v>
      </c>
      <c r="O312" s="989">
        <v>0</v>
      </c>
      <c r="P312" s="989"/>
      <c r="Q312" s="989">
        <f t="shared" si="36"/>
        <v>0</v>
      </c>
      <c r="R312" s="989" t="e">
        <f t="shared" ref="R312:R375" si="40">Q312/N312*100</f>
        <v>#DIV/0!</v>
      </c>
      <c r="S312" s="1011"/>
      <c r="T312" s="989"/>
      <c r="U312" s="989">
        <f t="shared" si="38"/>
        <v>0</v>
      </c>
      <c r="V312" s="989"/>
      <c r="W312" s="989"/>
      <c r="X312" s="989">
        <f t="shared" si="35"/>
        <v>0</v>
      </c>
      <c r="Y312" s="1012"/>
    </row>
    <row r="313" spans="1:25" ht="63" customHeight="1">
      <c r="A313" s="1006">
        <v>195</v>
      </c>
      <c r="B313" s="1007" t="s">
        <v>1653</v>
      </c>
      <c r="C313" s="1008"/>
      <c r="D313" s="1008" t="s">
        <v>3628</v>
      </c>
      <c r="E313" s="1007" t="s">
        <v>1654</v>
      </c>
      <c r="F313" s="1010" t="s">
        <v>563</v>
      </c>
      <c r="G313" s="989">
        <v>90400</v>
      </c>
      <c r="H313" s="937"/>
      <c r="I313" s="1046"/>
      <c r="J313" s="1046"/>
      <c r="K313" s="1047"/>
      <c r="L313" s="1046"/>
      <c r="M313" s="1094"/>
      <c r="N313" s="989">
        <v>90400</v>
      </c>
      <c r="O313" s="989">
        <v>0</v>
      </c>
      <c r="P313" s="989">
        <v>90400</v>
      </c>
      <c r="Q313" s="989">
        <f t="shared" si="36"/>
        <v>90400</v>
      </c>
      <c r="R313" s="989">
        <f t="shared" si="40"/>
        <v>100</v>
      </c>
      <c r="S313" s="1011">
        <v>0</v>
      </c>
      <c r="T313" s="989">
        <f t="shared" si="37"/>
        <v>0</v>
      </c>
      <c r="U313" s="989">
        <f t="shared" si="38"/>
        <v>90400</v>
      </c>
      <c r="V313" s="989">
        <f t="shared" si="39"/>
        <v>100</v>
      </c>
      <c r="W313" s="989"/>
      <c r="X313" s="989">
        <f t="shared" si="35"/>
        <v>0</v>
      </c>
      <c r="Y313" s="1012"/>
    </row>
    <row r="314" spans="1:25" ht="63" customHeight="1">
      <c r="A314" s="1006">
        <v>196</v>
      </c>
      <c r="B314" s="1007" t="s">
        <v>1655</v>
      </c>
      <c r="C314" s="1008"/>
      <c r="D314" s="1008" t="s">
        <v>3629</v>
      </c>
      <c r="E314" s="1007" t="s">
        <v>1656</v>
      </c>
      <c r="F314" s="1010" t="s">
        <v>563</v>
      </c>
      <c r="G314" s="989">
        <v>45200</v>
      </c>
      <c r="H314" s="937"/>
      <c r="I314" s="1046"/>
      <c r="J314" s="1046"/>
      <c r="K314" s="1047"/>
      <c r="L314" s="1046"/>
      <c r="M314" s="1094">
        <v>-2623.76</v>
      </c>
      <c r="N314" s="989">
        <f>45200+M314</f>
        <v>42576.24</v>
      </c>
      <c r="O314" s="989">
        <v>0</v>
      </c>
      <c r="P314" s="989">
        <v>42576.24</v>
      </c>
      <c r="Q314" s="989">
        <f t="shared" si="36"/>
        <v>42576.24</v>
      </c>
      <c r="R314" s="989">
        <f t="shared" si="40"/>
        <v>100</v>
      </c>
      <c r="S314" s="1011">
        <v>0</v>
      </c>
      <c r="T314" s="989">
        <f t="shared" si="37"/>
        <v>0</v>
      </c>
      <c r="U314" s="989">
        <f t="shared" si="38"/>
        <v>42576.24</v>
      </c>
      <c r="V314" s="989">
        <f t="shared" si="39"/>
        <v>100</v>
      </c>
      <c r="W314" s="989"/>
      <c r="X314" s="989">
        <f t="shared" si="35"/>
        <v>0</v>
      </c>
      <c r="Y314" s="1012"/>
    </row>
    <row r="315" spans="1:25" ht="63" customHeight="1">
      <c r="A315" s="1006">
        <v>197</v>
      </c>
      <c r="B315" s="1007" t="s">
        <v>1657</v>
      </c>
      <c r="C315" s="1008"/>
      <c r="D315" s="1008" t="s">
        <v>3630</v>
      </c>
      <c r="E315" s="1007" t="s">
        <v>1658</v>
      </c>
      <c r="F315" s="1010" t="s">
        <v>563</v>
      </c>
      <c r="G315" s="989">
        <v>90400</v>
      </c>
      <c r="H315" s="937"/>
      <c r="I315" s="1046"/>
      <c r="J315" s="1046"/>
      <c r="K315" s="1047">
        <f>-9000-22160</f>
        <v>-31160</v>
      </c>
      <c r="L315" s="1046"/>
      <c r="M315" s="1094"/>
      <c r="N315" s="989">
        <f>90400+M315+K315</f>
        <v>59240</v>
      </c>
      <c r="O315" s="989">
        <v>59240</v>
      </c>
      <c r="P315" s="989">
        <v>0</v>
      </c>
      <c r="Q315" s="989">
        <f t="shared" si="36"/>
        <v>59240</v>
      </c>
      <c r="R315" s="989">
        <f t="shared" si="40"/>
        <v>100</v>
      </c>
      <c r="S315" s="1011">
        <v>0</v>
      </c>
      <c r="T315" s="989">
        <f t="shared" si="37"/>
        <v>0</v>
      </c>
      <c r="U315" s="989">
        <f t="shared" si="38"/>
        <v>59240</v>
      </c>
      <c r="V315" s="989">
        <f t="shared" si="39"/>
        <v>100</v>
      </c>
      <c r="W315" s="989"/>
      <c r="X315" s="989">
        <f t="shared" si="35"/>
        <v>0</v>
      </c>
      <c r="Y315" s="1012"/>
    </row>
    <row r="316" spans="1:25" ht="63" customHeight="1">
      <c r="A316" s="1006">
        <v>198</v>
      </c>
      <c r="B316" s="1007" t="s">
        <v>2885</v>
      </c>
      <c r="C316" s="1008"/>
      <c r="D316" s="1008" t="s">
        <v>3631</v>
      </c>
      <c r="E316" s="1009" t="s">
        <v>3103</v>
      </c>
      <c r="F316" s="1010" t="s">
        <v>586</v>
      </c>
      <c r="G316" s="989">
        <v>45200</v>
      </c>
      <c r="H316" s="937"/>
      <c r="I316" s="1046"/>
      <c r="J316" s="1046"/>
      <c r="K316" s="1047"/>
      <c r="L316" s="1046"/>
      <c r="M316" s="1094"/>
      <c r="N316" s="989">
        <v>45200</v>
      </c>
      <c r="O316" s="989">
        <v>45200</v>
      </c>
      <c r="P316" s="989"/>
      <c r="Q316" s="989">
        <f t="shared" si="36"/>
        <v>45200</v>
      </c>
      <c r="R316" s="989">
        <f t="shared" si="40"/>
        <v>100</v>
      </c>
      <c r="S316" s="1011"/>
      <c r="T316" s="989">
        <f t="shared" si="37"/>
        <v>0</v>
      </c>
      <c r="U316" s="989">
        <f t="shared" si="38"/>
        <v>45200</v>
      </c>
      <c r="V316" s="989">
        <f t="shared" si="39"/>
        <v>100</v>
      </c>
      <c r="W316" s="989"/>
      <c r="X316" s="989">
        <f t="shared" si="35"/>
        <v>0</v>
      </c>
      <c r="Y316" s="1012"/>
    </row>
    <row r="317" spans="1:25" ht="63" customHeight="1">
      <c r="A317" s="1006">
        <v>199</v>
      </c>
      <c r="B317" s="1007" t="s">
        <v>2886</v>
      </c>
      <c r="C317" s="1008"/>
      <c r="D317" s="1008" t="s">
        <v>3632</v>
      </c>
      <c r="E317" s="1007" t="s">
        <v>1659</v>
      </c>
      <c r="F317" s="1010" t="s">
        <v>586</v>
      </c>
      <c r="G317" s="989">
        <v>90400</v>
      </c>
      <c r="H317" s="937"/>
      <c r="I317" s="1046"/>
      <c r="J317" s="1046"/>
      <c r="K317" s="1047">
        <v>-27182</v>
      </c>
      <c r="L317" s="1046"/>
      <c r="M317" s="1094"/>
      <c r="N317" s="989">
        <f>90400+M317+K317</f>
        <v>63218</v>
      </c>
      <c r="O317" s="989">
        <v>63218</v>
      </c>
      <c r="P317" s="989">
        <v>0</v>
      </c>
      <c r="Q317" s="989">
        <f t="shared" si="36"/>
        <v>63218</v>
      </c>
      <c r="R317" s="989">
        <f t="shared" si="40"/>
        <v>100</v>
      </c>
      <c r="S317" s="1011">
        <v>0</v>
      </c>
      <c r="T317" s="989">
        <f t="shared" si="37"/>
        <v>0</v>
      </c>
      <c r="U317" s="989">
        <f t="shared" si="38"/>
        <v>63218</v>
      </c>
      <c r="V317" s="989">
        <f t="shared" si="39"/>
        <v>100</v>
      </c>
      <c r="W317" s="989"/>
      <c r="X317" s="989">
        <f t="shared" si="35"/>
        <v>0</v>
      </c>
      <c r="Y317" s="1012"/>
    </row>
    <row r="318" spans="1:25" ht="63" customHeight="1">
      <c r="A318" s="1006">
        <v>200</v>
      </c>
      <c r="B318" s="1007" t="s">
        <v>2887</v>
      </c>
      <c r="C318" s="1008"/>
      <c r="D318" s="1008" t="s">
        <v>3633</v>
      </c>
      <c r="E318" s="1007" t="s">
        <v>1660</v>
      </c>
      <c r="F318" s="1010" t="s">
        <v>586</v>
      </c>
      <c r="G318" s="989">
        <v>90400</v>
      </c>
      <c r="H318" s="937"/>
      <c r="I318" s="1046"/>
      <c r="J318" s="1046"/>
      <c r="K318" s="1047">
        <f>-30117</f>
        <v>-30117</v>
      </c>
      <c r="L318" s="1046"/>
      <c r="M318" s="1094"/>
      <c r="N318" s="989">
        <f>78400+M318+K318</f>
        <v>48283</v>
      </c>
      <c r="O318" s="989">
        <v>48283</v>
      </c>
      <c r="P318" s="989">
        <v>0</v>
      </c>
      <c r="Q318" s="989">
        <f t="shared" si="36"/>
        <v>48283</v>
      </c>
      <c r="R318" s="989">
        <f t="shared" si="40"/>
        <v>100</v>
      </c>
      <c r="S318" s="1011">
        <v>0</v>
      </c>
      <c r="T318" s="989">
        <f t="shared" si="37"/>
        <v>0</v>
      </c>
      <c r="U318" s="989">
        <f t="shared" si="38"/>
        <v>48283</v>
      </c>
      <c r="V318" s="989">
        <f t="shared" si="39"/>
        <v>100</v>
      </c>
      <c r="W318" s="989"/>
      <c r="X318" s="989">
        <f t="shared" si="35"/>
        <v>0</v>
      </c>
      <c r="Y318" s="1012"/>
    </row>
    <row r="319" spans="1:25" ht="63" customHeight="1">
      <c r="A319" s="1006">
        <v>201</v>
      </c>
      <c r="B319" s="1007" t="s">
        <v>1661</v>
      </c>
      <c r="C319" s="1008"/>
      <c r="D319" s="1008" t="s">
        <v>3634</v>
      </c>
      <c r="E319" s="1007" t="s">
        <v>1662</v>
      </c>
      <c r="F319" s="1010" t="s">
        <v>586</v>
      </c>
      <c r="G319" s="989">
        <v>135600</v>
      </c>
      <c r="H319" s="937"/>
      <c r="I319" s="1046"/>
      <c r="J319" s="1046"/>
      <c r="K319" s="1047">
        <f>-33600</f>
        <v>-33600</v>
      </c>
      <c r="L319" s="1046"/>
      <c r="M319" s="1094"/>
      <c r="N319" s="989">
        <f>108600+M319+K319</f>
        <v>75000</v>
      </c>
      <c r="O319" s="989">
        <v>54000</v>
      </c>
      <c r="P319" s="989">
        <v>21000</v>
      </c>
      <c r="Q319" s="989">
        <f t="shared" si="36"/>
        <v>75000</v>
      </c>
      <c r="R319" s="989">
        <f t="shared" si="40"/>
        <v>100</v>
      </c>
      <c r="S319" s="1011">
        <v>0</v>
      </c>
      <c r="T319" s="989">
        <f t="shared" si="37"/>
        <v>0</v>
      </c>
      <c r="U319" s="989">
        <f t="shared" si="38"/>
        <v>75000</v>
      </c>
      <c r="V319" s="989">
        <f t="shared" si="39"/>
        <v>100</v>
      </c>
      <c r="W319" s="989"/>
      <c r="X319" s="989">
        <f t="shared" si="35"/>
        <v>0</v>
      </c>
      <c r="Y319" s="1012"/>
    </row>
    <row r="320" spans="1:25" ht="63" customHeight="1">
      <c r="A320" s="1006">
        <v>202</v>
      </c>
      <c r="B320" s="1007" t="s">
        <v>1663</v>
      </c>
      <c r="C320" s="1008"/>
      <c r="D320" s="1008" t="s">
        <v>3635</v>
      </c>
      <c r="E320" s="1007" t="s">
        <v>1664</v>
      </c>
      <c r="F320" s="1010" t="s">
        <v>549</v>
      </c>
      <c r="G320" s="989">
        <v>226000</v>
      </c>
      <c r="H320" s="937"/>
      <c r="I320" s="1046"/>
      <c r="J320" s="1046"/>
      <c r="K320" s="1047">
        <v>-22198.63</v>
      </c>
      <c r="L320" s="1046"/>
      <c r="M320" s="1094"/>
      <c r="N320" s="989">
        <f>226000+M320+K320</f>
        <v>203801.37</v>
      </c>
      <c r="O320" s="989">
        <v>0</v>
      </c>
      <c r="P320" s="989">
        <v>194532.47</v>
      </c>
      <c r="Q320" s="989">
        <f t="shared" si="36"/>
        <v>194532.47</v>
      </c>
      <c r="R320" s="989">
        <f t="shared" si="40"/>
        <v>95.451993281497565</v>
      </c>
      <c r="S320" s="1011">
        <v>0</v>
      </c>
      <c r="T320" s="989">
        <f t="shared" si="37"/>
        <v>0</v>
      </c>
      <c r="U320" s="989">
        <f t="shared" si="38"/>
        <v>194532.47</v>
      </c>
      <c r="V320" s="989">
        <f t="shared" si="39"/>
        <v>95.451993281497565</v>
      </c>
      <c r="W320" s="989"/>
      <c r="X320" s="989">
        <f t="shared" si="35"/>
        <v>9268.8999999999942</v>
      </c>
      <c r="Y320" s="1012"/>
    </row>
    <row r="321" spans="1:39" s="969" customFormat="1" ht="63" customHeight="1">
      <c r="A321" s="1006">
        <v>203</v>
      </c>
      <c r="B321" s="1007" t="s">
        <v>1665</v>
      </c>
      <c r="C321" s="1008"/>
      <c r="D321" s="1008" t="s">
        <v>3636</v>
      </c>
      <c r="E321" s="1007" t="s">
        <v>1666</v>
      </c>
      <c r="F321" s="1010" t="s">
        <v>549</v>
      </c>
      <c r="G321" s="989">
        <v>180800</v>
      </c>
      <c r="H321" s="937"/>
      <c r="I321" s="1046"/>
      <c r="J321" s="1046"/>
      <c r="K321" s="1047"/>
      <c r="L321" s="1046"/>
      <c r="M321" s="1094">
        <v>-50329</v>
      </c>
      <c r="N321" s="989">
        <f>180800+M321</f>
        <v>130471</v>
      </c>
      <c r="O321" s="989">
        <v>0</v>
      </c>
      <c r="P321" s="989">
        <v>130471</v>
      </c>
      <c r="Q321" s="989">
        <f t="shared" si="36"/>
        <v>130471</v>
      </c>
      <c r="R321" s="989">
        <f t="shared" si="40"/>
        <v>100</v>
      </c>
      <c r="S321" s="1011">
        <v>0</v>
      </c>
      <c r="T321" s="989">
        <f t="shared" si="37"/>
        <v>0</v>
      </c>
      <c r="U321" s="989">
        <f t="shared" si="38"/>
        <v>130471</v>
      </c>
      <c r="V321" s="989">
        <f t="shared" si="39"/>
        <v>100</v>
      </c>
      <c r="W321" s="989"/>
      <c r="X321" s="989">
        <f t="shared" si="35"/>
        <v>0</v>
      </c>
      <c r="Y321" s="1012"/>
      <c r="Z321" s="941"/>
      <c r="AA321" s="941"/>
      <c r="AB321" s="941"/>
      <c r="AC321" s="941"/>
      <c r="AD321" s="941"/>
      <c r="AE321" s="941"/>
      <c r="AF321" s="941"/>
      <c r="AG321" s="941"/>
      <c r="AH321" s="941"/>
      <c r="AI321" s="941"/>
      <c r="AJ321" s="941"/>
      <c r="AK321" s="941"/>
      <c r="AL321" s="941"/>
      <c r="AM321" s="941"/>
    </row>
    <row r="322" spans="1:39" s="969" customFormat="1" ht="63" customHeight="1">
      <c r="A322" s="1006">
        <v>204</v>
      </c>
      <c r="B322" s="1007" t="s">
        <v>2888</v>
      </c>
      <c r="C322" s="1008"/>
      <c r="D322" s="1008" t="s">
        <v>3637</v>
      </c>
      <c r="E322" s="1007" t="s">
        <v>1667</v>
      </c>
      <c r="F322" s="1010" t="s">
        <v>549</v>
      </c>
      <c r="G322" s="989">
        <v>135600</v>
      </c>
      <c r="H322" s="937"/>
      <c r="I322" s="1046"/>
      <c r="J322" s="1046"/>
      <c r="K322" s="1047"/>
      <c r="L322" s="1046"/>
      <c r="M322" s="1094"/>
      <c r="N322" s="989">
        <v>135600</v>
      </c>
      <c r="O322" s="989">
        <v>0</v>
      </c>
      <c r="P322" s="989">
        <v>135600</v>
      </c>
      <c r="Q322" s="989">
        <f t="shared" si="36"/>
        <v>135600</v>
      </c>
      <c r="R322" s="989">
        <f t="shared" si="40"/>
        <v>100</v>
      </c>
      <c r="S322" s="1011">
        <v>0</v>
      </c>
      <c r="T322" s="989">
        <f t="shared" si="37"/>
        <v>0</v>
      </c>
      <c r="U322" s="989">
        <f t="shared" si="38"/>
        <v>135600</v>
      </c>
      <c r="V322" s="989">
        <f t="shared" si="39"/>
        <v>100</v>
      </c>
      <c r="W322" s="989"/>
      <c r="X322" s="989">
        <f t="shared" si="35"/>
        <v>0</v>
      </c>
      <c r="Y322" s="1012"/>
      <c r="Z322" s="941"/>
      <c r="AA322" s="941"/>
      <c r="AB322" s="941"/>
      <c r="AC322" s="941"/>
      <c r="AD322" s="941"/>
      <c r="AE322" s="941"/>
      <c r="AF322" s="941"/>
      <c r="AG322" s="941"/>
      <c r="AH322" s="941"/>
      <c r="AI322" s="941"/>
      <c r="AJ322" s="941"/>
      <c r="AK322" s="941"/>
      <c r="AL322" s="941"/>
      <c r="AM322" s="941"/>
    </row>
    <row r="323" spans="1:39" s="969" customFormat="1" ht="63" customHeight="1">
      <c r="A323" s="1006">
        <v>205</v>
      </c>
      <c r="B323" s="1007" t="s">
        <v>1668</v>
      </c>
      <c r="C323" s="1008"/>
      <c r="D323" s="1008" t="s">
        <v>3638</v>
      </c>
      <c r="E323" s="1007" t="s">
        <v>1669</v>
      </c>
      <c r="F323" s="1010" t="s">
        <v>549</v>
      </c>
      <c r="G323" s="989">
        <v>135600</v>
      </c>
      <c r="H323" s="937"/>
      <c r="I323" s="1046"/>
      <c r="J323" s="1046"/>
      <c r="K323" s="1047"/>
      <c r="L323" s="1046"/>
      <c r="M323" s="1094">
        <v>-39700</v>
      </c>
      <c r="N323" s="989">
        <f>135600+M323</f>
        <v>95900</v>
      </c>
      <c r="O323" s="989">
        <v>0</v>
      </c>
      <c r="P323" s="989">
        <v>95900</v>
      </c>
      <c r="Q323" s="989">
        <f t="shared" si="36"/>
        <v>95900</v>
      </c>
      <c r="R323" s="989">
        <f t="shared" si="40"/>
        <v>100</v>
      </c>
      <c r="S323" s="1011">
        <v>0</v>
      </c>
      <c r="T323" s="989">
        <f t="shared" si="37"/>
        <v>0</v>
      </c>
      <c r="U323" s="989">
        <f t="shared" si="38"/>
        <v>95900</v>
      </c>
      <c r="V323" s="989">
        <f t="shared" si="39"/>
        <v>100</v>
      </c>
      <c r="W323" s="989"/>
      <c r="X323" s="989">
        <f t="shared" si="35"/>
        <v>0</v>
      </c>
      <c r="Y323" s="1012"/>
      <c r="Z323" s="941"/>
      <c r="AA323" s="941"/>
      <c r="AB323" s="941"/>
      <c r="AC323" s="941"/>
      <c r="AD323" s="941"/>
      <c r="AE323" s="941"/>
      <c r="AF323" s="941"/>
      <c r="AG323" s="941"/>
      <c r="AH323" s="941"/>
      <c r="AI323" s="941"/>
      <c r="AJ323" s="941"/>
      <c r="AK323" s="941"/>
      <c r="AL323" s="941"/>
      <c r="AM323" s="941"/>
    </row>
    <row r="324" spans="1:39" s="969" customFormat="1" ht="63" customHeight="1">
      <c r="A324" s="1006">
        <v>206</v>
      </c>
      <c r="B324" s="1007" t="s">
        <v>2889</v>
      </c>
      <c r="C324" s="1008"/>
      <c r="D324" s="1008" t="s">
        <v>3639</v>
      </c>
      <c r="E324" s="1007" t="s">
        <v>1670</v>
      </c>
      <c r="F324" s="1010" t="s">
        <v>549</v>
      </c>
      <c r="G324" s="989">
        <v>135600</v>
      </c>
      <c r="H324" s="937"/>
      <c r="I324" s="1046"/>
      <c r="J324" s="1046"/>
      <c r="K324" s="1047"/>
      <c r="L324" s="1046"/>
      <c r="M324" s="1094">
        <v>-49090.02</v>
      </c>
      <c r="N324" s="989">
        <f>135600+M324</f>
        <v>86509.98000000001</v>
      </c>
      <c r="O324" s="989">
        <v>0</v>
      </c>
      <c r="P324" s="989">
        <v>86509.98</v>
      </c>
      <c r="Q324" s="989">
        <f t="shared" si="36"/>
        <v>86509.98</v>
      </c>
      <c r="R324" s="989">
        <f t="shared" si="40"/>
        <v>99.999999999999972</v>
      </c>
      <c r="S324" s="1011">
        <v>0</v>
      </c>
      <c r="T324" s="989">
        <f t="shared" si="37"/>
        <v>0</v>
      </c>
      <c r="U324" s="989">
        <f t="shared" si="38"/>
        <v>86509.98</v>
      </c>
      <c r="V324" s="989">
        <f t="shared" si="39"/>
        <v>99.999999999999972</v>
      </c>
      <c r="W324" s="989"/>
      <c r="X324" s="989">
        <f t="shared" si="35"/>
        <v>0</v>
      </c>
      <c r="Y324" s="1012"/>
      <c r="Z324" s="941"/>
      <c r="AA324" s="941"/>
      <c r="AB324" s="941"/>
      <c r="AC324" s="941"/>
      <c r="AD324" s="941"/>
      <c r="AE324" s="941"/>
      <c r="AF324" s="941"/>
      <c r="AG324" s="941"/>
      <c r="AH324" s="941"/>
      <c r="AI324" s="941"/>
      <c r="AJ324" s="941"/>
      <c r="AK324" s="941"/>
      <c r="AL324" s="941"/>
      <c r="AM324" s="941"/>
    </row>
    <row r="325" spans="1:39" s="969" customFormat="1" ht="63" customHeight="1">
      <c r="A325" s="1006">
        <v>207</v>
      </c>
      <c r="B325" s="1007" t="s">
        <v>2890</v>
      </c>
      <c r="C325" s="1008"/>
      <c r="D325" s="1008" t="s">
        <v>3640</v>
      </c>
      <c r="E325" s="1007" t="s">
        <v>1671</v>
      </c>
      <c r="F325" s="1010" t="s">
        <v>549</v>
      </c>
      <c r="G325" s="989">
        <v>135600</v>
      </c>
      <c r="H325" s="937"/>
      <c r="I325" s="1046"/>
      <c r="J325" s="1046"/>
      <c r="K325" s="1047">
        <v>-27454.79</v>
      </c>
      <c r="L325" s="1046"/>
      <c r="M325" s="1094"/>
      <c r="N325" s="989">
        <f>135600+M325+K325</f>
        <v>108145.20999999999</v>
      </c>
      <c r="O325" s="989">
        <v>0</v>
      </c>
      <c r="P325" s="989">
        <v>108145.21</v>
      </c>
      <c r="Q325" s="989">
        <f t="shared" si="36"/>
        <v>108145.21</v>
      </c>
      <c r="R325" s="989">
        <f t="shared" si="40"/>
        <v>100.00000000000003</v>
      </c>
      <c r="S325" s="1011">
        <v>0</v>
      </c>
      <c r="T325" s="989">
        <f t="shared" si="37"/>
        <v>0</v>
      </c>
      <c r="U325" s="989">
        <f t="shared" si="38"/>
        <v>108145.21</v>
      </c>
      <c r="V325" s="989">
        <f t="shared" si="39"/>
        <v>100.00000000000003</v>
      </c>
      <c r="W325" s="989"/>
      <c r="X325" s="989">
        <f t="shared" si="35"/>
        <v>0</v>
      </c>
      <c r="Y325" s="1012"/>
      <c r="Z325" s="941"/>
      <c r="AA325" s="941"/>
      <c r="AB325" s="941"/>
      <c r="AC325" s="941"/>
      <c r="AD325" s="941"/>
      <c r="AE325" s="941"/>
      <c r="AF325" s="941"/>
      <c r="AG325" s="941"/>
      <c r="AH325" s="941"/>
      <c r="AI325" s="941"/>
      <c r="AJ325" s="941"/>
      <c r="AK325" s="941"/>
      <c r="AL325" s="941"/>
      <c r="AM325" s="941"/>
    </row>
    <row r="326" spans="1:39" s="969" customFormat="1" ht="63" customHeight="1">
      <c r="A326" s="1006">
        <v>208</v>
      </c>
      <c r="B326" s="1007" t="s">
        <v>2891</v>
      </c>
      <c r="C326" s="1008"/>
      <c r="D326" s="1008" t="s">
        <v>3641</v>
      </c>
      <c r="E326" s="1007" t="s">
        <v>1672</v>
      </c>
      <c r="F326" s="1010" t="s">
        <v>549</v>
      </c>
      <c r="G326" s="989">
        <v>45200</v>
      </c>
      <c r="H326" s="937"/>
      <c r="I326" s="1046"/>
      <c r="J326" s="1046"/>
      <c r="K326" s="1047"/>
      <c r="L326" s="1046"/>
      <c r="M326" s="1094"/>
      <c r="N326" s="989">
        <v>45200</v>
      </c>
      <c r="O326" s="989">
        <v>0</v>
      </c>
      <c r="P326" s="989">
        <v>45200</v>
      </c>
      <c r="Q326" s="989">
        <f t="shared" si="36"/>
        <v>45200</v>
      </c>
      <c r="R326" s="989">
        <f t="shared" si="40"/>
        <v>100</v>
      </c>
      <c r="S326" s="1011">
        <v>0</v>
      </c>
      <c r="T326" s="989">
        <f t="shared" si="37"/>
        <v>0</v>
      </c>
      <c r="U326" s="989">
        <f t="shared" si="38"/>
        <v>45200</v>
      </c>
      <c r="V326" s="989">
        <f t="shared" si="39"/>
        <v>100</v>
      </c>
      <c r="W326" s="989"/>
      <c r="X326" s="989">
        <f t="shared" si="35"/>
        <v>0</v>
      </c>
      <c r="Y326" s="1012"/>
      <c r="Z326" s="941"/>
      <c r="AA326" s="941"/>
      <c r="AB326" s="941"/>
      <c r="AC326" s="941"/>
      <c r="AD326" s="941"/>
      <c r="AE326" s="941"/>
      <c r="AF326" s="941"/>
      <c r="AG326" s="941"/>
      <c r="AH326" s="941"/>
      <c r="AI326" s="941"/>
      <c r="AJ326" s="941"/>
      <c r="AK326" s="941"/>
      <c r="AL326" s="941"/>
      <c r="AM326" s="941"/>
    </row>
    <row r="327" spans="1:39" s="969" customFormat="1" ht="63" customHeight="1">
      <c r="A327" s="1006">
        <v>209</v>
      </c>
      <c r="B327" s="1007" t="s">
        <v>2892</v>
      </c>
      <c r="C327" s="1008"/>
      <c r="D327" s="1008" t="s">
        <v>3642</v>
      </c>
      <c r="E327" s="1007" t="s">
        <v>1673</v>
      </c>
      <c r="F327" s="1010" t="s">
        <v>549</v>
      </c>
      <c r="G327" s="989">
        <v>45200</v>
      </c>
      <c r="H327" s="937"/>
      <c r="I327" s="1046"/>
      <c r="J327" s="1046"/>
      <c r="K327" s="1047"/>
      <c r="L327" s="1046"/>
      <c r="M327" s="1094"/>
      <c r="N327" s="989">
        <v>45200</v>
      </c>
      <c r="O327" s="989">
        <v>0</v>
      </c>
      <c r="P327" s="989">
        <v>45200</v>
      </c>
      <c r="Q327" s="989">
        <f t="shared" si="36"/>
        <v>45200</v>
      </c>
      <c r="R327" s="989">
        <f t="shared" si="40"/>
        <v>100</v>
      </c>
      <c r="S327" s="1011">
        <v>0</v>
      </c>
      <c r="T327" s="989">
        <f t="shared" si="37"/>
        <v>0</v>
      </c>
      <c r="U327" s="989">
        <f t="shared" si="38"/>
        <v>45200</v>
      </c>
      <c r="V327" s="989">
        <f t="shared" si="39"/>
        <v>100</v>
      </c>
      <c r="W327" s="989"/>
      <c r="X327" s="989">
        <f t="shared" si="35"/>
        <v>0</v>
      </c>
      <c r="Y327" s="1012"/>
      <c r="Z327" s="941"/>
      <c r="AA327" s="941"/>
      <c r="AB327" s="941"/>
      <c r="AC327" s="941"/>
      <c r="AD327" s="941"/>
      <c r="AE327" s="941"/>
      <c r="AF327" s="941"/>
      <c r="AG327" s="941"/>
      <c r="AH327" s="941"/>
      <c r="AI327" s="941"/>
      <c r="AJ327" s="941"/>
      <c r="AK327" s="941"/>
      <c r="AL327" s="941"/>
      <c r="AM327" s="941"/>
    </row>
    <row r="328" spans="1:39" s="969" customFormat="1" ht="63" customHeight="1">
      <c r="A328" s="1006">
        <v>210</v>
      </c>
      <c r="B328" s="1007" t="s">
        <v>1674</v>
      </c>
      <c r="C328" s="1008"/>
      <c r="D328" s="1008" t="s">
        <v>3643</v>
      </c>
      <c r="E328" s="1007" t="s">
        <v>1675</v>
      </c>
      <c r="F328" s="1010" t="s">
        <v>549</v>
      </c>
      <c r="G328" s="989">
        <v>45200</v>
      </c>
      <c r="H328" s="937"/>
      <c r="I328" s="1046"/>
      <c r="J328" s="1046"/>
      <c r="K328" s="1047"/>
      <c r="L328" s="1046"/>
      <c r="M328" s="1094">
        <v>-7867.02</v>
      </c>
      <c r="N328" s="989">
        <f>45200+M328</f>
        <v>37332.979999999996</v>
      </c>
      <c r="O328" s="989">
        <v>0</v>
      </c>
      <c r="P328" s="989">
        <v>37332.980000000003</v>
      </c>
      <c r="Q328" s="989">
        <f t="shared" si="36"/>
        <v>37332.980000000003</v>
      </c>
      <c r="R328" s="989">
        <f t="shared" si="40"/>
        <v>100.00000000000003</v>
      </c>
      <c r="S328" s="1011">
        <v>0</v>
      </c>
      <c r="T328" s="989">
        <f t="shared" si="37"/>
        <v>0</v>
      </c>
      <c r="U328" s="989">
        <f t="shared" si="38"/>
        <v>37332.980000000003</v>
      </c>
      <c r="V328" s="989">
        <f t="shared" si="39"/>
        <v>100.00000000000003</v>
      </c>
      <c r="W328" s="989"/>
      <c r="X328" s="989">
        <f t="shared" si="35"/>
        <v>0</v>
      </c>
      <c r="Y328" s="1012"/>
      <c r="Z328" s="941"/>
      <c r="AA328" s="941"/>
      <c r="AB328" s="941"/>
      <c r="AC328" s="941"/>
      <c r="AD328" s="941"/>
      <c r="AE328" s="941"/>
      <c r="AF328" s="941"/>
      <c r="AG328" s="941"/>
      <c r="AH328" s="941"/>
      <c r="AI328" s="941"/>
      <c r="AJ328" s="941"/>
      <c r="AK328" s="941"/>
      <c r="AL328" s="941"/>
      <c r="AM328" s="941"/>
    </row>
    <row r="329" spans="1:39" s="969" customFormat="1" ht="63" customHeight="1">
      <c r="A329" s="1006">
        <v>211</v>
      </c>
      <c r="B329" s="1007" t="s">
        <v>1676</v>
      </c>
      <c r="C329" s="1008"/>
      <c r="D329" s="1008" t="s">
        <v>3644</v>
      </c>
      <c r="E329" s="1007" t="s">
        <v>1677</v>
      </c>
      <c r="F329" s="1010" t="s">
        <v>549</v>
      </c>
      <c r="G329" s="989">
        <v>135600</v>
      </c>
      <c r="H329" s="937"/>
      <c r="I329" s="1046"/>
      <c r="J329" s="1046"/>
      <c r="K329" s="1047"/>
      <c r="L329" s="1046"/>
      <c r="M329" s="1094">
        <v>-2600</v>
      </c>
      <c r="N329" s="989">
        <f>135600+M329</f>
        <v>133000</v>
      </c>
      <c r="O329" s="989">
        <v>0</v>
      </c>
      <c r="P329" s="989">
        <v>133000</v>
      </c>
      <c r="Q329" s="989">
        <f t="shared" si="36"/>
        <v>133000</v>
      </c>
      <c r="R329" s="989">
        <f t="shared" si="40"/>
        <v>100</v>
      </c>
      <c r="S329" s="1011">
        <v>0</v>
      </c>
      <c r="T329" s="989">
        <f t="shared" si="37"/>
        <v>0</v>
      </c>
      <c r="U329" s="989">
        <f t="shared" si="38"/>
        <v>133000</v>
      </c>
      <c r="V329" s="989">
        <f t="shared" si="39"/>
        <v>100</v>
      </c>
      <c r="W329" s="989"/>
      <c r="X329" s="989">
        <f t="shared" si="35"/>
        <v>0</v>
      </c>
      <c r="Y329" s="1012"/>
      <c r="Z329" s="941"/>
      <c r="AA329" s="941"/>
      <c r="AB329" s="941"/>
      <c r="AC329" s="941"/>
      <c r="AD329" s="941"/>
      <c r="AE329" s="941"/>
      <c r="AF329" s="941"/>
      <c r="AG329" s="941"/>
      <c r="AH329" s="941"/>
      <c r="AI329" s="941"/>
      <c r="AJ329" s="941"/>
      <c r="AK329" s="941"/>
      <c r="AL329" s="941"/>
      <c r="AM329" s="941"/>
    </row>
    <row r="330" spans="1:39" s="969" customFormat="1" ht="63" customHeight="1">
      <c r="A330" s="1006">
        <v>212</v>
      </c>
      <c r="B330" s="1007" t="s">
        <v>2893</v>
      </c>
      <c r="C330" s="1008"/>
      <c r="D330" s="1008" t="s">
        <v>3645</v>
      </c>
      <c r="E330" s="1007" t="s">
        <v>1678</v>
      </c>
      <c r="F330" s="1010" t="s">
        <v>549</v>
      </c>
      <c r="G330" s="989">
        <v>90400</v>
      </c>
      <c r="H330" s="937"/>
      <c r="I330" s="1046"/>
      <c r="J330" s="1046"/>
      <c r="K330" s="1047"/>
      <c r="L330" s="1046"/>
      <c r="M330" s="1094"/>
      <c r="N330" s="989">
        <v>90400</v>
      </c>
      <c r="O330" s="989">
        <v>0</v>
      </c>
      <c r="P330" s="989">
        <v>90400</v>
      </c>
      <c r="Q330" s="989">
        <f t="shared" si="36"/>
        <v>90400</v>
      </c>
      <c r="R330" s="989">
        <f t="shared" si="40"/>
        <v>100</v>
      </c>
      <c r="S330" s="1011">
        <v>0</v>
      </c>
      <c r="T330" s="989">
        <f t="shared" si="37"/>
        <v>0</v>
      </c>
      <c r="U330" s="989">
        <f t="shared" si="38"/>
        <v>90400</v>
      </c>
      <c r="V330" s="989">
        <f t="shared" si="39"/>
        <v>100</v>
      </c>
      <c r="W330" s="989"/>
      <c r="X330" s="989">
        <f t="shared" si="35"/>
        <v>0</v>
      </c>
      <c r="Y330" s="1012"/>
      <c r="Z330" s="941"/>
      <c r="AA330" s="941"/>
      <c r="AB330" s="941"/>
      <c r="AC330" s="941"/>
      <c r="AD330" s="941"/>
      <c r="AE330" s="941"/>
      <c r="AF330" s="941"/>
      <c r="AG330" s="941"/>
      <c r="AH330" s="941"/>
      <c r="AI330" s="941"/>
      <c r="AJ330" s="941"/>
      <c r="AK330" s="941"/>
      <c r="AL330" s="941"/>
      <c r="AM330" s="941"/>
    </row>
    <row r="331" spans="1:39" s="969" customFormat="1" ht="63" customHeight="1">
      <c r="A331" s="1006">
        <v>213</v>
      </c>
      <c r="B331" s="1007" t="s">
        <v>1679</v>
      </c>
      <c r="C331" s="1008"/>
      <c r="D331" s="1008" t="s">
        <v>3646</v>
      </c>
      <c r="E331" s="1007" t="s">
        <v>1680</v>
      </c>
      <c r="F331" s="1010" t="s">
        <v>549</v>
      </c>
      <c r="G331" s="989">
        <v>271200</v>
      </c>
      <c r="H331" s="937"/>
      <c r="I331" s="1046"/>
      <c r="J331" s="1046"/>
      <c r="K331" s="1047"/>
      <c r="L331" s="1046"/>
      <c r="M331" s="1094"/>
      <c r="N331" s="989">
        <v>271200</v>
      </c>
      <c r="O331" s="989">
        <v>0</v>
      </c>
      <c r="P331" s="989">
        <v>271200</v>
      </c>
      <c r="Q331" s="989">
        <f t="shared" si="36"/>
        <v>271200</v>
      </c>
      <c r="R331" s="989">
        <f t="shared" si="40"/>
        <v>100</v>
      </c>
      <c r="S331" s="1011">
        <v>0</v>
      </c>
      <c r="T331" s="989">
        <f t="shared" si="37"/>
        <v>0</v>
      </c>
      <c r="U331" s="989">
        <f t="shared" si="38"/>
        <v>271200</v>
      </c>
      <c r="V331" s="989">
        <f t="shared" si="39"/>
        <v>100</v>
      </c>
      <c r="W331" s="989"/>
      <c r="X331" s="989">
        <f t="shared" si="35"/>
        <v>0</v>
      </c>
      <c r="Y331" s="1012"/>
      <c r="Z331" s="941"/>
      <c r="AA331" s="941"/>
      <c r="AB331" s="941"/>
      <c r="AC331" s="941"/>
      <c r="AD331" s="941"/>
      <c r="AE331" s="941"/>
      <c r="AF331" s="941"/>
      <c r="AG331" s="941"/>
      <c r="AH331" s="941"/>
      <c r="AI331" s="941"/>
      <c r="AJ331" s="941"/>
      <c r="AK331" s="941"/>
      <c r="AL331" s="941"/>
      <c r="AM331" s="941"/>
    </row>
    <row r="332" spans="1:39" s="969" customFormat="1" ht="63" customHeight="1">
      <c r="A332" s="1006">
        <v>214</v>
      </c>
      <c r="B332" s="1007" t="s">
        <v>1681</v>
      </c>
      <c r="C332" s="1008"/>
      <c r="D332" s="1008" t="s">
        <v>3647</v>
      </c>
      <c r="E332" s="1007" t="s">
        <v>1682</v>
      </c>
      <c r="F332" s="1010" t="s">
        <v>549</v>
      </c>
      <c r="G332" s="989">
        <v>90400</v>
      </c>
      <c r="H332" s="937"/>
      <c r="I332" s="1046"/>
      <c r="J332" s="1046"/>
      <c r="K332" s="1047"/>
      <c r="L332" s="1046"/>
      <c r="M332" s="1094"/>
      <c r="N332" s="989">
        <v>90400</v>
      </c>
      <c r="O332" s="989">
        <v>0</v>
      </c>
      <c r="P332" s="989">
        <v>90400</v>
      </c>
      <c r="Q332" s="989">
        <f t="shared" si="36"/>
        <v>90400</v>
      </c>
      <c r="R332" s="989">
        <f t="shared" si="40"/>
        <v>100</v>
      </c>
      <c r="S332" s="1011">
        <v>0</v>
      </c>
      <c r="T332" s="989">
        <f t="shared" si="37"/>
        <v>0</v>
      </c>
      <c r="U332" s="989">
        <f t="shared" si="38"/>
        <v>90400</v>
      </c>
      <c r="V332" s="989">
        <f t="shared" si="39"/>
        <v>100</v>
      </c>
      <c r="W332" s="989"/>
      <c r="X332" s="989">
        <f t="shared" si="35"/>
        <v>0</v>
      </c>
      <c r="Y332" s="1012"/>
      <c r="Z332" s="941"/>
      <c r="AA332" s="941"/>
      <c r="AB332" s="941"/>
      <c r="AC332" s="941"/>
      <c r="AD332" s="941"/>
      <c r="AE332" s="941"/>
      <c r="AF332" s="941"/>
      <c r="AG332" s="941"/>
      <c r="AH332" s="941"/>
      <c r="AI332" s="941"/>
      <c r="AJ332" s="941"/>
      <c r="AK332" s="941"/>
      <c r="AL332" s="941"/>
      <c r="AM332" s="941"/>
    </row>
    <row r="333" spans="1:39" s="969" customFormat="1" ht="63" customHeight="1">
      <c r="A333" s="1006">
        <v>215</v>
      </c>
      <c r="B333" s="1007" t="s">
        <v>1683</v>
      </c>
      <c r="C333" s="1008"/>
      <c r="D333" s="1008" t="s">
        <v>3648</v>
      </c>
      <c r="E333" s="1007" t="s">
        <v>1684</v>
      </c>
      <c r="F333" s="1010" t="s">
        <v>549</v>
      </c>
      <c r="G333" s="989">
        <v>180800</v>
      </c>
      <c r="H333" s="937"/>
      <c r="I333" s="1046"/>
      <c r="J333" s="1046"/>
      <c r="K333" s="1047"/>
      <c r="L333" s="1046"/>
      <c r="M333" s="1094"/>
      <c r="N333" s="989">
        <v>180800</v>
      </c>
      <c r="O333" s="989">
        <v>0</v>
      </c>
      <c r="P333" s="989">
        <v>180800</v>
      </c>
      <c r="Q333" s="989">
        <f t="shared" si="36"/>
        <v>180800</v>
      </c>
      <c r="R333" s="989">
        <f t="shared" si="40"/>
        <v>100</v>
      </c>
      <c r="S333" s="1011">
        <v>0</v>
      </c>
      <c r="T333" s="989">
        <f t="shared" si="37"/>
        <v>0</v>
      </c>
      <c r="U333" s="989">
        <f t="shared" si="38"/>
        <v>180800</v>
      </c>
      <c r="V333" s="989">
        <f t="shared" si="39"/>
        <v>100</v>
      </c>
      <c r="W333" s="989"/>
      <c r="X333" s="989">
        <f t="shared" si="35"/>
        <v>0</v>
      </c>
      <c r="Y333" s="1012"/>
      <c r="Z333" s="941"/>
      <c r="AA333" s="941"/>
      <c r="AB333" s="941"/>
      <c r="AC333" s="941"/>
      <c r="AD333" s="941"/>
      <c r="AE333" s="941"/>
      <c r="AF333" s="941"/>
      <c r="AG333" s="941"/>
      <c r="AH333" s="941"/>
      <c r="AI333" s="941"/>
      <c r="AJ333" s="941"/>
      <c r="AK333" s="941"/>
      <c r="AL333" s="941"/>
      <c r="AM333" s="941"/>
    </row>
    <row r="334" spans="1:39" s="969" customFormat="1" ht="63" customHeight="1">
      <c r="A334" s="1006">
        <v>216</v>
      </c>
      <c r="B334" s="1007" t="s">
        <v>1685</v>
      </c>
      <c r="C334" s="1008"/>
      <c r="D334" s="1008" t="s">
        <v>3649</v>
      </c>
      <c r="E334" s="1007" t="s">
        <v>1686</v>
      </c>
      <c r="F334" s="1010" t="s">
        <v>549</v>
      </c>
      <c r="G334" s="989">
        <v>90400</v>
      </c>
      <c r="H334" s="937"/>
      <c r="I334" s="1046"/>
      <c r="J334" s="1046"/>
      <c r="K334" s="1047"/>
      <c r="L334" s="1046"/>
      <c r="M334" s="1094">
        <v>-36000</v>
      </c>
      <c r="N334" s="989">
        <f>90400+M334</f>
        <v>54400</v>
      </c>
      <c r="O334" s="989">
        <v>0</v>
      </c>
      <c r="P334" s="989">
        <v>54400</v>
      </c>
      <c r="Q334" s="989">
        <f t="shared" si="36"/>
        <v>54400</v>
      </c>
      <c r="R334" s="989">
        <f t="shared" si="40"/>
        <v>100</v>
      </c>
      <c r="S334" s="1011">
        <v>0</v>
      </c>
      <c r="T334" s="989">
        <f t="shared" si="37"/>
        <v>0</v>
      </c>
      <c r="U334" s="989">
        <f t="shared" si="38"/>
        <v>54400</v>
      </c>
      <c r="V334" s="989">
        <f t="shared" si="39"/>
        <v>100</v>
      </c>
      <c r="W334" s="989"/>
      <c r="X334" s="989">
        <f t="shared" si="35"/>
        <v>0</v>
      </c>
      <c r="Y334" s="1012"/>
      <c r="Z334" s="941"/>
      <c r="AA334" s="941"/>
      <c r="AB334" s="941"/>
      <c r="AC334" s="941"/>
      <c r="AD334" s="941"/>
      <c r="AE334" s="941"/>
      <c r="AF334" s="941"/>
      <c r="AG334" s="941"/>
      <c r="AH334" s="941"/>
      <c r="AI334" s="941"/>
      <c r="AJ334" s="941"/>
      <c r="AK334" s="941"/>
      <c r="AL334" s="941"/>
      <c r="AM334" s="941"/>
    </row>
    <row r="335" spans="1:39" s="969" customFormat="1" ht="63" customHeight="1">
      <c r="A335" s="1006">
        <v>217</v>
      </c>
      <c r="B335" s="1007" t="s">
        <v>1687</v>
      </c>
      <c r="C335" s="1008"/>
      <c r="D335" s="1008" t="s">
        <v>3650</v>
      </c>
      <c r="E335" s="1007" t="s">
        <v>1688</v>
      </c>
      <c r="F335" s="1010" t="s">
        <v>549</v>
      </c>
      <c r="G335" s="989">
        <v>45200</v>
      </c>
      <c r="H335" s="937"/>
      <c r="I335" s="1046"/>
      <c r="J335" s="1046"/>
      <c r="K335" s="1047"/>
      <c r="L335" s="1046"/>
      <c r="M335" s="1094">
        <v>-13152</v>
      </c>
      <c r="N335" s="989">
        <f>45200+M335</f>
        <v>32048</v>
      </c>
      <c r="O335" s="989">
        <v>32048</v>
      </c>
      <c r="P335" s="989">
        <v>0</v>
      </c>
      <c r="Q335" s="989">
        <f t="shared" si="36"/>
        <v>32048</v>
      </c>
      <c r="R335" s="989">
        <f t="shared" si="40"/>
        <v>100</v>
      </c>
      <c r="S335" s="1011">
        <v>0</v>
      </c>
      <c r="T335" s="989">
        <f t="shared" si="37"/>
        <v>0</v>
      </c>
      <c r="U335" s="989">
        <f t="shared" si="38"/>
        <v>32048</v>
      </c>
      <c r="V335" s="989">
        <f t="shared" si="39"/>
        <v>100</v>
      </c>
      <c r="W335" s="989"/>
      <c r="X335" s="989">
        <f t="shared" si="35"/>
        <v>0</v>
      </c>
      <c r="Y335" s="1012"/>
      <c r="Z335" s="941"/>
      <c r="AA335" s="941"/>
      <c r="AB335" s="941"/>
      <c r="AC335" s="941"/>
      <c r="AD335" s="941"/>
      <c r="AE335" s="941"/>
      <c r="AF335" s="941"/>
      <c r="AG335" s="941"/>
      <c r="AH335" s="941"/>
      <c r="AI335" s="941"/>
      <c r="AJ335" s="941"/>
      <c r="AK335" s="941"/>
      <c r="AL335" s="941"/>
      <c r="AM335" s="941"/>
    </row>
    <row r="336" spans="1:39" s="969" customFormat="1" ht="63" customHeight="1">
      <c r="A336" s="1006">
        <v>218</v>
      </c>
      <c r="B336" s="1007" t="s">
        <v>2894</v>
      </c>
      <c r="C336" s="1008"/>
      <c r="D336" s="1008" t="s">
        <v>3651</v>
      </c>
      <c r="E336" s="1007" t="s">
        <v>1689</v>
      </c>
      <c r="F336" s="1010" t="s">
        <v>549</v>
      </c>
      <c r="G336" s="989">
        <v>271200</v>
      </c>
      <c r="H336" s="937"/>
      <c r="I336" s="1046"/>
      <c r="J336" s="1046"/>
      <c r="K336" s="1047"/>
      <c r="L336" s="1046"/>
      <c r="M336" s="1094"/>
      <c r="N336" s="989">
        <v>271200</v>
      </c>
      <c r="O336" s="989">
        <v>0</v>
      </c>
      <c r="P336" s="989">
        <v>271200</v>
      </c>
      <c r="Q336" s="989">
        <f t="shared" si="36"/>
        <v>271200</v>
      </c>
      <c r="R336" s="989">
        <f t="shared" si="40"/>
        <v>100</v>
      </c>
      <c r="S336" s="1011">
        <v>0</v>
      </c>
      <c r="T336" s="989">
        <f t="shared" si="37"/>
        <v>0</v>
      </c>
      <c r="U336" s="989">
        <f t="shared" si="38"/>
        <v>271200</v>
      </c>
      <c r="V336" s="989">
        <f t="shared" si="39"/>
        <v>100</v>
      </c>
      <c r="W336" s="989"/>
      <c r="X336" s="989">
        <f t="shared" si="35"/>
        <v>0</v>
      </c>
      <c r="Y336" s="1012"/>
      <c r="Z336" s="941"/>
      <c r="AA336" s="941"/>
      <c r="AB336" s="941"/>
      <c r="AC336" s="941"/>
      <c r="AD336" s="941"/>
      <c r="AE336" s="941"/>
      <c r="AF336" s="941"/>
      <c r="AG336" s="941"/>
      <c r="AH336" s="941"/>
      <c r="AI336" s="941"/>
      <c r="AJ336" s="941"/>
      <c r="AK336" s="941"/>
      <c r="AL336" s="941"/>
      <c r="AM336" s="941"/>
    </row>
    <row r="337" spans="1:25" ht="63" customHeight="1">
      <c r="A337" s="1006">
        <v>219</v>
      </c>
      <c r="B337" s="1007" t="s">
        <v>2895</v>
      </c>
      <c r="C337" s="1008"/>
      <c r="D337" s="1008" t="s">
        <v>3652</v>
      </c>
      <c r="E337" s="1007" t="s">
        <v>1690</v>
      </c>
      <c r="F337" s="1010" t="s">
        <v>1178</v>
      </c>
      <c r="G337" s="989">
        <v>45200</v>
      </c>
      <c r="H337" s="937"/>
      <c r="I337" s="1046"/>
      <c r="J337" s="1046"/>
      <c r="K337" s="1047"/>
      <c r="L337" s="1046"/>
      <c r="M337" s="1094"/>
      <c r="N337" s="989">
        <v>45200</v>
      </c>
      <c r="O337" s="989">
        <v>0</v>
      </c>
      <c r="P337" s="989">
        <v>25080</v>
      </c>
      <c r="Q337" s="989">
        <f t="shared" si="36"/>
        <v>25080</v>
      </c>
      <c r="R337" s="989">
        <f t="shared" si="40"/>
        <v>55.486725663716818</v>
      </c>
      <c r="S337" s="1011">
        <v>0</v>
      </c>
      <c r="T337" s="989">
        <f t="shared" si="37"/>
        <v>0</v>
      </c>
      <c r="U337" s="989">
        <f t="shared" si="38"/>
        <v>25080</v>
      </c>
      <c r="V337" s="989">
        <f t="shared" si="39"/>
        <v>55.486725663716818</v>
      </c>
      <c r="W337" s="989"/>
      <c r="X337" s="989">
        <f t="shared" si="35"/>
        <v>20120</v>
      </c>
      <c r="Y337" s="1012"/>
    </row>
    <row r="338" spans="1:25" ht="63" customHeight="1">
      <c r="A338" s="1006">
        <v>220</v>
      </c>
      <c r="B338" s="1007" t="s">
        <v>2896</v>
      </c>
      <c r="C338" s="1008"/>
      <c r="D338" s="1008" t="s">
        <v>3653</v>
      </c>
      <c r="E338" s="1007" t="s">
        <v>1691</v>
      </c>
      <c r="F338" s="1010" t="s">
        <v>1178</v>
      </c>
      <c r="G338" s="989">
        <v>90400</v>
      </c>
      <c r="H338" s="937"/>
      <c r="I338" s="1046"/>
      <c r="J338" s="1046"/>
      <c r="K338" s="1047"/>
      <c r="L338" s="1046"/>
      <c r="M338" s="1094"/>
      <c r="N338" s="989">
        <v>90400</v>
      </c>
      <c r="O338" s="989">
        <v>0</v>
      </c>
      <c r="P338" s="989">
        <v>90400</v>
      </c>
      <c r="Q338" s="989">
        <f t="shared" si="36"/>
        <v>90400</v>
      </c>
      <c r="R338" s="989">
        <f t="shared" si="40"/>
        <v>100</v>
      </c>
      <c r="S338" s="1011">
        <v>0</v>
      </c>
      <c r="T338" s="989">
        <f t="shared" si="37"/>
        <v>0</v>
      </c>
      <c r="U338" s="989">
        <f t="shared" si="38"/>
        <v>90400</v>
      </c>
      <c r="V338" s="989">
        <f t="shared" si="39"/>
        <v>100</v>
      </c>
      <c r="W338" s="989"/>
      <c r="X338" s="989">
        <f t="shared" si="35"/>
        <v>0</v>
      </c>
      <c r="Y338" s="1012"/>
    </row>
    <row r="339" spans="1:25" s="950" customFormat="1" ht="63" customHeight="1">
      <c r="A339" s="1006">
        <v>221</v>
      </c>
      <c r="B339" s="1007" t="s">
        <v>4473</v>
      </c>
      <c r="C339" s="1008"/>
      <c r="D339" s="1008" t="s">
        <v>4474</v>
      </c>
      <c r="E339" s="1007" t="s">
        <v>4378</v>
      </c>
      <c r="F339" s="1010" t="s">
        <v>343</v>
      </c>
      <c r="G339" s="989"/>
      <c r="H339" s="937"/>
      <c r="I339" s="1046"/>
      <c r="J339" s="1046"/>
      <c r="K339" s="1047"/>
      <c r="L339" s="1046"/>
      <c r="M339" s="1094"/>
      <c r="N339" s="989">
        <v>0</v>
      </c>
      <c r="O339" s="989">
        <v>0</v>
      </c>
      <c r="P339" s="989"/>
      <c r="Q339" s="989">
        <f t="shared" si="36"/>
        <v>0</v>
      </c>
      <c r="R339" s="989" t="e">
        <f t="shared" si="40"/>
        <v>#DIV/0!</v>
      </c>
      <c r="S339" s="1011"/>
      <c r="T339" s="989"/>
      <c r="U339" s="989">
        <f t="shared" si="38"/>
        <v>0</v>
      </c>
      <c r="V339" s="989"/>
      <c r="W339" s="989"/>
      <c r="X339" s="989">
        <f t="shared" si="35"/>
        <v>0</v>
      </c>
      <c r="Y339" s="1012"/>
    </row>
    <row r="340" spans="1:25" ht="63" customHeight="1">
      <c r="A340" s="1006">
        <v>222</v>
      </c>
      <c r="B340" s="1007" t="s">
        <v>1692</v>
      </c>
      <c r="C340" s="1008"/>
      <c r="D340" s="1008" t="s">
        <v>3654</v>
      </c>
      <c r="E340" s="1007" t="s">
        <v>2956</v>
      </c>
      <c r="F340" s="1010" t="s">
        <v>343</v>
      </c>
      <c r="G340" s="989">
        <v>90400</v>
      </c>
      <c r="H340" s="937"/>
      <c r="I340" s="1046"/>
      <c r="J340" s="1046"/>
      <c r="K340" s="1047"/>
      <c r="L340" s="1046"/>
      <c r="M340" s="1094"/>
      <c r="N340" s="989">
        <v>90400</v>
      </c>
      <c r="O340" s="989">
        <v>0</v>
      </c>
      <c r="P340" s="989">
        <v>90400</v>
      </c>
      <c r="Q340" s="989">
        <f t="shared" si="36"/>
        <v>90400</v>
      </c>
      <c r="R340" s="989">
        <f t="shared" si="40"/>
        <v>100</v>
      </c>
      <c r="S340" s="1011">
        <v>0</v>
      </c>
      <c r="T340" s="989">
        <f t="shared" si="37"/>
        <v>0</v>
      </c>
      <c r="U340" s="989">
        <f t="shared" si="38"/>
        <v>90400</v>
      </c>
      <c r="V340" s="989">
        <f t="shared" si="39"/>
        <v>100</v>
      </c>
      <c r="W340" s="989"/>
      <c r="X340" s="989">
        <f t="shared" si="35"/>
        <v>0</v>
      </c>
      <c r="Y340" s="1012"/>
    </row>
    <row r="341" spans="1:25" ht="63" customHeight="1">
      <c r="A341" s="1006">
        <v>223</v>
      </c>
      <c r="B341" s="1007" t="s">
        <v>1693</v>
      </c>
      <c r="C341" s="1008"/>
      <c r="D341" s="1008" t="s">
        <v>3655</v>
      </c>
      <c r="E341" s="1007" t="s">
        <v>4343</v>
      </c>
      <c r="F341" s="1010" t="s">
        <v>343</v>
      </c>
      <c r="G341" s="989">
        <v>90400</v>
      </c>
      <c r="H341" s="937"/>
      <c r="I341" s="1046"/>
      <c r="J341" s="1046"/>
      <c r="K341" s="1047"/>
      <c r="L341" s="1046"/>
      <c r="M341" s="1094"/>
      <c r="N341" s="989">
        <f>90400</f>
        <v>90400</v>
      </c>
      <c r="O341" s="989">
        <v>0</v>
      </c>
      <c r="P341" s="989">
        <v>90400</v>
      </c>
      <c r="Q341" s="989">
        <f t="shared" si="36"/>
        <v>90400</v>
      </c>
      <c r="R341" s="989">
        <f t="shared" si="40"/>
        <v>100</v>
      </c>
      <c r="S341" s="1011">
        <v>0</v>
      </c>
      <c r="T341" s="989">
        <f t="shared" si="37"/>
        <v>0</v>
      </c>
      <c r="U341" s="989">
        <f t="shared" si="38"/>
        <v>90400</v>
      </c>
      <c r="V341" s="989">
        <f t="shared" si="39"/>
        <v>100</v>
      </c>
      <c r="W341" s="989"/>
      <c r="X341" s="989">
        <f t="shared" si="35"/>
        <v>0</v>
      </c>
      <c r="Y341" s="1012"/>
    </row>
    <row r="342" spans="1:25" ht="63" customHeight="1">
      <c r="A342" s="1006">
        <v>224</v>
      </c>
      <c r="B342" s="1007" t="s">
        <v>1694</v>
      </c>
      <c r="C342" s="1008"/>
      <c r="D342" s="1008" t="s">
        <v>3656</v>
      </c>
      <c r="E342" s="1007" t="s">
        <v>1695</v>
      </c>
      <c r="F342" s="1010" t="s">
        <v>1181</v>
      </c>
      <c r="G342" s="989">
        <v>271200</v>
      </c>
      <c r="H342" s="937"/>
      <c r="I342" s="1046"/>
      <c r="J342" s="1046"/>
      <c r="K342" s="1047"/>
      <c r="L342" s="1046"/>
      <c r="M342" s="1094"/>
      <c r="N342" s="989">
        <v>271200</v>
      </c>
      <c r="O342" s="989">
        <v>0</v>
      </c>
      <c r="P342" s="989">
        <v>208931.15</v>
      </c>
      <c r="Q342" s="989">
        <f t="shared" si="36"/>
        <v>208931.15</v>
      </c>
      <c r="R342" s="989">
        <f t="shared" si="40"/>
        <v>77.039509587020646</v>
      </c>
      <c r="S342" s="1011">
        <v>45200</v>
      </c>
      <c r="T342" s="989">
        <f t="shared" si="37"/>
        <v>16.666666666666664</v>
      </c>
      <c r="U342" s="989">
        <f t="shared" si="38"/>
        <v>254131.15</v>
      </c>
      <c r="V342" s="989">
        <f t="shared" si="39"/>
        <v>93.706176253687318</v>
      </c>
      <c r="W342" s="989"/>
      <c r="X342" s="989">
        <f t="shared" si="35"/>
        <v>17068.850000000006</v>
      </c>
      <c r="Y342" s="1012"/>
    </row>
    <row r="343" spans="1:25" ht="63" customHeight="1">
      <c r="A343" s="1006">
        <v>225</v>
      </c>
      <c r="B343" s="1007" t="s">
        <v>2897</v>
      </c>
      <c r="C343" s="1008"/>
      <c r="D343" s="1008" t="s">
        <v>3657</v>
      </c>
      <c r="E343" s="1007" t="s">
        <v>1696</v>
      </c>
      <c r="F343" s="1010" t="s">
        <v>1181</v>
      </c>
      <c r="G343" s="989">
        <v>45200</v>
      </c>
      <c r="H343" s="937"/>
      <c r="I343" s="1046"/>
      <c r="J343" s="1046"/>
      <c r="K343" s="1047"/>
      <c r="L343" s="1046"/>
      <c r="M343" s="1094">
        <v>-12290.92</v>
      </c>
      <c r="N343" s="989">
        <f>45200+M343</f>
        <v>32909.08</v>
      </c>
      <c r="O343" s="989">
        <v>0</v>
      </c>
      <c r="P343" s="989">
        <v>32909.08</v>
      </c>
      <c r="Q343" s="989">
        <f t="shared" si="36"/>
        <v>32909.08</v>
      </c>
      <c r="R343" s="989">
        <f t="shared" si="40"/>
        <v>100</v>
      </c>
      <c r="S343" s="1011">
        <v>0</v>
      </c>
      <c r="T343" s="989">
        <f t="shared" si="37"/>
        <v>0</v>
      </c>
      <c r="U343" s="989">
        <f t="shared" si="38"/>
        <v>32909.08</v>
      </c>
      <c r="V343" s="989">
        <f t="shared" si="39"/>
        <v>100</v>
      </c>
      <c r="W343" s="989"/>
      <c r="X343" s="989">
        <f t="shared" si="35"/>
        <v>0</v>
      </c>
      <c r="Y343" s="1012"/>
    </row>
    <row r="344" spans="1:25" ht="63" customHeight="1">
      <c r="A344" s="1006">
        <v>226</v>
      </c>
      <c r="B344" s="1007" t="s">
        <v>1697</v>
      </c>
      <c r="C344" s="1008"/>
      <c r="D344" s="1008" t="s">
        <v>3658</v>
      </c>
      <c r="E344" s="1007" t="s">
        <v>2957</v>
      </c>
      <c r="F344" s="1010" t="s">
        <v>1181</v>
      </c>
      <c r="G344" s="989">
        <v>271200</v>
      </c>
      <c r="H344" s="937"/>
      <c r="I344" s="1046"/>
      <c r="J344" s="1046"/>
      <c r="K344" s="1047"/>
      <c r="L344" s="1046"/>
      <c r="M344" s="1094"/>
      <c r="N344" s="989">
        <v>271200</v>
      </c>
      <c r="O344" s="989">
        <v>0</v>
      </c>
      <c r="P344" s="989">
        <v>271200</v>
      </c>
      <c r="Q344" s="989">
        <f t="shared" si="36"/>
        <v>271200</v>
      </c>
      <c r="R344" s="989">
        <f t="shared" si="40"/>
        <v>100</v>
      </c>
      <c r="S344" s="1011">
        <v>0</v>
      </c>
      <c r="T344" s="989">
        <f t="shared" si="37"/>
        <v>0</v>
      </c>
      <c r="U344" s="989">
        <f t="shared" si="38"/>
        <v>271200</v>
      </c>
      <c r="V344" s="989">
        <f t="shared" si="39"/>
        <v>100</v>
      </c>
      <c r="W344" s="989"/>
      <c r="X344" s="989">
        <f t="shared" si="35"/>
        <v>0</v>
      </c>
      <c r="Y344" s="1012"/>
    </row>
    <row r="345" spans="1:25" ht="63" customHeight="1">
      <c r="A345" s="1006">
        <v>227</v>
      </c>
      <c r="B345" s="1007" t="s">
        <v>1698</v>
      </c>
      <c r="C345" s="1008"/>
      <c r="D345" s="1008" t="s">
        <v>3659</v>
      </c>
      <c r="E345" s="1007" t="s">
        <v>2958</v>
      </c>
      <c r="F345" s="1010" t="s">
        <v>1181</v>
      </c>
      <c r="G345" s="989">
        <v>180800</v>
      </c>
      <c r="H345" s="937"/>
      <c r="I345" s="1046"/>
      <c r="J345" s="1046"/>
      <c r="K345" s="1047"/>
      <c r="L345" s="1046"/>
      <c r="M345" s="1094"/>
      <c r="N345" s="989">
        <v>180800</v>
      </c>
      <c r="O345" s="989">
        <v>0</v>
      </c>
      <c r="P345" s="989">
        <v>180800</v>
      </c>
      <c r="Q345" s="989">
        <f t="shared" si="36"/>
        <v>180800</v>
      </c>
      <c r="R345" s="989">
        <f t="shared" si="40"/>
        <v>100</v>
      </c>
      <c r="S345" s="1011">
        <v>0</v>
      </c>
      <c r="T345" s="989">
        <f t="shared" si="37"/>
        <v>0</v>
      </c>
      <c r="U345" s="989">
        <f t="shared" si="38"/>
        <v>180800</v>
      </c>
      <c r="V345" s="989">
        <f t="shared" si="39"/>
        <v>100</v>
      </c>
      <c r="W345" s="989"/>
      <c r="X345" s="989">
        <f t="shared" si="35"/>
        <v>0</v>
      </c>
      <c r="Y345" s="1012"/>
    </row>
    <row r="346" spans="1:25" ht="63" customHeight="1">
      <c r="A346" s="1006">
        <v>228</v>
      </c>
      <c r="B346" s="1007" t="s">
        <v>1699</v>
      </c>
      <c r="C346" s="1008"/>
      <c r="D346" s="1008" t="s">
        <v>3660</v>
      </c>
      <c r="E346" s="1007" t="s">
        <v>4344</v>
      </c>
      <c r="F346" s="1010" t="s">
        <v>1181</v>
      </c>
      <c r="G346" s="989">
        <v>90400</v>
      </c>
      <c r="H346" s="937"/>
      <c r="I346" s="1046"/>
      <c r="J346" s="1046"/>
      <c r="K346" s="1047">
        <v>-10700</v>
      </c>
      <c r="L346" s="1046"/>
      <c r="M346" s="1094">
        <v>-690</v>
      </c>
      <c r="N346" s="989">
        <f>90400+K346+M346</f>
        <v>79010</v>
      </c>
      <c r="O346" s="989">
        <v>0</v>
      </c>
      <c r="P346" s="989">
        <v>79010</v>
      </c>
      <c r="Q346" s="989">
        <f t="shared" si="36"/>
        <v>79010</v>
      </c>
      <c r="R346" s="989">
        <f t="shared" si="40"/>
        <v>100</v>
      </c>
      <c r="S346" s="1011">
        <v>0</v>
      </c>
      <c r="T346" s="989">
        <f t="shared" si="37"/>
        <v>0</v>
      </c>
      <c r="U346" s="989">
        <f t="shared" si="38"/>
        <v>79010</v>
      </c>
      <c r="V346" s="989">
        <f t="shared" si="39"/>
        <v>100</v>
      </c>
      <c r="W346" s="989"/>
      <c r="X346" s="989">
        <f t="shared" si="35"/>
        <v>0</v>
      </c>
      <c r="Y346" s="1012"/>
    </row>
    <row r="347" spans="1:25" ht="63" customHeight="1">
      <c r="A347" s="1006">
        <v>229</v>
      </c>
      <c r="B347" s="1007" t="s">
        <v>1700</v>
      </c>
      <c r="C347" s="1008"/>
      <c r="D347" s="1008" t="s">
        <v>3661</v>
      </c>
      <c r="E347" s="1007" t="s">
        <v>1701</v>
      </c>
      <c r="F347" s="1010" t="s">
        <v>1181</v>
      </c>
      <c r="G347" s="989">
        <v>45200</v>
      </c>
      <c r="H347" s="937"/>
      <c r="I347" s="1046"/>
      <c r="J347" s="1046"/>
      <c r="K347" s="1047"/>
      <c r="L347" s="1046"/>
      <c r="M347" s="1094"/>
      <c r="N347" s="989">
        <v>45200</v>
      </c>
      <c r="O347" s="989">
        <v>0</v>
      </c>
      <c r="P347" s="989">
        <v>45200</v>
      </c>
      <c r="Q347" s="989">
        <f t="shared" si="36"/>
        <v>45200</v>
      </c>
      <c r="R347" s="989">
        <f t="shared" si="40"/>
        <v>100</v>
      </c>
      <c r="S347" s="1011">
        <v>0</v>
      </c>
      <c r="T347" s="989">
        <f t="shared" si="37"/>
        <v>0</v>
      </c>
      <c r="U347" s="989">
        <f t="shared" si="38"/>
        <v>45200</v>
      </c>
      <c r="V347" s="989">
        <f t="shared" si="39"/>
        <v>100</v>
      </c>
      <c r="W347" s="989"/>
      <c r="X347" s="989">
        <f t="shared" si="35"/>
        <v>0</v>
      </c>
      <c r="Y347" s="1012"/>
    </row>
    <row r="348" spans="1:25" ht="63" customHeight="1">
      <c r="A348" s="1006">
        <v>230</v>
      </c>
      <c r="B348" s="1007" t="s">
        <v>1702</v>
      </c>
      <c r="C348" s="1008"/>
      <c r="D348" s="1008" t="s">
        <v>3662</v>
      </c>
      <c r="E348" s="1007" t="s">
        <v>1703</v>
      </c>
      <c r="F348" s="1010" t="s">
        <v>1188</v>
      </c>
      <c r="G348" s="989">
        <v>45200</v>
      </c>
      <c r="H348" s="937"/>
      <c r="I348" s="1046"/>
      <c r="J348" s="1046"/>
      <c r="K348" s="1047"/>
      <c r="L348" s="1046"/>
      <c r="M348" s="1094"/>
      <c r="N348" s="989">
        <v>45200</v>
      </c>
      <c r="O348" s="989">
        <v>0</v>
      </c>
      <c r="P348" s="989">
        <v>45200</v>
      </c>
      <c r="Q348" s="989">
        <f t="shared" si="36"/>
        <v>45200</v>
      </c>
      <c r="R348" s="989">
        <f t="shared" si="40"/>
        <v>100</v>
      </c>
      <c r="S348" s="1011">
        <v>0</v>
      </c>
      <c r="T348" s="989">
        <f t="shared" si="37"/>
        <v>0</v>
      </c>
      <c r="U348" s="989">
        <f t="shared" si="38"/>
        <v>45200</v>
      </c>
      <c r="V348" s="989">
        <f t="shared" si="39"/>
        <v>100</v>
      </c>
      <c r="W348" s="989"/>
      <c r="X348" s="989">
        <f t="shared" si="35"/>
        <v>0</v>
      </c>
      <c r="Y348" s="1012"/>
    </row>
    <row r="349" spans="1:25" ht="63" customHeight="1">
      <c r="A349" s="1006">
        <v>231</v>
      </c>
      <c r="B349" s="1007" t="s">
        <v>1704</v>
      </c>
      <c r="C349" s="1008"/>
      <c r="D349" s="1008" t="s">
        <v>3663</v>
      </c>
      <c r="E349" s="1007" t="s">
        <v>1705</v>
      </c>
      <c r="F349" s="1010" t="s">
        <v>1188</v>
      </c>
      <c r="G349" s="989">
        <v>180800</v>
      </c>
      <c r="H349" s="937"/>
      <c r="I349" s="1046"/>
      <c r="J349" s="1046"/>
      <c r="K349" s="1047"/>
      <c r="L349" s="1046"/>
      <c r="M349" s="1094"/>
      <c r="N349" s="989">
        <v>180800</v>
      </c>
      <c r="O349" s="989">
        <v>180800</v>
      </c>
      <c r="P349" s="989"/>
      <c r="Q349" s="989">
        <f t="shared" si="36"/>
        <v>180800</v>
      </c>
      <c r="R349" s="989">
        <f t="shared" si="40"/>
        <v>100</v>
      </c>
      <c r="S349" s="1011"/>
      <c r="T349" s="989">
        <f t="shared" si="37"/>
        <v>0</v>
      </c>
      <c r="U349" s="989">
        <f t="shared" si="38"/>
        <v>180800</v>
      </c>
      <c r="V349" s="989">
        <f t="shared" si="39"/>
        <v>100</v>
      </c>
      <c r="W349" s="989"/>
      <c r="X349" s="989">
        <f t="shared" si="35"/>
        <v>0</v>
      </c>
      <c r="Y349" s="1012"/>
    </row>
    <row r="350" spans="1:25" ht="63" customHeight="1">
      <c r="A350" s="1006">
        <v>232</v>
      </c>
      <c r="B350" s="1007" t="s">
        <v>1706</v>
      </c>
      <c r="C350" s="1008"/>
      <c r="D350" s="1008" t="s">
        <v>3664</v>
      </c>
      <c r="E350" s="1007" t="s">
        <v>1707</v>
      </c>
      <c r="F350" s="1010" t="s">
        <v>1188</v>
      </c>
      <c r="G350" s="989">
        <v>45200</v>
      </c>
      <c r="H350" s="937"/>
      <c r="I350" s="1046"/>
      <c r="J350" s="1046"/>
      <c r="K350" s="1047"/>
      <c r="L350" s="1046"/>
      <c r="M350" s="1094"/>
      <c r="N350" s="989">
        <v>45200</v>
      </c>
      <c r="O350" s="989">
        <v>0</v>
      </c>
      <c r="P350" s="989">
        <v>45200</v>
      </c>
      <c r="Q350" s="989">
        <f t="shared" si="36"/>
        <v>45200</v>
      </c>
      <c r="R350" s="989">
        <f t="shared" si="40"/>
        <v>100</v>
      </c>
      <c r="S350" s="1011">
        <v>0</v>
      </c>
      <c r="T350" s="989">
        <f t="shared" si="37"/>
        <v>0</v>
      </c>
      <c r="U350" s="989">
        <f t="shared" si="38"/>
        <v>45200</v>
      </c>
      <c r="V350" s="989">
        <f t="shared" si="39"/>
        <v>100</v>
      </c>
      <c r="W350" s="989"/>
      <c r="X350" s="989">
        <f t="shared" si="35"/>
        <v>0</v>
      </c>
      <c r="Y350" s="1012"/>
    </row>
    <row r="351" spans="1:25" s="950" customFormat="1" ht="63" customHeight="1">
      <c r="A351" s="1006">
        <v>233</v>
      </c>
      <c r="B351" s="1007" t="s">
        <v>4475</v>
      </c>
      <c r="C351" s="1008"/>
      <c r="D351" s="1008" t="s">
        <v>4476</v>
      </c>
      <c r="E351" s="1007" t="s">
        <v>4379</v>
      </c>
      <c r="F351" s="1010" t="s">
        <v>2959</v>
      </c>
      <c r="G351" s="989">
        <v>104000</v>
      </c>
      <c r="H351" s="937"/>
      <c r="I351" s="1046"/>
      <c r="J351" s="1046"/>
      <c r="K351" s="1047"/>
      <c r="L351" s="1046"/>
      <c r="M351" s="1094"/>
      <c r="N351" s="989">
        <f>104000-104000</f>
        <v>0</v>
      </c>
      <c r="O351" s="989">
        <v>0</v>
      </c>
      <c r="P351" s="989">
        <v>0</v>
      </c>
      <c r="Q351" s="989">
        <f t="shared" si="36"/>
        <v>0</v>
      </c>
      <c r="R351" s="989" t="e">
        <f t="shared" si="40"/>
        <v>#DIV/0!</v>
      </c>
      <c r="S351" s="1011">
        <v>0</v>
      </c>
      <c r="T351" s="989"/>
      <c r="U351" s="989">
        <f t="shared" si="38"/>
        <v>0</v>
      </c>
      <c r="V351" s="989"/>
      <c r="W351" s="989"/>
      <c r="X351" s="989">
        <f t="shared" si="35"/>
        <v>0</v>
      </c>
      <c r="Y351" s="1012"/>
    </row>
    <row r="352" spans="1:25" ht="63" customHeight="1">
      <c r="A352" s="1006">
        <v>234</v>
      </c>
      <c r="B352" s="1007" t="s">
        <v>2898</v>
      </c>
      <c r="C352" s="1008"/>
      <c r="D352" s="1008" t="s">
        <v>3665</v>
      </c>
      <c r="E352" s="1007" t="s">
        <v>1708</v>
      </c>
      <c r="F352" s="1010" t="s">
        <v>1188</v>
      </c>
      <c r="G352" s="989">
        <v>45200</v>
      </c>
      <c r="H352" s="937"/>
      <c r="I352" s="1046"/>
      <c r="J352" s="1046"/>
      <c r="K352" s="1047">
        <v>-3663</v>
      </c>
      <c r="L352" s="1046"/>
      <c r="M352" s="1094"/>
      <c r="N352" s="989">
        <f>45200+M352+K352</f>
        <v>41537</v>
      </c>
      <c r="O352" s="989">
        <v>41537</v>
      </c>
      <c r="P352" s="989">
        <v>0</v>
      </c>
      <c r="Q352" s="989">
        <f t="shared" si="36"/>
        <v>41537</v>
      </c>
      <c r="R352" s="989">
        <f t="shared" si="40"/>
        <v>100</v>
      </c>
      <c r="S352" s="1011">
        <v>0</v>
      </c>
      <c r="T352" s="989">
        <f t="shared" si="37"/>
        <v>0</v>
      </c>
      <c r="U352" s="989">
        <f t="shared" si="38"/>
        <v>41537</v>
      </c>
      <c r="V352" s="989">
        <f t="shared" si="39"/>
        <v>100</v>
      </c>
      <c r="W352" s="989"/>
      <c r="X352" s="989">
        <f t="shared" si="35"/>
        <v>0</v>
      </c>
      <c r="Y352" s="1012"/>
    </row>
    <row r="353" spans="1:25" ht="63" customHeight="1">
      <c r="A353" s="1006">
        <v>235</v>
      </c>
      <c r="B353" s="1007" t="s">
        <v>1709</v>
      </c>
      <c r="C353" s="1008"/>
      <c r="D353" s="1008" t="s">
        <v>3666</v>
      </c>
      <c r="E353" s="1007" t="s">
        <v>1710</v>
      </c>
      <c r="F353" s="1010" t="s">
        <v>1188</v>
      </c>
      <c r="G353" s="989">
        <v>90400</v>
      </c>
      <c r="H353" s="937"/>
      <c r="I353" s="1046"/>
      <c r="J353" s="1046"/>
      <c r="K353" s="1047"/>
      <c r="L353" s="1046"/>
      <c r="M353" s="1094"/>
      <c r="N353" s="989">
        <v>90400</v>
      </c>
      <c r="O353" s="989">
        <v>90400</v>
      </c>
      <c r="P353" s="989"/>
      <c r="Q353" s="989">
        <f t="shared" si="36"/>
        <v>90400</v>
      </c>
      <c r="R353" s="989">
        <f t="shared" si="40"/>
        <v>100</v>
      </c>
      <c r="S353" s="1011"/>
      <c r="T353" s="989">
        <f t="shared" si="37"/>
        <v>0</v>
      </c>
      <c r="U353" s="989">
        <f t="shared" si="38"/>
        <v>90400</v>
      </c>
      <c r="V353" s="989">
        <f t="shared" si="39"/>
        <v>100</v>
      </c>
      <c r="W353" s="989"/>
      <c r="X353" s="989">
        <f t="shared" si="35"/>
        <v>0</v>
      </c>
      <c r="Y353" s="1012"/>
    </row>
    <row r="354" spans="1:25" ht="63" customHeight="1">
      <c r="A354" s="1006">
        <v>236</v>
      </c>
      <c r="B354" s="1007" t="s">
        <v>1711</v>
      </c>
      <c r="C354" s="1008"/>
      <c r="D354" s="1008" t="s">
        <v>3667</v>
      </c>
      <c r="E354" s="1007" t="s">
        <v>1712</v>
      </c>
      <c r="F354" s="1010" t="s">
        <v>2959</v>
      </c>
      <c r="G354" s="989">
        <v>104000</v>
      </c>
      <c r="H354" s="937"/>
      <c r="I354" s="1046"/>
      <c r="J354" s="1046"/>
      <c r="K354" s="1047">
        <v>-4482</v>
      </c>
      <c r="L354" s="1046"/>
      <c r="M354" s="1094"/>
      <c r="N354" s="989">
        <f>104000+M354+K354</f>
        <v>99518</v>
      </c>
      <c r="O354" s="989">
        <v>99518</v>
      </c>
      <c r="P354" s="989">
        <v>0</v>
      </c>
      <c r="Q354" s="989">
        <f t="shared" si="36"/>
        <v>99518</v>
      </c>
      <c r="R354" s="989">
        <f t="shared" si="40"/>
        <v>100</v>
      </c>
      <c r="S354" s="1011">
        <v>0</v>
      </c>
      <c r="T354" s="989">
        <f t="shared" si="37"/>
        <v>0</v>
      </c>
      <c r="U354" s="989">
        <f t="shared" si="38"/>
        <v>99518</v>
      </c>
      <c r="V354" s="989">
        <f t="shared" si="39"/>
        <v>100</v>
      </c>
      <c r="W354" s="989"/>
      <c r="X354" s="989">
        <f t="shared" si="35"/>
        <v>0</v>
      </c>
      <c r="Y354" s="1012"/>
    </row>
    <row r="355" spans="1:25" ht="63" customHeight="1">
      <c r="A355" s="1006">
        <v>237</v>
      </c>
      <c r="B355" s="1007" t="s">
        <v>1713</v>
      </c>
      <c r="C355" s="1008"/>
      <c r="D355" s="1008" t="s">
        <v>3668</v>
      </c>
      <c r="E355" s="1007" t="s">
        <v>2960</v>
      </c>
      <c r="F355" s="1010" t="s">
        <v>1188</v>
      </c>
      <c r="G355" s="989">
        <v>226000</v>
      </c>
      <c r="H355" s="937"/>
      <c r="I355" s="1046"/>
      <c r="J355" s="1046"/>
      <c r="K355" s="1047"/>
      <c r="L355" s="1046"/>
      <c r="M355" s="1094"/>
      <c r="N355" s="989">
        <v>226000</v>
      </c>
      <c r="O355" s="989">
        <v>90400</v>
      </c>
      <c r="P355" s="989">
        <v>135600</v>
      </c>
      <c r="Q355" s="989">
        <f t="shared" si="36"/>
        <v>226000</v>
      </c>
      <c r="R355" s="989">
        <f t="shared" si="40"/>
        <v>100</v>
      </c>
      <c r="S355" s="1011">
        <v>0</v>
      </c>
      <c r="T355" s="989">
        <f t="shared" si="37"/>
        <v>0</v>
      </c>
      <c r="U355" s="989">
        <f t="shared" si="38"/>
        <v>226000</v>
      </c>
      <c r="V355" s="989">
        <f t="shared" si="39"/>
        <v>100</v>
      </c>
      <c r="W355" s="989"/>
      <c r="X355" s="989">
        <f t="shared" si="35"/>
        <v>0</v>
      </c>
      <c r="Y355" s="1012"/>
    </row>
    <row r="356" spans="1:25" ht="63" customHeight="1">
      <c r="A356" s="1006">
        <v>238</v>
      </c>
      <c r="B356" s="1007" t="s">
        <v>4559</v>
      </c>
      <c r="C356" s="1008"/>
      <c r="D356" s="1008" t="s">
        <v>3669</v>
      </c>
      <c r="E356" s="1007" t="s">
        <v>1714</v>
      </c>
      <c r="F356" s="1010" t="s">
        <v>2959</v>
      </c>
      <c r="G356" s="989">
        <v>208000</v>
      </c>
      <c r="H356" s="937"/>
      <c r="I356" s="1046"/>
      <c r="J356" s="1046"/>
      <c r="K356" s="1047"/>
      <c r="L356" s="1046"/>
      <c r="M356" s="1094">
        <v>-208000</v>
      </c>
      <c r="N356" s="989">
        <f>G356+M356</f>
        <v>0</v>
      </c>
      <c r="O356" s="989">
        <v>0</v>
      </c>
      <c r="P356" s="989">
        <v>0</v>
      </c>
      <c r="Q356" s="989">
        <f t="shared" si="36"/>
        <v>0</v>
      </c>
      <c r="R356" s="989" t="e">
        <f t="shared" si="40"/>
        <v>#DIV/0!</v>
      </c>
      <c r="S356" s="1011">
        <v>0</v>
      </c>
      <c r="T356" s="989" t="e">
        <f t="shared" si="37"/>
        <v>#DIV/0!</v>
      </c>
      <c r="U356" s="989">
        <f t="shared" si="38"/>
        <v>0</v>
      </c>
      <c r="V356" s="989" t="e">
        <f t="shared" si="39"/>
        <v>#DIV/0!</v>
      </c>
      <c r="W356" s="989"/>
      <c r="X356" s="989">
        <f t="shared" si="35"/>
        <v>0</v>
      </c>
      <c r="Y356" s="1012"/>
    </row>
    <row r="357" spans="1:25" ht="63" customHeight="1">
      <c r="A357" s="1006">
        <v>239</v>
      </c>
      <c r="B357" s="1007" t="s">
        <v>1715</v>
      </c>
      <c r="C357" s="1008"/>
      <c r="D357" s="1008" t="s">
        <v>3670</v>
      </c>
      <c r="E357" s="1007" t="s">
        <v>1716</v>
      </c>
      <c r="F357" s="1010" t="s">
        <v>1188</v>
      </c>
      <c r="G357" s="989">
        <v>271200</v>
      </c>
      <c r="H357" s="937"/>
      <c r="I357" s="1046"/>
      <c r="J357" s="1046"/>
      <c r="K357" s="1047"/>
      <c r="L357" s="1046"/>
      <c r="M357" s="1094"/>
      <c r="N357" s="989">
        <v>271200</v>
      </c>
      <c r="O357" s="989">
        <v>271200</v>
      </c>
      <c r="P357" s="989"/>
      <c r="Q357" s="989">
        <f t="shared" si="36"/>
        <v>271200</v>
      </c>
      <c r="R357" s="989">
        <f t="shared" si="40"/>
        <v>100</v>
      </c>
      <c r="S357" s="1011"/>
      <c r="T357" s="989">
        <f t="shared" si="37"/>
        <v>0</v>
      </c>
      <c r="U357" s="989">
        <f t="shared" si="38"/>
        <v>271200</v>
      </c>
      <c r="V357" s="989">
        <f t="shared" si="39"/>
        <v>100</v>
      </c>
      <c r="W357" s="989"/>
      <c r="X357" s="989">
        <f t="shared" si="35"/>
        <v>0</v>
      </c>
      <c r="Y357" s="1012"/>
    </row>
    <row r="358" spans="1:25" ht="63" customHeight="1">
      <c r="A358" s="1006">
        <v>240</v>
      </c>
      <c r="B358" s="1007" t="s">
        <v>1717</v>
      </c>
      <c r="C358" s="1008"/>
      <c r="D358" s="1008" t="s">
        <v>3671</v>
      </c>
      <c r="E358" s="1007" t="s">
        <v>1718</v>
      </c>
      <c r="F358" s="1010" t="s">
        <v>1188</v>
      </c>
      <c r="G358" s="989">
        <v>271200</v>
      </c>
      <c r="H358" s="937"/>
      <c r="I358" s="1046"/>
      <c r="J358" s="1046"/>
      <c r="K358" s="1047"/>
      <c r="L358" s="1046"/>
      <c r="M358" s="1094"/>
      <c r="N358" s="989">
        <v>271200</v>
      </c>
      <c r="O358" s="989">
        <v>0</v>
      </c>
      <c r="P358" s="989">
        <v>271200</v>
      </c>
      <c r="Q358" s="989">
        <f t="shared" si="36"/>
        <v>271200</v>
      </c>
      <c r="R358" s="989">
        <f t="shared" si="40"/>
        <v>100</v>
      </c>
      <c r="S358" s="1011">
        <v>0</v>
      </c>
      <c r="T358" s="989">
        <f t="shared" si="37"/>
        <v>0</v>
      </c>
      <c r="U358" s="989">
        <f t="shared" si="38"/>
        <v>271200</v>
      </c>
      <c r="V358" s="989">
        <f t="shared" si="39"/>
        <v>100</v>
      </c>
      <c r="W358" s="989"/>
      <c r="X358" s="989">
        <f t="shared" si="35"/>
        <v>0</v>
      </c>
      <c r="Y358" s="1012"/>
    </row>
    <row r="359" spans="1:25" ht="63" customHeight="1">
      <c r="A359" s="1006">
        <v>241</v>
      </c>
      <c r="B359" s="1007" t="s">
        <v>1719</v>
      </c>
      <c r="C359" s="1008"/>
      <c r="D359" s="1008" t="s">
        <v>3672</v>
      </c>
      <c r="E359" s="1007" t="s">
        <v>3159</v>
      </c>
      <c r="F359" s="1010" t="s">
        <v>339</v>
      </c>
      <c r="G359" s="989">
        <v>45200</v>
      </c>
      <c r="H359" s="937"/>
      <c r="I359" s="1046"/>
      <c r="J359" s="1046"/>
      <c r="K359" s="1047">
        <v>-22700</v>
      </c>
      <c r="L359" s="1046"/>
      <c r="M359" s="1094"/>
      <c r="N359" s="989">
        <f>45200+M359+K359</f>
        <v>22500</v>
      </c>
      <c r="O359" s="989">
        <v>0</v>
      </c>
      <c r="P359" s="989">
        <v>22500</v>
      </c>
      <c r="Q359" s="989">
        <f t="shared" si="36"/>
        <v>22500</v>
      </c>
      <c r="R359" s="989">
        <f t="shared" si="40"/>
        <v>100</v>
      </c>
      <c r="S359" s="1011">
        <v>0</v>
      </c>
      <c r="T359" s="989">
        <f t="shared" si="37"/>
        <v>0</v>
      </c>
      <c r="U359" s="989">
        <f t="shared" si="38"/>
        <v>22500</v>
      </c>
      <c r="V359" s="989">
        <f t="shared" si="39"/>
        <v>100</v>
      </c>
      <c r="W359" s="989"/>
      <c r="X359" s="989">
        <f t="shared" si="35"/>
        <v>0</v>
      </c>
      <c r="Y359" s="1012"/>
    </row>
    <row r="360" spans="1:25" s="950" customFormat="1" ht="63" customHeight="1">
      <c r="A360" s="1006">
        <v>242</v>
      </c>
      <c r="B360" s="1007" t="s">
        <v>4477</v>
      </c>
      <c r="C360" s="1008"/>
      <c r="D360" s="1008" t="s">
        <v>4478</v>
      </c>
      <c r="E360" s="1007" t="s">
        <v>4380</v>
      </c>
      <c r="F360" s="1010" t="s">
        <v>339</v>
      </c>
      <c r="G360" s="989"/>
      <c r="H360" s="937"/>
      <c r="I360" s="1046"/>
      <c r="J360" s="1046"/>
      <c r="K360" s="1047"/>
      <c r="L360" s="1046"/>
      <c r="M360" s="1094"/>
      <c r="N360" s="989">
        <v>0</v>
      </c>
      <c r="O360" s="989">
        <v>0</v>
      </c>
      <c r="P360" s="989"/>
      <c r="Q360" s="989">
        <f t="shared" si="36"/>
        <v>0</v>
      </c>
      <c r="R360" s="989" t="e">
        <f t="shared" si="40"/>
        <v>#DIV/0!</v>
      </c>
      <c r="S360" s="1011"/>
      <c r="T360" s="989"/>
      <c r="U360" s="989">
        <f t="shared" si="38"/>
        <v>0</v>
      </c>
      <c r="V360" s="989"/>
      <c r="W360" s="989"/>
      <c r="X360" s="989">
        <f t="shared" si="35"/>
        <v>0</v>
      </c>
      <c r="Y360" s="1012"/>
    </row>
    <row r="361" spans="1:25" s="950" customFormat="1" ht="63" customHeight="1">
      <c r="A361" s="1006">
        <v>243</v>
      </c>
      <c r="B361" s="1007" t="s">
        <v>4479</v>
      </c>
      <c r="C361" s="1008"/>
      <c r="D361" s="1008" t="s">
        <v>4480</v>
      </c>
      <c r="E361" s="1007" t="s">
        <v>4381</v>
      </c>
      <c r="F361" s="1010" t="s">
        <v>339</v>
      </c>
      <c r="G361" s="989"/>
      <c r="H361" s="937"/>
      <c r="I361" s="1046"/>
      <c r="J361" s="1046"/>
      <c r="K361" s="1047"/>
      <c r="L361" s="1046"/>
      <c r="M361" s="1094"/>
      <c r="N361" s="989">
        <v>0</v>
      </c>
      <c r="O361" s="989">
        <v>0</v>
      </c>
      <c r="P361" s="989"/>
      <c r="Q361" s="989">
        <f t="shared" si="36"/>
        <v>0</v>
      </c>
      <c r="R361" s="989" t="e">
        <f t="shared" si="40"/>
        <v>#DIV/0!</v>
      </c>
      <c r="S361" s="1011"/>
      <c r="T361" s="989"/>
      <c r="U361" s="989">
        <f t="shared" si="38"/>
        <v>0</v>
      </c>
      <c r="V361" s="989"/>
      <c r="W361" s="989"/>
      <c r="X361" s="989">
        <f t="shared" si="35"/>
        <v>0</v>
      </c>
      <c r="Y361" s="1012"/>
    </row>
    <row r="362" spans="1:25" ht="63" customHeight="1">
      <c r="A362" s="1006">
        <v>244</v>
      </c>
      <c r="B362" s="1007" t="s">
        <v>1720</v>
      </c>
      <c r="C362" s="1008"/>
      <c r="D362" s="1008" t="s">
        <v>3673</v>
      </c>
      <c r="E362" s="1007" t="s">
        <v>3160</v>
      </c>
      <c r="F362" s="1010" t="s">
        <v>339</v>
      </c>
      <c r="G362" s="989">
        <v>90400</v>
      </c>
      <c r="H362" s="937"/>
      <c r="I362" s="1046"/>
      <c r="J362" s="1046"/>
      <c r="K362" s="1047">
        <f>-16217.52</f>
        <v>-16217.52</v>
      </c>
      <c r="L362" s="1046"/>
      <c r="M362" s="1094">
        <v>-2458.98</v>
      </c>
      <c r="N362" s="989">
        <f>90400+M362+K362</f>
        <v>71723.5</v>
      </c>
      <c r="O362" s="989">
        <v>37182.480000000003</v>
      </c>
      <c r="P362" s="989">
        <v>34541.019999999997</v>
      </c>
      <c r="Q362" s="989">
        <f t="shared" si="36"/>
        <v>71723.5</v>
      </c>
      <c r="R362" s="989">
        <f t="shared" si="40"/>
        <v>100</v>
      </c>
      <c r="S362" s="1011">
        <v>0</v>
      </c>
      <c r="T362" s="989">
        <f t="shared" si="37"/>
        <v>0</v>
      </c>
      <c r="U362" s="989">
        <f t="shared" si="38"/>
        <v>71723.5</v>
      </c>
      <c r="V362" s="989">
        <f t="shared" si="39"/>
        <v>100</v>
      </c>
      <c r="W362" s="989"/>
      <c r="X362" s="989">
        <f t="shared" si="35"/>
        <v>0</v>
      </c>
      <c r="Y362" s="1012"/>
    </row>
    <row r="363" spans="1:25" ht="63" customHeight="1">
      <c r="A363" s="1006">
        <v>245</v>
      </c>
      <c r="B363" s="1007" t="s">
        <v>1721</v>
      </c>
      <c r="C363" s="1008"/>
      <c r="D363" s="1008" t="s">
        <v>3674</v>
      </c>
      <c r="E363" s="1007" t="s">
        <v>1722</v>
      </c>
      <c r="F363" s="1010" t="s">
        <v>564</v>
      </c>
      <c r="G363" s="989">
        <f>180800</f>
        <v>180800</v>
      </c>
      <c r="H363" s="937"/>
      <c r="I363" s="1046"/>
      <c r="J363" s="1046"/>
      <c r="K363" s="1047">
        <v>-2440</v>
      </c>
      <c r="L363" s="1046"/>
      <c r="M363" s="1094">
        <v>-100</v>
      </c>
      <c r="N363" s="989">
        <f>180800+K363+M363</f>
        <v>178260</v>
      </c>
      <c r="O363" s="989">
        <v>0</v>
      </c>
      <c r="P363" s="989">
        <v>178260</v>
      </c>
      <c r="Q363" s="989">
        <f t="shared" si="36"/>
        <v>178260</v>
      </c>
      <c r="R363" s="989">
        <f t="shared" si="40"/>
        <v>100</v>
      </c>
      <c r="S363" s="1011">
        <v>0</v>
      </c>
      <c r="T363" s="989">
        <f t="shared" si="37"/>
        <v>0</v>
      </c>
      <c r="U363" s="989">
        <f t="shared" si="38"/>
        <v>178260</v>
      </c>
      <c r="V363" s="989">
        <f t="shared" si="39"/>
        <v>100</v>
      </c>
      <c r="W363" s="989"/>
      <c r="X363" s="989">
        <f t="shared" si="35"/>
        <v>0</v>
      </c>
      <c r="Y363" s="1012"/>
    </row>
    <row r="364" spans="1:25" ht="63" customHeight="1">
      <c r="A364" s="1006">
        <v>246</v>
      </c>
      <c r="B364" s="1007" t="s">
        <v>1723</v>
      </c>
      <c r="C364" s="1008"/>
      <c r="D364" s="1008" t="s">
        <v>3675</v>
      </c>
      <c r="E364" s="1007" t="s">
        <v>1724</v>
      </c>
      <c r="F364" s="1010" t="s">
        <v>564</v>
      </c>
      <c r="G364" s="989">
        <v>180800</v>
      </c>
      <c r="H364" s="937"/>
      <c r="I364" s="1046"/>
      <c r="J364" s="1046"/>
      <c r="K364" s="1047">
        <v>-12340</v>
      </c>
      <c r="L364" s="1046"/>
      <c r="M364" s="1094">
        <v>-316.66000000000003</v>
      </c>
      <c r="N364" s="989">
        <f>180800+K364+M364</f>
        <v>168143.34</v>
      </c>
      <c r="O364" s="989">
        <v>0</v>
      </c>
      <c r="P364" s="989">
        <v>168143.34</v>
      </c>
      <c r="Q364" s="989">
        <f t="shared" si="36"/>
        <v>168143.34</v>
      </c>
      <c r="R364" s="989">
        <f t="shared" si="40"/>
        <v>100</v>
      </c>
      <c r="S364" s="1011">
        <v>0</v>
      </c>
      <c r="T364" s="989">
        <f t="shared" si="37"/>
        <v>0</v>
      </c>
      <c r="U364" s="989">
        <f t="shared" si="38"/>
        <v>168143.34</v>
      </c>
      <c r="V364" s="989">
        <f t="shared" si="39"/>
        <v>100</v>
      </c>
      <c r="W364" s="989"/>
      <c r="X364" s="989">
        <f t="shared" si="35"/>
        <v>0</v>
      </c>
      <c r="Y364" s="1012"/>
    </row>
    <row r="365" spans="1:25" ht="63" customHeight="1">
      <c r="A365" s="1006">
        <v>247</v>
      </c>
      <c r="B365" s="1007" t="s">
        <v>2899</v>
      </c>
      <c r="C365" s="1008"/>
      <c r="D365" s="1008" t="s">
        <v>3676</v>
      </c>
      <c r="E365" s="1007" t="s">
        <v>1725</v>
      </c>
      <c r="F365" s="1010" t="s">
        <v>564</v>
      </c>
      <c r="G365" s="989">
        <v>45200</v>
      </c>
      <c r="H365" s="937"/>
      <c r="I365" s="1046"/>
      <c r="J365" s="1046"/>
      <c r="K365" s="1047"/>
      <c r="L365" s="1046"/>
      <c r="M365" s="1094"/>
      <c r="N365" s="989">
        <v>45200</v>
      </c>
      <c r="O365" s="989">
        <v>0</v>
      </c>
      <c r="P365" s="989">
        <v>45200</v>
      </c>
      <c r="Q365" s="989">
        <f t="shared" si="36"/>
        <v>45200</v>
      </c>
      <c r="R365" s="989">
        <f t="shared" si="40"/>
        <v>100</v>
      </c>
      <c r="S365" s="1011">
        <v>0</v>
      </c>
      <c r="T365" s="989">
        <f t="shared" si="37"/>
        <v>0</v>
      </c>
      <c r="U365" s="989">
        <f t="shared" si="38"/>
        <v>45200</v>
      </c>
      <c r="V365" s="989">
        <f t="shared" si="39"/>
        <v>100</v>
      </c>
      <c r="W365" s="989"/>
      <c r="X365" s="989">
        <f t="shared" si="35"/>
        <v>0</v>
      </c>
      <c r="Y365" s="1012"/>
    </row>
    <row r="366" spans="1:25" ht="63" customHeight="1">
      <c r="A366" s="1006">
        <v>248</v>
      </c>
      <c r="B366" s="1007" t="s">
        <v>1726</v>
      </c>
      <c r="C366" s="1008"/>
      <c r="D366" s="1008" t="s">
        <v>3677</v>
      </c>
      <c r="E366" s="1007" t="s">
        <v>1727</v>
      </c>
      <c r="F366" s="1010" t="s">
        <v>564</v>
      </c>
      <c r="G366" s="989">
        <v>45200</v>
      </c>
      <c r="H366" s="937"/>
      <c r="I366" s="1046"/>
      <c r="J366" s="1046"/>
      <c r="K366" s="1047">
        <v>-9000</v>
      </c>
      <c r="L366" s="1046"/>
      <c r="M366" s="1094">
        <v>-3825.67</v>
      </c>
      <c r="N366" s="989">
        <f>45200+K366+M366</f>
        <v>32374.33</v>
      </c>
      <c r="O366" s="989">
        <v>0</v>
      </c>
      <c r="P366" s="989">
        <v>32374.33</v>
      </c>
      <c r="Q366" s="989">
        <f t="shared" si="36"/>
        <v>32374.33</v>
      </c>
      <c r="R366" s="989">
        <f t="shared" si="40"/>
        <v>100</v>
      </c>
      <c r="S366" s="1011">
        <v>0</v>
      </c>
      <c r="T366" s="989">
        <f t="shared" si="37"/>
        <v>0</v>
      </c>
      <c r="U366" s="989">
        <f t="shared" si="38"/>
        <v>32374.33</v>
      </c>
      <c r="V366" s="989">
        <f t="shared" si="39"/>
        <v>100</v>
      </c>
      <c r="W366" s="989"/>
      <c r="X366" s="989">
        <f t="shared" si="35"/>
        <v>0</v>
      </c>
      <c r="Y366" s="1012"/>
    </row>
    <row r="367" spans="1:25" ht="63" customHeight="1">
      <c r="A367" s="1006">
        <v>249</v>
      </c>
      <c r="B367" s="1007" t="s">
        <v>1728</v>
      </c>
      <c r="C367" s="1008"/>
      <c r="D367" s="1008" t="s">
        <v>3678</v>
      </c>
      <c r="E367" s="1007" t="s">
        <v>1729</v>
      </c>
      <c r="F367" s="1010" t="s">
        <v>564</v>
      </c>
      <c r="G367" s="989">
        <v>45200</v>
      </c>
      <c r="H367" s="937"/>
      <c r="I367" s="1046"/>
      <c r="J367" s="1046"/>
      <c r="K367" s="1047">
        <v>-9000</v>
      </c>
      <c r="L367" s="1046"/>
      <c r="M367" s="1094">
        <v>-6895.28</v>
      </c>
      <c r="N367" s="989">
        <f>45200+K367+M367</f>
        <v>29304.720000000001</v>
      </c>
      <c r="O367" s="989">
        <v>29304.720000000001</v>
      </c>
      <c r="P367" s="989">
        <v>0</v>
      </c>
      <c r="Q367" s="989">
        <f t="shared" si="36"/>
        <v>29304.720000000001</v>
      </c>
      <c r="R367" s="989">
        <f t="shared" si="40"/>
        <v>100</v>
      </c>
      <c r="S367" s="1011">
        <v>0</v>
      </c>
      <c r="T367" s="989">
        <f t="shared" si="37"/>
        <v>0</v>
      </c>
      <c r="U367" s="989">
        <f t="shared" si="38"/>
        <v>29304.720000000001</v>
      </c>
      <c r="V367" s="989">
        <f t="shared" si="39"/>
        <v>100</v>
      </c>
      <c r="W367" s="989"/>
      <c r="X367" s="989">
        <f t="shared" si="35"/>
        <v>0</v>
      </c>
      <c r="Y367" s="1012"/>
    </row>
    <row r="368" spans="1:25" ht="63" customHeight="1">
      <c r="A368" s="1006">
        <v>250</v>
      </c>
      <c r="B368" s="1007" t="s">
        <v>2900</v>
      </c>
      <c r="C368" s="1008"/>
      <c r="D368" s="1008" t="s">
        <v>3679</v>
      </c>
      <c r="E368" s="1007" t="s">
        <v>1730</v>
      </c>
      <c r="F368" s="1010" t="s">
        <v>564</v>
      </c>
      <c r="G368" s="989">
        <v>90400</v>
      </c>
      <c r="H368" s="937"/>
      <c r="I368" s="1046"/>
      <c r="J368" s="1046"/>
      <c r="K368" s="1047">
        <v>-3700</v>
      </c>
      <c r="L368" s="1046"/>
      <c r="M368" s="1094">
        <v>-7.69</v>
      </c>
      <c r="N368" s="989">
        <f>90400+K368+M368</f>
        <v>86692.31</v>
      </c>
      <c r="O368" s="989">
        <v>0</v>
      </c>
      <c r="P368" s="989">
        <v>86692.31</v>
      </c>
      <c r="Q368" s="989">
        <f t="shared" si="36"/>
        <v>86692.31</v>
      </c>
      <c r="R368" s="989">
        <f t="shared" si="40"/>
        <v>100</v>
      </c>
      <c r="S368" s="1011">
        <v>0</v>
      </c>
      <c r="T368" s="989">
        <f t="shared" si="37"/>
        <v>0</v>
      </c>
      <c r="U368" s="989">
        <f t="shared" si="38"/>
        <v>86692.31</v>
      </c>
      <c r="V368" s="989">
        <f t="shared" si="39"/>
        <v>100</v>
      </c>
      <c r="W368" s="989"/>
      <c r="X368" s="989">
        <f t="shared" si="35"/>
        <v>0</v>
      </c>
      <c r="Y368" s="1012"/>
    </row>
    <row r="369" spans="1:25" ht="63" customHeight="1">
      <c r="A369" s="1006">
        <v>251</v>
      </c>
      <c r="B369" s="1007" t="s">
        <v>1731</v>
      </c>
      <c r="C369" s="1008"/>
      <c r="D369" s="1008" t="s">
        <v>3680</v>
      </c>
      <c r="E369" s="1007" t="s">
        <v>1732</v>
      </c>
      <c r="F369" s="1010" t="s">
        <v>564</v>
      </c>
      <c r="G369" s="989">
        <v>45200</v>
      </c>
      <c r="H369" s="937"/>
      <c r="I369" s="1046"/>
      <c r="J369" s="1046"/>
      <c r="K369" s="1047">
        <f>-8000</f>
        <v>-8000</v>
      </c>
      <c r="L369" s="1046"/>
      <c r="M369" s="1094">
        <v>-63.98</v>
      </c>
      <c r="N369" s="989">
        <f>45200+K369+M369</f>
        <v>37136.019999999997</v>
      </c>
      <c r="O369" s="989">
        <v>0</v>
      </c>
      <c r="P369" s="989">
        <v>37136.019999999997</v>
      </c>
      <c r="Q369" s="989">
        <f t="shared" si="36"/>
        <v>37136.019999999997</v>
      </c>
      <c r="R369" s="989">
        <f t="shared" si="40"/>
        <v>100</v>
      </c>
      <c r="S369" s="1011">
        <v>0</v>
      </c>
      <c r="T369" s="989">
        <f t="shared" si="37"/>
        <v>0</v>
      </c>
      <c r="U369" s="989">
        <f t="shared" si="38"/>
        <v>37136.019999999997</v>
      </c>
      <c r="V369" s="989">
        <f t="shared" si="39"/>
        <v>100</v>
      </c>
      <c r="W369" s="989"/>
      <c r="X369" s="989">
        <f t="shared" si="35"/>
        <v>0</v>
      </c>
      <c r="Y369" s="1012"/>
    </row>
    <row r="370" spans="1:25" ht="63" customHeight="1">
      <c r="A370" s="1006">
        <v>252</v>
      </c>
      <c r="B370" s="1007" t="s">
        <v>1733</v>
      </c>
      <c r="C370" s="1008"/>
      <c r="D370" s="1008" t="s">
        <v>3681</v>
      </c>
      <c r="E370" s="1007" t="s">
        <v>3361</v>
      </c>
      <c r="F370" s="1010" t="s">
        <v>577</v>
      </c>
      <c r="G370" s="989">
        <f>90400-45200</f>
        <v>45200</v>
      </c>
      <c r="H370" s="937"/>
      <c r="I370" s="1046"/>
      <c r="J370" s="1046"/>
      <c r="K370" s="1047"/>
      <c r="L370" s="1046"/>
      <c r="M370" s="1094"/>
      <c r="N370" s="989">
        <v>45200</v>
      </c>
      <c r="O370" s="989">
        <v>0</v>
      </c>
      <c r="P370" s="989">
        <v>45200</v>
      </c>
      <c r="Q370" s="989">
        <f t="shared" si="36"/>
        <v>45200</v>
      </c>
      <c r="R370" s="989">
        <f t="shared" si="40"/>
        <v>100</v>
      </c>
      <c r="S370" s="1011">
        <v>0</v>
      </c>
      <c r="T370" s="989">
        <f t="shared" si="37"/>
        <v>0</v>
      </c>
      <c r="U370" s="989">
        <f t="shared" si="38"/>
        <v>45200</v>
      </c>
      <c r="V370" s="989">
        <f t="shared" si="39"/>
        <v>100</v>
      </c>
      <c r="W370" s="989"/>
      <c r="X370" s="989">
        <f t="shared" si="35"/>
        <v>0</v>
      </c>
      <c r="Y370" s="1012"/>
    </row>
    <row r="371" spans="1:25" ht="63" customHeight="1">
      <c r="A371" s="1006">
        <v>253</v>
      </c>
      <c r="B371" s="1007" t="s">
        <v>2901</v>
      </c>
      <c r="C371" s="1008"/>
      <c r="D371" s="1008" t="s">
        <v>3682</v>
      </c>
      <c r="E371" s="1007" t="s">
        <v>3362</v>
      </c>
      <c r="F371" s="1010" t="s">
        <v>577</v>
      </c>
      <c r="G371" s="989">
        <f>45200+45200</f>
        <v>90400</v>
      </c>
      <c r="H371" s="937"/>
      <c r="I371" s="1046"/>
      <c r="J371" s="1046"/>
      <c r="K371" s="1047">
        <v>-5706</v>
      </c>
      <c r="L371" s="1046"/>
      <c r="M371" s="1094"/>
      <c r="N371" s="989">
        <f>90400+M371+K371</f>
        <v>84694</v>
      </c>
      <c r="O371" s="989">
        <v>0</v>
      </c>
      <c r="P371" s="989">
        <v>84694</v>
      </c>
      <c r="Q371" s="989">
        <f t="shared" si="36"/>
        <v>84694</v>
      </c>
      <c r="R371" s="989">
        <f t="shared" si="40"/>
        <v>100</v>
      </c>
      <c r="S371" s="1011">
        <v>0</v>
      </c>
      <c r="T371" s="989">
        <f t="shared" si="37"/>
        <v>0</v>
      </c>
      <c r="U371" s="989">
        <f t="shared" si="38"/>
        <v>84694</v>
      </c>
      <c r="V371" s="989">
        <f t="shared" si="39"/>
        <v>100</v>
      </c>
      <c r="W371" s="989"/>
      <c r="X371" s="989">
        <f t="shared" si="35"/>
        <v>0</v>
      </c>
      <c r="Y371" s="1012"/>
    </row>
    <row r="372" spans="1:25" ht="63" customHeight="1">
      <c r="A372" s="1006">
        <v>254</v>
      </c>
      <c r="B372" s="1007" t="s">
        <v>2902</v>
      </c>
      <c r="C372" s="1008"/>
      <c r="D372" s="1008" t="s">
        <v>3683</v>
      </c>
      <c r="E372" s="1007" t="s">
        <v>1734</v>
      </c>
      <c r="F372" s="1010" t="s">
        <v>577</v>
      </c>
      <c r="G372" s="989">
        <v>90400</v>
      </c>
      <c r="H372" s="937"/>
      <c r="I372" s="1046"/>
      <c r="J372" s="1046"/>
      <c r="K372" s="1047"/>
      <c r="L372" s="1046"/>
      <c r="M372" s="1094"/>
      <c r="N372" s="989">
        <v>90400</v>
      </c>
      <c r="O372" s="989">
        <v>0</v>
      </c>
      <c r="P372" s="989">
        <v>90400</v>
      </c>
      <c r="Q372" s="989">
        <f t="shared" si="36"/>
        <v>90400</v>
      </c>
      <c r="R372" s="989">
        <f t="shared" si="40"/>
        <v>100</v>
      </c>
      <c r="S372" s="1011">
        <v>0</v>
      </c>
      <c r="T372" s="989">
        <f t="shared" si="37"/>
        <v>0</v>
      </c>
      <c r="U372" s="989">
        <f t="shared" si="38"/>
        <v>90400</v>
      </c>
      <c r="V372" s="989">
        <f t="shared" si="39"/>
        <v>100</v>
      </c>
      <c r="W372" s="989"/>
      <c r="X372" s="989">
        <f t="shared" si="35"/>
        <v>0</v>
      </c>
      <c r="Y372" s="1012"/>
    </row>
    <row r="373" spans="1:25" ht="63" customHeight="1">
      <c r="A373" s="1006">
        <v>255</v>
      </c>
      <c r="B373" s="1007" t="s">
        <v>1735</v>
      </c>
      <c r="C373" s="1008"/>
      <c r="D373" s="1008" t="s">
        <v>3684</v>
      </c>
      <c r="E373" s="1007" t="s">
        <v>1736</v>
      </c>
      <c r="F373" s="1010" t="s">
        <v>577</v>
      </c>
      <c r="G373" s="989">
        <v>45200</v>
      </c>
      <c r="H373" s="937"/>
      <c r="I373" s="1046"/>
      <c r="J373" s="1046"/>
      <c r="K373" s="1047"/>
      <c r="L373" s="1046"/>
      <c r="M373" s="1094"/>
      <c r="N373" s="989">
        <v>45200</v>
      </c>
      <c r="O373" s="989">
        <v>45200</v>
      </c>
      <c r="P373" s="989"/>
      <c r="Q373" s="989">
        <f t="shared" si="36"/>
        <v>45200</v>
      </c>
      <c r="R373" s="989">
        <f t="shared" si="40"/>
        <v>100</v>
      </c>
      <c r="S373" s="1011"/>
      <c r="T373" s="989">
        <f t="shared" si="37"/>
        <v>0</v>
      </c>
      <c r="U373" s="989">
        <f t="shared" si="38"/>
        <v>45200</v>
      </c>
      <c r="V373" s="989">
        <f t="shared" si="39"/>
        <v>100</v>
      </c>
      <c r="W373" s="989"/>
      <c r="X373" s="989">
        <f t="shared" ref="X373:X436" si="41">N373-U373</f>
        <v>0</v>
      </c>
      <c r="Y373" s="1012"/>
    </row>
    <row r="374" spans="1:25" ht="63" customHeight="1">
      <c r="A374" s="1006">
        <v>256</v>
      </c>
      <c r="B374" s="1007" t="s">
        <v>1737</v>
      </c>
      <c r="C374" s="1008"/>
      <c r="D374" s="1008" t="s">
        <v>3685</v>
      </c>
      <c r="E374" s="1007" t="s">
        <v>1738</v>
      </c>
      <c r="F374" s="1010" t="s">
        <v>577</v>
      </c>
      <c r="G374" s="989">
        <v>45200</v>
      </c>
      <c r="H374" s="937"/>
      <c r="I374" s="1046"/>
      <c r="J374" s="1046"/>
      <c r="K374" s="1047"/>
      <c r="L374" s="1046"/>
      <c r="M374" s="1094"/>
      <c r="N374" s="989">
        <v>45200</v>
      </c>
      <c r="O374" s="989">
        <v>45200</v>
      </c>
      <c r="P374" s="989"/>
      <c r="Q374" s="989">
        <f t="shared" si="36"/>
        <v>45200</v>
      </c>
      <c r="R374" s="989">
        <f t="shared" si="40"/>
        <v>100</v>
      </c>
      <c r="S374" s="1011"/>
      <c r="T374" s="989">
        <f t="shared" si="37"/>
        <v>0</v>
      </c>
      <c r="U374" s="989">
        <f t="shared" si="38"/>
        <v>45200</v>
      </c>
      <c r="V374" s="989">
        <f t="shared" si="39"/>
        <v>100</v>
      </c>
      <c r="W374" s="989"/>
      <c r="X374" s="989">
        <f t="shared" si="41"/>
        <v>0</v>
      </c>
      <c r="Y374" s="1012"/>
    </row>
    <row r="375" spans="1:25" ht="63" customHeight="1">
      <c r="A375" s="1006">
        <v>257</v>
      </c>
      <c r="B375" s="1007" t="s">
        <v>2903</v>
      </c>
      <c r="C375" s="1008"/>
      <c r="D375" s="1008" t="s">
        <v>3686</v>
      </c>
      <c r="E375" s="1007" t="s">
        <v>1739</v>
      </c>
      <c r="F375" s="1010" t="s">
        <v>583</v>
      </c>
      <c r="G375" s="989">
        <v>45200</v>
      </c>
      <c r="H375" s="937"/>
      <c r="I375" s="1046"/>
      <c r="J375" s="1046"/>
      <c r="K375" s="1047"/>
      <c r="L375" s="1046"/>
      <c r="M375" s="1094"/>
      <c r="N375" s="989">
        <v>45200</v>
      </c>
      <c r="O375" s="989">
        <v>45200</v>
      </c>
      <c r="P375" s="989"/>
      <c r="Q375" s="989">
        <f t="shared" ref="Q375:Q438" si="42">P375+O375</f>
        <v>45200</v>
      </c>
      <c r="R375" s="989">
        <f t="shared" si="40"/>
        <v>100</v>
      </c>
      <c r="S375" s="1011"/>
      <c r="T375" s="989">
        <f t="shared" ref="T375:T438" si="43">S375/N375*100</f>
        <v>0</v>
      </c>
      <c r="U375" s="989">
        <f t="shared" ref="U375:U438" si="44">S375+Q375</f>
        <v>45200</v>
      </c>
      <c r="V375" s="989">
        <f t="shared" ref="V375:V438" si="45">U375/N375*100</f>
        <v>100</v>
      </c>
      <c r="W375" s="989"/>
      <c r="X375" s="989">
        <f t="shared" si="41"/>
        <v>0</v>
      </c>
      <c r="Y375" s="1012"/>
    </row>
    <row r="376" spans="1:25" ht="63" customHeight="1">
      <c r="A376" s="1006">
        <v>258</v>
      </c>
      <c r="B376" s="1007" t="s">
        <v>1740</v>
      </c>
      <c r="C376" s="1008"/>
      <c r="D376" s="1008" t="s">
        <v>3687</v>
      </c>
      <c r="E376" s="1007" t="s">
        <v>1741</v>
      </c>
      <c r="F376" s="1010" t="s">
        <v>545</v>
      </c>
      <c r="G376" s="989">
        <v>208000</v>
      </c>
      <c r="H376" s="937"/>
      <c r="I376" s="1046"/>
      <c r="J376" s="1046"/>
      <c r="K376" s="1047">
        <v>-13387.12</v>
      </c>
      <c r="L376" s="1046"/>
      <c r="M376" s="1094"/>
      <c r="N376" s="989">
        <f>208000+M376+K376</f>
        <v>194612.88</v>
      </c>
      <c r="O376" s="989">
        <v>0</v>
      </c>
      <c r="P376" s="989">
        <v>194612.88</v>
      </c>
      <c r="Q376" s="989">
        <f t="shared" si="42"/>
        <v>194612.88</v>
      </c>
      <c r="R376" s="989">
        <f t="shared" ref="R376:R439" si="46">Q376/N376*100</f>
        <v>100</v>
      </c>
      <c r="S376" s="1011">
        <v>0</v>
      </c>
      <c r="T376" s="989">
        <f t="shared" si="43"/>
        <v>0</v>
      </c>
      <c r="U376" s="989">
        <f t="shared" si="44"/>
        <v>194612.88</v>
      </c>
      <c r="V376" s="989">
        <f t="shared" si="45"/>
        <v>100</v>
      </c>
      <c r="W376" s="989"/>
      <c r="X376" s="989">
        <f t="shared" si="41"/>
        <v>0</v>
      </c>
      <c r="Y376" s="1012"/>
    </row>
    <row r="377" spans="1:25" ht="63" customHeight="1">
      <c r="A377" s="1006">
        <v>259</v>
      </c>
      <c r="B377" s="1007" t="s">
        <v>1742</v>
      </c>
      <c r="C377" s="1008"/>
      <c r="D377" s="1008" t="s">
        <v>3688</v>
      </c>
      <c r="E377" s="1007" t="s">
        <v>1743</v>
      </c>
      <c r="F377" s="1010" t="s">
        <v>583</v>
      </c>
      <c r="G377" s="989">
        <v>45200</v>
      </c>
      <c r="H377" s="937"/>
      <c r="I377" s="1046"/>
      <c r="J377" s="1046"/>
      <c r="K377" s="1047"/>
      <c r="L377" s="1046"/>
      <c r="M377" s="1094"/>
      <c r="N377" s="989">
        <v>45200</v>
      </c>
      <c r="O377" s="989">
        <v>0</v>
      </c>
      <c r="P377" s="989">
        <v>45200</v>
      </c>
      <c r="Q377" s="989">
        <f t="shared" si="42"/>
        <v>45200</v>
      </c>
      <c r="R377" s="989">
        <f t="shared" si="46"/>
        <v>100</v>
      </c>
      <c r="S377" s="1011">
        <v>0</v>
      </c>
      <c r="T377" s="989">
        <f t="shared" si="43"/>
        <v>0</v>
      </c>
      <c r="U377" s="989">
        <f t="shared" si="44"/>
        <v>45200</v>
      </c>
      <c r="V377" s="989">
        <f t="shared" si="45"/>
        <v>100</v>
      </c>
      <c r="W377" s="989"/>
      <c r="X377" s="989">
        <f t="shared" si="41"/>
        <v>0</v>
      </c>
      <c r="Y377" s="1012"/>
    </row>
    <row r="378" spans="1:25" ht="63" customHeight="1">
      <c r="A378" s="1006">
        <v>260</v>
      </c>
      <c r="B378" s="1007" t="s">
        <v>2904</v>
      </c>
      <c r="C378" s="1008"/>
      <c r="D378" s="1008" t="s">
        <v>3689</v>
      </c>
      <c r="E378" s="1007" t="s">
        <v>1744</v>
      </c>
      <c r="F378" s="1010" t="s">
        <v>583</v>
      </c>
      <c r="G378" s="989">
        <v>90400</v>
      </c>
      <c r="H378" s="937"/>
      <c r="I378" s="1046"/>
      <c r="J378" s="1046"/>
      <c r="K378" s="1047">
        <v>-54847.4</v>
      </c>
      <c r="L378" s="1046"/>
      <c r="M378" s="1094"/>
      <c r="N378" s="989">
        <f>90400+M378+K378</f>
        <v>35552.6</v>
      </c>
      <c r="O378" s="989">
        <v>0</v>
      </c>
      <c r="P378" s="989">
        <v>35552.6</v>
      </c>
      <c r="Q378" s="989">
        <f t="shared" si="42"/>
        <v>35552.6</v>
      </c>
      <c r="R378" s="989">
        <f t="shared" si="46"/>
        <v>100</v>
      </c>
      <c r="S378" s="1011">
        <v>0</v>
      </c>
      <c r="T378" s="989">
        <f t="shared" si="43"/>
        <v>0</v>
      </c>
      <c r="U378" s="989">
        <f t="shared" si="44"/>
        <v>35552.6</v>
      </c>
      <c r="V378" s="989">
        <f t="shared" si="45"/>
        <v>100</v>
      </c>
      <c r="W378" s="989"/>
      <c r="X378" s="989">
        <f t="shared" si="41"/>
        <v>0</v>
      </c>
      <c r="Y378" s="1012"/>
    </row>
    <row r="379" spans="1:25" ht="63" customHeight="1">
      <c r="A379" s="1006">
        <v>261</v>
      </c>
      <c r="B379" s="1007" t="s">
        <v>2905</v>
      </c>
      <c r="C379" s="1008"/>
      <c r="D379" s="1008" t="s">
        <v>3690</v>
      </c>
      <c r="E379" s="1007" t="s">
        <v>1745</v>
      </c>
      <c r="F379" s="1010" t="s">
        <v>572</v>
      </c>
      <c r="G379" s="989">
        <v>45200</v>
      </c>
      <c r="H379" s="937"/>
      <c r="I379" s="1046"/>
      <c r="J379" s="1046"/>
      <c r="K379" s="1047">
        <v>-12488</v>
      </c>
      <c r="L379" s="1046"/>
      <c r="M379" s="1094"/>
      <c r="N379" s="989">
        <f>M379+45200+K379</f>
        <v>32712</v>
      </c>
      <c r="O379" s="989">
        <v>32712</v>
      </c>
      <c r="P379" s="989">
        <v>0</v>
      </c>
      <c r="Q379" s="989">
        <f t="shared" si="42"/>
        <v>32712</v>
      </c>
      <c r="R379" s="989">
        <f t="shared" si="46"/>
        <v>100</v>
      </c>
      <c r="S379" s="1011">
        <v>0</v>
      </c>
      <c r="T379" s="989">
        <f t="shared" si="43"/>
        <v>0</v>
      </c>
      <c r="U379" s="989">
        <f t="shared" si="44"/>
        <v>32712</v>
      </c>
      <c r="V379" s="989">
        <f t="shared" si="45"/>
        <v>100</v>
      </c>
      <c r="W379" s="989"/>
      <c r="X379" s="989">
        <f t="shared" si="41"/>
        <v>0</v>
      </c>
      <c r="Y379" s="1012"/>
    </row>
    <row r="380" spans="1:25" ht="63" customHeight="1">
      <c r="A380" s="1006">
        <v>262</v>
      </c>
      <c r="B380" s="1007" t="s">
        <v>1746</v>
      </c>
      <c r="C380" s="1008"/>
      <c r="D380" s="1008" t="s">
        <v>3691</v>
      </c>
      <c r="E380" s="1007" t="s">
        <v>1747</v>
      </c>
      <c r="F380" s="1010" t="s">
        <v>572</v>
      </c>
      <c r="G380" s="989">
        <v>90400</v>
      </c>
      <c r="H380" s="937"/>
      <c r="I380" s="1046"/>
      <c r="J380" s="1046"/>
      <c r="K380" s="1047">
        <v>-28337.57</v>
      </c>
      <c r="L380" s="1046"/>
      <c r="M380" s="1094"/>
      <c r="N380" s="989">
        <f>90400+M380+K380</f>
        <v>62062.43</v>
      </c>
      <c r="O380" s="989">
        <v>62062.43</v>
      </c>
      <c r="P380" s="989">
        <v>0</v>
      </c>
      <c r="Q380" s="989">
        <f t="shared" si="42"/>
        <v>62062.43</v>
      </c>
      <c r="R380" s="989">
        <f t="shared" si="46"/>
        <v>100</v>
      </c>
      <c r="S380" s="1011">
        <v>0</v>
      </c>
      <c r="T380" s="989">
        <f t="shared" si="43"/>
        <v>0</v>
      </c>
      <c r="U380" s="989">
        <f t="shared" si="44"/>
        <v>62062.43</v>
      </c>
      <c r="V380" s="989">
        <f t="shared" si="45"/>
        <v>100</v>
      </c>
      <c r="W380" s="989"/>
      <c r="X380" s="989">
        <f t="shared" si="41"/>
        <v>0</v>
      </c>
      <c r="Y380" s="1012"/>
    </row>
    <row r="381" spans="1:25" ht="63" customHeight="1">
      <c r="A381" s="1006">
        <v>263</v>
      </c>
      <c r="B381" s="1007" t="s">
        <v>2906</v>
      </c>
      <c r="C381" s="1008"/>
      <c r="D381" s="1008" t="s">
        <v>3692</v>
      </c>
      <c r="E381" s="1007" t="s">
        <v>1748</v>
      </c>
      <c r="F381" s="1010" t="s">
        <v>572</v>
      </c>
      <c r="G381" s="989">
        <v>135600</v>
      </c>
      <c r="H381" s="937"/>
      <c r="I381" s="1046"/>
      <c r="J381" s="1046"/>
      <c r="K381" s="1047">
        <v>-32014</v>
      </c>
      <c r="L381" s="1046"/>
      <c r="M381" s="1094"/>
      <c r="N381" s="989">
        <f>135600+M381+K381</f>
        <v>103586</v>
      </c>
      <c r="O381" s="989">
        <v>0</v>
      </c>
      <c r="P381" s="989">
        <v>103586</v>
      </c>
      <c r="Q381" s="989">
        <f t="shared" si="42"/>
        <v>103586</v>
      </c>
      <c r="R381" s="989">
        <f t="shared" si="46"/>
        <v>100</v>
      </c>
      <c r="S381" s="1011">
        <v>0</v>
      </c>
      <c r="T381" s="989">
        <f t="shared" si="43"/>
        <v>0</v>
      </c>
      <c r="U381" s="989">
        <f t="shared" si="44"/>
        <v>103586</v>
      </c>
      <c r="V381" s="989">
        <f t="shared" si="45"/>
        <v>100</v>
      </c>
      <c r="W381" s="989"/>
      <c r="X381" s="989">
        <f t="shared" si="41"/>
        <v>0</v>
      </c>
      <c r="Y381" s="1012"/>
    </row>
    <row r="382" spans="1:25" s="950" customFormat="1" ht="63" customHeight="1">
      <c r="A382" s="1006">
        <v>264</v>
      </c>
      <c r="B382" s="1007" t="s">
        <v>4481</v>
      </c>
      <c r="C382" s="1008"/>
      <c r="D382" s="1008" t="s">
        <v>4482</v>
      </c>
      <c r="E382" s="1007" t="s">
        <v>4382</v>
      </c>
      <c r="F382" s="1010" t="s">
        <v>572</v>
      </c>
      <c r="G382" s="989"/>
      <c r="H382" s="937"/>
      <c r="I382" s="1046"/>
      <c r="J382" s="1046"/>
      <c r="K382" s="1047"/>
      <c r="L382" s="1046"/>
      <c r="M382" s="1094"/>
      <c r="N382" s="989">
        <v>0</v>
      </c>
      <c r="O382" s="989">
        <v>0</v>
      </c>
      <c r="P382" s="989"/>
      <c r="Q382" s="989">
        <f t="shared" si="42"/>
        <v>0</v>
      </c>
      <c r="R382" s="989" t="e">
        <f t="shared" si="46"/>
        <v>#DIV/0!</v>
      </c>
      <c r="S382" s="1011"/>
      <c r="T382" s="989"/>
      <c r="U382" s="989">
        <f t="shared" si="44"/>
        <v>0</v>
      </c>
      <c r="V382" s="989"/>
      <c r="W382" s="989"/>
      <c r="X382" s="989">
        <f t="shared" si="41"/>
        <v>0</v>
      </c>
      <c r="Y382" s="1012"/>
    </row>
    <row r="383" spans="1:25" ht="63" customHeight="1">
      <c r="A383" s="1006">
        <v>265</v>
      </c>
      <c r="B383" s="1007" t="s">
        <v>2907</v>
      </c>
      <c r="C383" s="1008"/>
      <c r="D383" s="1008" t="s">
        <v>3693</v>
      </c>
      <c r="E383" s="1007" t="s">
        <v>1749</v>
      </c>
      <c r="F383" s="1010" t="s">
        <v>572</v>
      </c>
      <c r="G383" s="989">
        <v>90400</v>
      </c>
      <c r="H383" s="937"/>
      <c r="I383" s="1046"/>
      <c r="J383" s="1046"/>
      <c r="K383" s="1047">
        <v>-280</v>
      </c>
      <c r="L383" s="1046"/>
      <c r="M383" s="1094"/>
      <c r="N383" s="989">
        <f>90400+M383+K383</f>
        <v>90120</v>
      </c>
      <c r="O383" s="989">
        <v>0</v>
      </c>
      <c r="P383" s="989">
        <v>90120</v>
      </c>
      <c r="Q383" s="989">
        <f t="shared" si="42"/>
        <v>90120</v>
      </c>
      <c r="R383" s="989">
        <f t="shared" si="46"/>
        <v>100</v>
      </c>
      <c r="S383" s="1011">
        <v>0</v>
      </c>
      <c r="T383" s="989">
        <f t="shared" si="43"/>
        <v>0</v>
      </c>
      <c r="U383" s="989">
        <f t="shared" si="44"/>
        <v>90120</v>
      </c>
      <c r="V383" s="989">
        <f t="shared" si="45"/>
        <v>100</v>
      </c>
      <c r="W383" s="989"/>
      <c r="X383" s="989">
        <f t="shared" si="41"/>
        <v>0</v>
      </c>
      <c r="Y383" s="1012"/>
    </row>
    <row r="384" spans="1:25" s="950" customFormat="1" ht="63" customHeight="1">
      <c r="A384" s="1006">
        <v>266</v>
      </c>
      <c r="B384" s="1007" t="s">
        <v>2908</v>
      </c>
      <c r="C384" s="1008"/>
      <c r="D384" s="1008" t="s">
        <v>3694</v>
      </c>
      <c r="E384" s="1007" t="s">
        <v>1750</v>
      </c>
      <c r="F384" s="1010" t="s">
        <v>572</v>
      </c>
      <c r="G384" s="989">
        <f>180800</f>
        <v>180800</v>
      </c>
      <c r="H384" s="937"/>
      <c r="I384" s="1046"/>
      <c r="J384" s="1046"/>
      <c r="K384" s="1047"/>
      <c r="L384" s="1046"/>
      <c r="M384" s="1094">
        <v>-15762.69</v>
      </c>
      <c r="N384" s="989">
        <f>180800+M384</f>
        <v>165037.31</v>
      </c>
      <c r="O384" s="989">
        <v>0</v>
      </c>
      <c r="P384" s="989">
        <v>165037.31</v>
      </c>
      <c r="Q384" s="989">
        <f t="shared" si="42"/>
        <v>165037.31</v>
      </c>
      <c r="R384" s="989">
        <f t="shared" si="46"/>
        <v>100</v>
      </c>
      <c r="S384" s="1011">
        <v>0</v>
      </c>
      <c r="T384" s="989">
        <f t="shared" si="43"/>
        <v>0</v>
      </c>
      <c r="U384" s="989">
        <f t="shared" si="44"/>
        <v>165037.31</v>
      </c>
      <c r="V384" s="989">
        <f t="shared" si="45"/>
        <v>100</v>
      </c>
      <c r="W384" s="989"/>
      <c r="X384" s="989">
        <f t="shared" si="41"/>
        <v>0</v>
      </c>
      <c r="Y384" s="1012"/>
    </row>
    <row r="385" spans="1:39" s="969" customFormat="1" ht="63" customHeight="1">
      <c r="A385" s="1006">
        <v>267</v>
      </c>
      <c r="B385" s="1007" t="s">
        <v>1751</v>
      </c>
      <c r="C385" s="1008"/>
      <c r="D385" s="1008" t="s">
        <v>3695</v>
      </c>
      <c r="E385" s="1007" t="s">
        <v>1752</v>
      </c>
      <c r="F385" s="1010" t="s">
        <v>572</v>
      </c>
      <c r="G385" s="989">
        <v>180800</v>
      </c>
      <c r="H385" s="937"/>
      <c r="I385" s="1046"/>
      <c r="J385" s="1046"/>
      <c r="K385" s="1047">
        <v>-22436</v>
      </c>
      <c r="L385" s="1046"/>
      <c r="M385" s="1094"/>
      <c r="N385" s="989">
        <f>180800+M385+K385</f>
        <v>158364</v>
      </c>
      <c r="O385" s="989">
        <v>158364</v>
      </c>
      <c r="P385" s="989">
        <v>0</v>
      </c>
      <c r="Q385" s="989">
        <f t="shared" si="42"/>
        <v>158364</v>
      </c>
      <c r="R385" s="989">
        <f t="shared" si="46"/>
        <v>100</v>
      </c>
      <c r="S385" s="1011">
        <v>0</v>
      </c>
      <c r="T385" s="989">
        <f t="shared" si="43"/>
        <v>0</v>
      </c>
      <c r="U385" s="989">
        <f t="shared" si="44"/>
        <v>158364</v>
      </c>
      <c r="V385" s="989">
        <f t="shared" si="45"/>
        <v>100</v>
      </c>
      <c r="W385" s="989"/>
      <c r="X385" s="989">
        <f t="shared" si="41"/>
        <v>0</v>
      </c>
      <c r="Y385" s="1012"/>
      <c r="Z385" s="941"/>
      <c r="AA385" s="941"/>
      <c r="AB385" s="941"/>
      <c r="AC385" s="941"/>
      <c r="AD385" s="941"/>
      <c r="AE385" s="941"/>
      <c r="AF385" s="941"/>
      <c r="AG385" s="941"/>
      <c r="AH385" s="941"/>
      <c r="AI385" s="941"/>
      <c r="AJ385" s="941"/>
      <c r="AK385" s="941"/>
      <c r="AL385" s="941"/>
      <c r="AM385" s="941"/>
    </row>
    <row r="386" spans="1:39" s="969" customFormat="1" ht="63" customHeight="1">
      <c r="A386" s="1006">
        <v>268</v>
      </c>
      <c r="B386" s="1007" t="s">
        <v>2909</v>
      </c>
      <c r="C386" s="1008"/>
      <c r="D386" s="1008" t="s">
        <v>3696</v>
      </c>
      <c r="E386" s="1007" t="s">
        <v>1753</v>
      </c>
      <c r="F386" s="1010" t="s">
        <v>572</v>
      </c>
      <c r="G386" s="989">
        <v>271200</v>
      </c>
      <c r="H386" s="937"/>
      <c r="I386" s="1046"/>
      <c r="J386" s="1046"/>
      <c r="K386" s="1047">
        <v>-91163.34</v>
      </c>
      <c r="L386" s="1046"/>
      <c r="M386" s="1094"/>
      <c r="N386" s="989">
        <f>271200+M386+K386</f>
        <v>180036.66</v>
      </c>
      <c r="O386" s="989">
        <v>145707</v>
      </c>
      <c r="P386" s="989">
        <v>34329.660000000003</v>
      </c>
      <c r="Q386" s="989">
        <f t="shared" si="42"/>
        <v>180036.66</v>
      </c>
      <c r="R386" s="989">
        <f t="shared" si="46"/>
        <v>100</v>
      </c>
      <c r="S386" s="1011">
        <v>0</v>
      </c>
      <c r="T386" s="989">
        <f t="shared" si="43"/>
        <v>0</v>
      </c>
      <c r="U386" s="989">
        <f t="shared" si="44"/>
        <v>180036.66</v>
      </c>
      <c r="V386" s="989">
        <f t="shared" si="45"/>
        <v>100</v>
      </c>
      <c r="W386" s="989"/>
      <c r="X386" s="989">
        <f t="shared" si="41"/>
        <v>0</v>
      </c>
      <c r="Y386" s="1012"/>
      <c r="Z386" s="941"/>
      <c r="AA386" s="941"/>
      <c r="AB386" s="941"/>
      <c r="AC386" s="941"/>
      <c r="AD386" s="941"/>
      <c r="AE386" s="941"/>
      <c r="AF386" s="941"/>
      <c r="AG386" s="941"/>
      <c r="AH386" s="941"/>
      <c r="AI386" s="941"/>
      <c r="AJ386" s="941"/>
      <c r="AK386" s="941"/>
      <c r="AL386" s="941"/>
      <c r="AM386" s="941"/>
    </row>
    <row r="387" spans="1:39" s="969" customFormat="1" ht="63" customHeight="1">
      <c r="A387" s="1006">
        <v>269</v>
      </c>
      <c r="B387" s="1007" t="s">
        <v>1754</v>
      </c>
      <c r="C387" s="1008"/>
      <c r="D387" s="1008" t="s">
        <v>3697</v>
      </c>
      <c r="E387" s="1007" t="s">
        <v>3104</v>
      </c>
      <c r="F387" s="1010" t="s">
        <v>571</v>
      </c>
      <c r="G387" s="989">
        <v>45200</v>
      </c>
      <c r="H387" s="937"/>
      <c r="I387" s="1046"/>
      <c r="J387" s="1046"/>
      <c r="K387" s="1047">
        <v>-33949.910000000003</v>
      </c>
      <c r="L387" s="1046"/>
      <c r="M387" s="1094"/>
      <c r="N387" s="989">
        <f>45200+M387+K387</f>
        <v>11250.089999999997</v>
      </c>
      <c r="O387" s="989">
        <v>0</v>
      </c>
      <c r="P387" s="989">
        <v>11250.09</v>
      </c>
      <c r="Q387" s="989">
        <f t="shared" si="42"/>
        <v>11250.09</v>
      </c>
      <c r="R387" s="989">
        <f t="shared" si="46"/>
        <v>100.00000000000003</v>
      </c>
      <c r="S387" s="1011">
        <v>0</v>
      </c>
      <c r="T387" s="989">
        <f t="shared" si="43"/>
        <v>0</v>
      </c>
      <c r="U387" s="989">
        <f t="shared" si="44"/>
        <v>11250.09</v>
      </c>
      <c r="V387" s="989">
        <f t="shared" si="45"/>
        <v>100.00000000000003</v>
      </c>
      <c r="W387" s="989"/>
      <c r="X387" s="989">
        <f t="shared" si="41"/>
        <v>0</v>
      </c>
      <c r="Y387" s="1012"/>
      <c r="Z387" s="941"/>
      <c r="AA387" s="941"/>
      <c r="AB387" s="941"/>
      <c r="AC387" s="941"/>
      <c r="AD387" s="941"/>
      <c r="AE387" s="941"/>
      <c r="AF387" s="941"/>
      <c r="AG387" s="941"/>
      <c r="AH387" s="941"/>
      <c r="AI387" s="941"/>
      <c r="AJ387" s="941"/>
      <c r="AK387" s="941"/>
      <c r="AL387" s="941"/>
      <c r="AM387" s="941"/>
    </row>
    <row r="388" spans="1:39" s="969" customFormat="1" ht="63" customHeight="1">
      <c r="A388" s="1006">
        <v>270</v>
      </c>
      <c r="B388" s="1007" t="s">
        <v>1755</v>
      </c>
      <c r="C388" s="1008"/>
      <c r="D388" s="1008" t="s">
        <v>3698</v>
      </c>
      <c r="E388" s="1007" t="s">
        <v>3105</v>
      </c>
      <c r="F388" s="1010" t="s">
        <v>571</v>
      </c>
      <c r="G388" s="989">
        <v>135600</v>
      </c>
      <c r="H388" s="937"/>
      <c r="I388" s="1046"/>
      <c r="J388" s="1046"/>
      <c r="K388" s="1047">
        <v>-35869.97</v>
      </c>
      <c r="L388" s="1046"/>
      <c r="M388" s="1094"/>
      <c r="N388" s="989">
        <f>135600+M388+K388</f>
        <v>99730.03</v>
      </c>
      <c r="O388" s="989">
        <v>0</v>
      </c>
      <c r="P388" s="989">
        <v>99730.03</v>
      </c>
      <c r="Q388" s="989">
        <f t="shared" si="42"/>
        <v>99730.03</v>
      </c>
      <c r="R388" s="989">
        <f t="shared" si="46"/>
        <v>100</v>
      </c>
      <c r="S388" s="1011">
        <v>0</v>
      </c>
      <c r="T388" s="989">
        <f t="shared" si="43"/>
        <v>0</v>
      </c>
      <c r="U388" s="989">
        <f t="shared" si="44"/>
        <v>99730.03</v>
      </c>
      <c r="V388" s="989">
        <f t="shared" si="45"/>
        <v>100</v>
      </c>
      <c r="W388" s="989"/>
      <c r="X388" s="989">
        <f t="shared" si="41"/>
        <v>0</v>
      </c>
      <c r="Y388" s="1012"/>
      <c r="Z388" s="941"/>
      <c r="AA388" s="941"/>
      <c r="AB388" s="941"/>
      <c r="AC388" s="941"/>
      <c r="AD388" s="941"/>
      <c r="AE388" s="941"/>
      <c r="AF388" s="941"/>
      <c r="AG388" s="941"/>
      <c r="AH388" s="941"/>
      <c r="AI388" s="941"/>
      <c r="AJ388" s="941"/>
      <c r="AK388" s="941"/>
      <c r="AL388" s="941"/>
      <c r="AM388" s="941"/>
    </row>
    <row r="389" spans="1:39" s="969" customFormat="1" ht="63" customHeight="1">
      <c r="A389" s="1006">
        <v>271</v>
      </c>
      <c r="B389" s="1007" t="s">
        <v>1756</v>
      </c>
      <c r="C389" s="1008"/>
      <c r="D389" s="1008" t="s">
        <v>3699</v>
      </c>
      <c r="E389" s="1007" t="s">
        <v>1757</v>
      </c>
      <c r="F389" s="1010" t="s">
        <v>571</v>
      </c>
      <c r="G389" s="989">
        <v>45200</v>
      </c>
      <c r="H389" s="937"/>
      <c r="I389" s="1046"/>
      <c r="J389" s="1046"/>
      <c r="K389" s="1047">
        <v>-21200</v>
      </c>
      <c r="L389" s="1046"/>
      <c r="M389" s="1094"/>
      <c r="N389" s="989">
        <f>45200+M389+K389</f>
        <v>24000</v>
      </c>
      <c r="O389" s="989">
        <v>0</v>
      </c>
      <c r="P389" s="989">
        <v>24000</v>
      </c>
      <c r="Q389" s="989">
        <f t="shared" si="42"/>
        <v>24000</v>
      </c>
      <c r="R389" s="989">
        <f t="shared" si="46"/>
        <v>100</v>
      </c>
      <c r="S389" s="1011">
        <v>0</v>
      </c>
      <c r="T389" s="989">
        <f t="shared" si="43"/>
        <v>0</v>
      </c>
      <c r="U389" s="989">
        <f t="shared" si="44"/>
        <v>24000</v>
      </c>
      <c r="V389" s="989">
        <f t="shared" si="45"/>
        <v>100</v>
      </c>
      <c r="W389" s="989"/>
      <c r="X389" s="989">
        <f t="shared" si="41"/>
        <v>0</v>
      </c>
      <c r="Y389" s="1012"/>
      <c r="Z389" s="941"/>
      <c r="AA389" s="941"/>
      <c r="AB389" s="941"/>
      <c r="AC389" s="941"/>
      <c r="AD389" s="941"/>
      <c r="AE389" s="941"/>
      <c r="AF389" s="941"/>
      <c r="AG389" s="941"/>
      <c r="AH389" s="941"/>
      <c r="AI389" s="941"/>
      <c r="AJ389" s="941"/>
      <c r="AK389" s="941"/>
      <c r="AL389" s="941"/>
      <c r="AM389" s="941"/>
    </row>
    <row r="390" spans="1:39" s="969" customFormat="1" ht="63" customHeight="1">
      <c r="A390" s="1006">
        <v>272</v>
      </c>
      <c r="B390" s="1007" t="s">
        <v>2910</v>
      </c>
      <c r="C390" s="1008"/>
      <c r="D390" s="1008" t="s">
        <v>3700</v>
      </c>
      <c r="E390" s="1007" t="s">
        <v>3106</v>
      </c>
      <c r="F390" s="1010" t="s">
        <v>571</v>
      </c>
      <c r="G390" s="989">
        <v>135600</v>
      </c>
      <c r="H390" s="937"/>
      <c r="I390" s="1046"/>
      <c r="J390" s="1046"/>
      <c r="K390" s="1047">
        <v>-1682.97</v>
      </c>
      <c r="L390" s="1046"/>
      <c r="M390" s="1094"/>
      <c r="N390" s="989">
        <f>135600+M390+K390</f>
        <v>133917.03</v>
      </c>
      <c r="O390" s="989">
        <v>0</v>
      </c>
      <c r="P390" s="989">
        <v>133917.03</v>
      </c>
      <c r="Q390" s="989">
        <f t="shared" si="42"/>
        <v>133917.03</v>
      </c>
      <c r="R390" s="989">
        <f t="shared" si="46"/>
        <v>100</v>
      </c>
      <c r="S390" s="1011">
        <v>0</v>
      </c>
      <c r="T390" s="989">
        <f t="shared" si="43"/>
        <v>0</v>
      </c>
      <c r="U390" s="989">
        <f t="shared" si="44"/>
        <v>133917.03</v>
      </c>
      <c r="V390" s="989">
        <f t="shared" si="45"/>
        <v>100</v>
      </c>
      <c r="W390" s="989"/>
      <c r="X390" s="989">
        <f t="shared" si="41"/>
        <v>0</v>
      </c>
      <c r="Y390" s="1012"/>
      <c r="Z390" s="941"/>
      <c r="AA390" s="941"/>
      <c r="AB390" s="941"/>
      <c r="AC390" s="941"/>
      <c r="AD390" s="941"/>
      <c r="AE390" s="941"/>
      <c r="AF390" s="941"/>
      <c r="AG390" s="941"/>
      <c r="AH390" s="941"/>
      <c r="AI390" s="941"/>
      <c r="AJ390" s="941"/>
      <c r="AK390" s="941"/>
      <c r="AL390" s="941"/>
      <c r="AM390" s="941"/>
    </row>
    <row r="391" spans="1:39" s="969" customFormat="1" ht="63" customHeight="1">
      <c r="A391" s="1006">
        <v>273</v>
      </c>
      <c r="B391" s="1007" t="s">
        <v>1758</v>
      </c>
      <c r="C391" s="1008"/>
      <c r="D391" s="1008" t="s">
        <v>3701</v>
      </c>
      <c r="E391" s="1007" t="s">
        <v>1759</v>
      </c>
      <c r="F391" s="1010" t="s">
        <v>571</v>
      </c>
      <c r="G391" s="989">
        <v>45200</v>
      </c>
      <c r="H391" s="937"/>
      <c r="I391" s="1046"/>
      <c r="J391" s="1046"/>
      <c r="K391" s="1047">
        <v>-24569.599999999999</v>
      </c>
      <c r="L391" s="1046"/>
      <c r="M391" s="1094"/>
      <c r="N391" s="989">
        <f>45200+M391+K391</f>
        <v>20630.400000000001</v>
      </c>
      <c r="O391" s="989">
        <v>0</v>
      </c>
      <c r="P391" s="989">
        <v>20630.400000000001</v>
      </c>
      <c r="Q391" s="989">
        <f t="shared" si="42"/>
        <v>20630.400000000001</v>
      </c>
      <c r="R391" s="989">
        <f t="shared" si="46"/>
        <v>100</v>
      </c>
      <c r="S391" s="1011">
        <v>0</v>
      </c>
      <c r="T391" s="989">
        <f t="shared" si="43"/>
        <v>0</v>
      </c>
      <c r="U391" s="989">
        <f t="shared" si="44"/>
        <v>20630.400000000001</v>
      </c>
      <c r="V391" s="989">
        <f t="shared" si="45"/>
        <v>100</v>
      </c>
      <c r="W391" s="989"/>
      <c r="X391" s="989">
        <f t="shared" si="41"/>
        <v>0</v>
      </c>
      <c r="Y391" s="1012"/>
      <c r="Z391" s="941"/>
      <c r="AA391" s="941"/>
      <c r="AB391" s="941"/>
      <c r="AC391" s="941"/>
      <c r="AD391" s="941"/>
      <c r="AE391" s="941"/>
      <c r="AF391" s="941"/>
      <c r="AG391" s="941"/>
      <c r="AH391" s="941"/>
      <c r="AI391" s="941"/>
      <c r="AJ391" s="941"/>
      <c r="AK391" s="941"/>
      <c r="AL391" s="941"/>
      <c r="AM391" s="941"/>
    </row>
    <row r="392" spans="1:39" s="969" customFormat="1" ht="63" customHeight="1">
      <c r="A392" s="1006">
        <v>274</v>
      </c>
      <c r="B392" s="1007" t="s">
        <v>1760</v>
      </c>
      <c r="C392" s="1008"/>
      <c r="D392" s="1008" t="s">
        <v>3702</v>
      </c>
      <c r="E392" s="1007" t="s">
        <v>3107</v>
      </c>
      <c r="F392" s="1010" t="s">
        <v>571</v>
      </c>
      <c r="G392" s="989">
        <v>316400</v>
      </c>
      <c r="H392" s="937"/>
      <c r="I392" s="1046"/>
      <c r="J392" s="1046"/>
      <c r="K392" s="1047">
        <v>-171532.5</v>
      </c>
      <c r="L392" s="1046"/>
      <c r="M392" s="1094"/>
      <c r="N392" s="989">
        <f>316400+M392+K392</f>
        <v>144867.5</v>
      </c>
      <c r="O392" s="989">
        <v>82600</v>
      </c>
      <c r="P392" s="989">
        <v>62267.5</v>
      </c>
      <c r="Q392" s="989">
        <f t="shared" si="42"/>
        <v>144867.5</v>
      </c>
      <c r="R392" s="989">
        <f t="shared" si="46"/>
        <v>100</v>
      </c>
      <c r="S392" s="1011">
        <v>0</v>
      </c>
      <c r="T392" s="989">
        <f t="shared" si="43"/>
        <v>0</v>
      </c>
      <c r="U392" s="989">
        <f t="shared" si="44"/>
        <v>144867.5</v>
      </c>
      <c r="V392" s="989">
        <f t="shared" si="45"/>
        <v>100</v>
      </c>
      <c r="W392" s="989"/>
      <c r="X392" s="989">
        <f t="shared" si="41"/>
        <v>0</v>
      </c>
      <c r="Y392" s="1012"/>
      <c r="Z392" s="941"/>
      <c r="AA392" s="941"/>
      <c r="AB392" s="941"/>
      <c r="AC392" s="941"/>
      <c r="AD392" s="941"/>
      <c r="AE392" s="941"/>
      <c r="AF392" s="941"/>
      <c r="AG392" s="941"/>
      <c r="AH392" s="941"/>
      <c r="AI392" s="941"/>
      <c r="AJ392" s="941"/>
      <c r="AK392" s="941"/>
      <c r="AL392" s="941"/>
      <c r="AM392" s="941"/>
    </row>
    <row r="393" spans="1:39" s="969" customFormat="1" ht="63" customHeight="1">
      <c r="A393" s="1006">
        <v>275</v>
      </c>
      <c r="B393" s="1007" t="s">
        <v>1761</v>
      </c>
      <c r="C393" s="1008"/>
      <c r="D393" s="1008" t="s">
        <v>3703</v>
      </c>
      <c r="E393" s="1007" t="s">
        <v>1762</v>
      </c>
      <c r="F393" s="1010" t="s">
        <v>342</v>
      </c>
      <c r="G393" s="989">
        <v>45200</v>
      </c>
      <c r="H393" s="937"/>
      <c r="I393" s="1046"/>
      <c r="J393" s="1046"/>
      <c r="K393" s="1047"/>
      <c r="L393" s="1046"/>
      <c r="M393" s="1094"/>
      <c r="N393" s="989">
        <v>45200</v>
      </c>
      <c r="O393" s="989">
        <v>45200</v>
      </c>
      <c r="P393" s="989"/>
      <c r="Q393" s="989">
        <f t="shared" si="42"/>
        <v>45200</v>
      </c>
      <c r="R393" s="989">
        <f t="shared" si="46"/>
        <v>100</v>
      </c>
      <c r="S393" s="1011"/>
      <c r="T393" s="989">
        <f t="shared" si="43"/>
        <v>0</v>
      </c>
      <c r="U393" s="989">
        <f t="shared" si="44"/>
        <v>45200</v>
      </c>
      <c r="V393" s="989">
        <f t="shared" si="45"/>
        <v>100</v>
      </c>
      <c r="W393" s="989"/>
      <c r="X393" s="989">
        <f t="shared" si="41"/>
        <v>0</v>
      </c>
      <c r="Y393" s="1012"/>
      <c r="Z393" s="941"/>
      <c r="AA393" s="941"/>
      <c r="AB393" s="941"/>
      <c r="AC393" s="941"/>
      <c r="AD393" s="941"/>
      <c r="AE393" s="941"/>
      <c r="AF393" s="941"/>
      <c r="AG393" s="941"/>
      <c r="AH393" s="941"/>
      <c r="AI393" s="941"/>
      <c r="AJ393" s="941"/>
      <c r="AK393" s="941"/>
      <c r="AL393" s="941"/>
      <c r="AM393" s="941"/>
    </row>
    <row r="394" spans="1:39" s="969" customFormat="1" ht="63" customHeight="1">
      <c r="A394" s="1006">
        <v>276</v>
      </c>
      <c r="B394" s="1007" t="s">
        <v>2911</v>
      </c>
      <c r="C394" s="1008"/>
      <c r="D394" s="1008" t="s">
        <v>3704</v>
      </c>
      <c r="E394" s="1007" t="s">
        <v>1763</v>
      </c>
      <c r="F394" s="1010" t="s">
        <v>342</v>
      </c>
      <c r="G394" s="989">
        <v>180800</v>
      </c>
      <c r="H394" s="937"/>
      <c r="I394" s="1046"/>
      <c r="J394" s="1046"/>
      <c r="K394" s="1047">
        <v>-7141.6</v>
      </c>
      <c r="L394" s="1046"/>
      <c r="M394" s="1094"/>
      <c r="N394" s="989">
        <f>180800+M394+K394</f>
        <v>173658.4</v>
      </c>
      <c r="O394" s="989">
        <v>45200</v>
      </c>
      <c r="P394" s="989">
        <v>128458.4</v>
      </c>
      <c r="Q394" s="989">
        <f t="shared" si="42"/>
        <v>173658.4</v>
      </c>
      <c r="R394" s="989">
        <f t="shared" si="46"/>
        <v>100</v>
      </c>
      <c r="S394" s="1011">
        <v>0</v>
      </c>
      <c r="T394" s="989">
        <f t="shared" si="43"/>
        <v>0</v>
      </c>
      <c r="U394" s="989">
        <f t="shared" si="44"/>
        <v>173658.4</v>
      </c>
      <c r="V394" s="989">
        <f t="shared" si="45"/>
        <v>100</v>
      </c>
      <c r="W394" s="989"/>
      <c r="X394" s="989">
        <f t="shared" si="41"/>
        <v>0</v>
      </c>
      <c r="Y394" s="1012"/>
      <c r="Z394" s="941"/>
      <c r="AA394" s="941"/>
      <c r="AB394" s="941"/>
      <c r="AC394" s="941"/>
      <c r="AD394" s="941"/>
      <c r="AE394" s="941"/>
      <c r="AF394" s="941"/>
      <c r="AG394" s="941"/>
      <c r="AH394" s="941"/>
      <c r="AI394" s="941"/>
      <c r="AJ394" s="941"/>
      <c r="AK394" s="941"/>
      <c r="AL394" s="941"/>
      <c r="AM394" s="941"/>
    </row>
    <row r="395" spans="1:39" s="969" customFormat="1" ht="63" customHeight="1">
      <c r="A395" s="1006">
        <v>277</v>
      </c>
      <c r="B395" s="1007" t="s">
        <v>1764</v>
      </c>
      <c r="C395" s="1008"/>
      <c r="D395" s="1008" t="s">
        <v>3705</v>
      </c>
      <c r="E395" s="1007" t="s">
        <v>1765</v>
      </c>
      <c r="F395" s="1010" t="s">
        <v>342</v>
      </c>
      <c r="G395" s="989">
        <v>45200</v>
      </c>
      <c r="H395" s="937"/>
      <c r="I395" s="1046"/>
      <c r="J395" s="1046"/>
      <c r="K395" s="1047">
        <v>-20330</v>
      </c>
      <c r="L395" s="1046"/>
      <c r="M395" s="1094"/>
      <c r="N395" s="989">
        <f>45200+M395+K395</f>
        <v>24870</v>
      </c>
      <c r="O395" s="989">
        <v>0</v>
      </c>
      <c r="P395" s="989">
        <v>24870</v>
      </c>
      <c r="Q395" s="989">
        <f t="shared" si="42"/>
        <v>24870</v>
      </c>
      <c r="R395" s="989">
        <f t="shared" si="46"/>
        <v>100</v>
      </c>
      <c r="S395" s="1011">
        <v>0</v>
      </c>
      <c r="T395" s="989">
        <f t="shared" si="43"/>
        <v>0</v>
      </c>
      <c r="U395" s="989">
        <f t="shared" si="44"/>
        <v>24870</v>
      </c>
      <c r="V395" s="989">
        <f t="shared" si="45"/>
        <v>100</v>
      </c>
      <c r="W395" s="989"/>
      <c r="X395" s="989">
        <f t="shared" si="41"/>
        <v>0</v>
      </c>
      <c r="Y395" s="1012"/>
      <c r="Z395" s="941"/>
      <c r="AA395" s="941"/>
      <c r="AB395" s="941"/>
      <c r="AC395" s="941"/>
      <c r="AD395" s="941"/>
      <c r="AE395" s="941"/>
      <c r="AF395" s="941"/>
      <c r="AG395" s="941"/>
      <c r="AH395" s="941"/>
      <c r="AI395" s="941"/>
      <c r="AJ395" s="941"/>
      <c r="AK395" s="941"/>
      <c r="AL395" s="941"/>
      <c r="AM395" s="941"/>
    </row>
    <row r="396" spans="1:39" s="969" customFormat="1" ht="63" customHeight="1">
      <c r="A396" s="1006">
        <v>278</v>
      </c>
      <c r="B396" s="1007" t="s">
        <v>1766</v>
      </c>
      <c r="C396" s="1008"/>
      <c r="D396" s="1008" t="s">
        <v>3706</v>
      </c>
      <c r="E396" s="1007" t="s">
        <v>1767</v>
      </c>
      <c r="F396" s="1010" t="s">
        <v>342</v>
      </c>
      <c r="G396" s="989">
        <v>135600</v>
      </c>
      <c r="H396" s="937"/>
      <c r="I396" s="1046"/>
      <c r="J396" s="1046"/>
      <c r="K396" s="1047">
        <v>-72186.05</v>
      </c>
      <c r="L396" s="1046"/>
      <c r="M396" s="1094"/>
      <c r="N396" s="989">
        <f>135600+M396+K396</f>
        <v>63413.95</v>
      </c>
      <c r="O396" s="989">
        <v>63413.95</v>
      </c>
      <c r="P396" s="989">
        <v>0</v>
      </c>
      <c r="Q396" s="989">
        <f t="shared" si="42"/>
        <v>63413.95</v>
      </c>
      <c r="R396" s="989">
        <f t="shared" si="46"/>
        <v>100</v>
      </c>
      <c r="S396" s="1011">
        <v>0</v>
      </c>
      <c r="T396" s="989">
        <f t="shared" si="43"/>
        <v>0</v>
      </c>
      <c r="U396" s="989">
        <f t="shared" si="44"/>
        <v>63413.95</v>
      </c>
      <c r="V396" s="989">
        <f t="shared" si="45"/>
        <v>100</v>
      </c>
      <c r="W396" s="989"/>
      <c r="X396" s="989">
        <f t="shared" si="41"/>
        <v>0</v>
      </c>
      <c r="Y396" s="1012"/>
      <c r="Z396" s="941"/>
      <c r="AA396" s="941"/>
      <c r="AB396" s="941"/>
      <c r="AC396" s="941"/>
      <c r="AD396" s="941"/>
      <c r="AE396" s="941"/>
      <c r="AF396" s="941"/>
      <c r="AG396" s="941"/>
      <c r="AH396" s="941"/>
      <c r="AI396" s="941"/>
      <c r="AJ396" s="941"/>
      <c r="AK396" s="941"/>
      <c r="AL396" s="941"/>
      <c r="AM396" s="941"/>
    </row>
    <row r="397" spans="1:39" s="969" customFormat="1" ht="63" customHeight="1">
      <c r="A397" s="1006">
        <v>279</v>
      </c>
      <c r="B397" s="1007" t="s">
        <v>1768</v>
      </c>
      <c r="C397" s="1008"/>
      <c r="D397" s="1008" t="s">
        <v>3707</v>
      </c>
      <c r="E397" s="1007" t="s">
        <v>1769</v>
      </c>
      <c r="F397" s="1010" t="s">
        <v>342</v>
      </c>
      <c r="G397" s="989">
        <v>90400</v>
      </c>
      <c r="H397" s="937"/>
      <c r="I397" s="1046"/>
      <c r="J397" s="1046"/>
      <c r="K397" s="1047">
        <v>-11529</v>
      </c>
      <c r="L397" s="1046"/>
      <c r="M397" s="1094"/>
      <c r="N397" s="989">
        <f>90400+M397+K397</f>
        <v>78871</v>
      </c>
      <c r="O397" s="989">
        <v>78871</v>
      </c>
      <c r="P397" s="989">
        <v>0</v>
      </c>
      <c r="Q397" s="989">
        <f t="shared" si="42"/>
        <v>78871</v>
      </c>
      <c r="R397" s="989">
        <f t="shared" si="46"/>
        <v>100</v>
      </c>
      <c r="S397" s="1011">
        <v>0</v>
      </c>
      <c r="T397" s="989">
        <f t="shared" si="43"/>
        <v>0</v>
      </c>
      <c r="U397" s="989">
        <f t="shared" si="44"/>
        <v>78871</v>
      </c>
      <c r="V397" s="989">
        <f t="shared" si="45"/>
        <v>100</v>
      </c>
      <c r="W397" s="989"/>
      <c r="X397" s="989">
        <f t="shared" si="41"/>
        <v>0</v>
      </c>
      <c r="Y397" s="1012"/>
      <c r="Z397" s="941"/>
      <c r="AA397" s="941"/>
      <c r="AB397" s="941"/>
      <c r="AC397" s="941"/>
      <c r="AD397" s="941"/>
      <c r="AE397" s="941"/>
      <c r="AF397" s="941"/>
      <c r="AG397" s="941"/>
      <c r="AH397" s="941"/>
      <c r="AI397" s="941"/>
      <c r="AJ397" s="941"/>
      <c r="AK397" s="941"/>
      <c r="AL397" s="941"/>
      <c r="AM397" s="941"/>
    </row>
    <row r="398" spans="1:39" s="969" customFormat="1" ht="63" customHeight="1">
      <c r="A398" s="1006">
        <v>280</v>
      </c>
      <c r="B398" s="1007" t="s">
        <v>1770</v>
      </c>
      <c r="C398" s="1008"/>
      <c r="D398" s="1008" t="s">
        <v>3708</v>
      </c>
      <c r="E398" s="1007" t="s">
        <v>4345</v>
      </c>
      <c r="F398" s="1010" t="s">
        <v>1185</v>
      </c>
      <c r="G398" s="989">
        <v>45200</v>
      </c>
      <c r="H398" s="937"/>
      <c r="I398" s="1046"/>
      <c r="J398" s="1046"/>
      <c r="K398" s="1047"/>
      <c r="L398" s="1046"/>
      <c r="M398" s="1094"/>
      <c r="N398" s="989">
        <v>45200</v>
      </c>
      <c r="O398" s="989">
        <v>0</v>
      </c>
      <c r="P398" s="989">
        <v>45200</v>
      </c>
      <c r="Q398" s="989">
        <f t="shared" si="42"/>
        <v>45200</v>
      </c>
      <c r="R398" s="989">
        <f t="shared" si="46"/>
        <v>100</v>
      </c>
      <c r="S398" s="1011">
        <v>0</v>
      </c>
      <c r="T398" s="989">
        <f t="shared" si="43"/>
        <v>0</v>
      </c>
      <c r="U398" s="989">
        <f t="shared" si="44"/>
        <v>45200</v>
      </c>
      <c r="V398" s="989">
        <f t="shared" si="45"/>
        <v>100</v>
      </c>
      <c r="W398" s="989"/>
      <c r="X398" s="989">
        <f t="shared" si="41"/>
        <v>0</v>
      </c>
      <c r="Y398" s="1012"/>
      <c r="Z398" s="941"/>
      <c r="AA398" s="941"/>
      <c r="AB398" s="941"/>
      <c r="AC398" s="941"/>
      <c r="AD398" s="941"/>
      <c r="AE398" s="941"/>
      <c r="AF398" s="941"/>
      <c r="AG398" s="941"/>
      <c r="AH398" s="941"/>
      <c r="AI398" s="941"/>
      <c r="AJ398" s="941"/>
      <c r="AK398" s="941"/>
      <c r="AL398" s="941"/>
      <c r="AM398" s="941"/>
    </row>
    <row r="399" spans="1:39" s="969" customFormat="1" ht="63" customHeight="1">
      <c r="A399" s="1006">
        <v>281</v>
      </c>
      <c r="B399" s="1007" t="s">
        <v>2912</v>
      </c>
      <c r="C399" s="1008"/>
      <c r="D399" s="1008" t="s">
        <v>3709</v>
      </c>
      <c r="E399" s="1007" t="s">
        <v>1771</v>
      </c>
      <c r="F399" s="1010" t="s">
        <v>578</v>
      </c>
      <c r="G399" s="989">
        <v>90400</v>
      </c>
      <c r="H399" s="937"/>
      <c r="I399" s="1046"/>
      <c r="J399" s="1046"/>
      <c r="K399" s="1047">
        <v>-42052.27</v>
      </c>
      <c r="L399" s="1046"/>
      <c r="M399" s="1094"/>
      <c r="N399" s="989">
        <f>90400+M399+K399</f>
        <v>48347.73</v>
      </c>
      <c r="O399" s="989">
        <v>0</v>
      </c>
      <c r="P399" s="989">
        <v>48347.73</v>
      </c>
      <c r="Q399" s="989">
        <f t="shared" si="42"/>
        <v>48347.73</v>
      </c>
      <c r="R399" s="989">
        <f t="shared" si="46"/>
        <v>100</v>
      </c>
      <c r="S399" s="1011">
        <v>0</v>
      </c>
      <c r="T399" s="989">
        <f t="shared" si="43"/>
        <v>0</v>
      </c>
      <c r="U399" s="989">
        <f t="shared" si="44"/>
        <v>48347.73</v>
      </c>
      <c r="V399" s="989">
        <f t="shared" si="45"/>
        <v>100</v>
      </c>
      <c r="W399" s="989"/>
      <c r="X399" s="989">
        <f t="shared" si="41"/>
        <v>0</v>
      </c>
      <c r="Y399" s="1012"/>
      <c r="Z399" s="941"/>
      <c r="AA399" s="941"/>
      <c r="AB399" s="941"/>
      <c r="AC399" s="941"/>
      <c r="AD399" s="941"/>
      <c r="AE399" s="941"/>
      <c r="AF399" s="941"/>
      <c r="AG399" s="941"/>
      <c r="AH399" s="941"/>
      <c r="AI399" s="941"/>
      <c r="AJ399" s="941"/>
      <c r="AK399" s="941"/>
      <c r="AL399" s="941"/>
      <c r="AM399" s="941"/>
    </row>
    <row r="400" spans="1:39" s="969" customFormat="1" ht="63" customHeight="1">
      <c r="A400" s="1006">
        <v>282</v>
      </c>
      <c r="B400" s="1007" t="s">
        <v>2913</v>
      </c>
      <c r="C400" s="1008"/>
      <c r="D400" s="1008" t="s">
        <v>3710</v>
      </c>
      <c r="E400" s="1007" t="s">
        <v>2961</v>
      </c>
      <c r="F400" s="1010" t="s">
        <v>545</v>
      </c>
      <c r="G400" s="989">
        <v>312000</v>
      </c>
      <c r="H400" s="937"/>
      <c r="I400" s="1046"/>
      <c r="J400" s="1046"/>
      <c r="K400" s="1047">
        <v>-71284.960000000006</v>
      </c>
      <c r="L400" s="1046"/>
      <c r="M400" s="1094"/>
      <c r="N400" s="989">
        <f>312000+M400+K400</f>
        <v>240715.03999999998</v>
      </c>
      <c r="O400" s="989">
        <v>0</v>
      </c>
      <c r="P400" s="989">
        <v>159155</v>
      </c>
      <c r="Q400" s="989">
        <f t="shared" si="42"/>
        <v>159155</v>
      </c>
      <c r="R400" s="989">
        <f t="shared" si="46"/>
        <v>66.117596972752523</v>
      </c>
      <c r="S400" s="1011">
        <v>81560.039999999994</v>
      </c>
      <c r="T400" s="989">
        <f t="shared" si="43"/>
        <v>33.882403027247484</v>
      </c>
      <c r="U400" s="989">
        <f t="shared" si="44"/>
        <v>240715.03999999998</v>
      </c>
      <c r="V400" s="989">
        <f t="shared" si="45"/>
        <v>100</v>
      </c>
      <c r="W400" s="989"/>
      <c r="X400" s="989">
        <f t="shared" si="41"/>
        <v>0</v>
      </c>
      <c r="Y400" s="1012"/>
      <c r="Z400" s="941"/>
      <c r="AA400" s="941"/>
      <c r="AB400" s="941"/>
      <c r="AC400" s="941"/>
      <c r="AD400" s="941"/>
      <c r="AE400" s="941"/>
      <c r="AF400" s="941"/>
      <c r="AG400" s="941"/>
      <c r="AH400" s="941"/>
      <c r="AI400" s="941"/>
      <c r="AJ400" s="941"/>
      <c r="AK400" s="941"/>
      <c r="AL400" s="941"/>
      <c r="AM400" s="941"/>
    </row>
    <row r="401" spans="1:25" ht="63" customHeight="1">
      <c r="A401" s="1006">
        <v>283</v>
      </c>
      <c r="B401" s="1007" t="s">
        <v>1772</v>
      </c>
      <c r="C401" s="1008"/>
      <c r="D401" s="1008" t="s">
        <v>3711</v>
      </c>
      <c r="E401" s="1007" t="s">
        <v>2962</v>
      </c>
      <c r="F401" s="1010" t="s">
        <v>545</v>
      </c>
      <c r="G401" s="989">
        <v>208000</v>
      </c>
      <c r="H401" s="937"/>
      <c r="I401" s="1046"/>
      <c r="J401" s="1046"/>
      <c r="K401" s="1047"/>
      <c r="L401" s="1046"/>
      <c r="M401" s="1094"/>
      <c r="N401" s="989">
        <v>208000</v>
      </c>
      <c r="O401" s="989">
        <v>0</v>
      </c>
      <c r="P401" s="989">
        <v>208000</v>
      </c>
      <c r="Q401" s="989">
        <f t="shared" si="42"/>
        <v>208000</v>
      </c>
      <c r="R401" s="989">
        <f t="shared" si="46"/>
        <v>100</v>
      </c>
      <c r="S401" s="1011">
        <v>0</v>
      </c>
      <c r="T401" s="989">
        <f t="shared" si="43"/>
        <v>0</v>
      </c>
      <c r="U401" s="989">
        <f t="shared" si="44"/>
        <v>208000</v>
      </c>
      <c r="V401" s="989">
        <f t="shared" si="45"/>
        <v>100</v>
      </c>
      <c r="W401" s="989"/>
      <c r="X401" s="989">
        <f t="shared" si="41"/>
        <v>0</v>
      </c>
      <c r="Y401" s="1012"/>
    </row>
    <row r="402" spans="1:25" ht="63" customHeight="1">
      <c r="A402" s="1006">
        <v>284</v>
      </c>
      <c r="B402" s="1007" t="s">
        <v>4483</v>
      </c>
      <c r="C402" s="1008"/>
      <c r="D402" s="1008" t="s">
        <v>4484</v>
      </c>
      <c r="E402" s="1007" t="s">
        <v>4383</v>
      </c>
      <c r="F402" s="1010" t="s">
        <v>545</v>
      </c>
      <c r="G402" s="989">
        <v>0</v>
      </c>
      <c r="H402" s="937"/>
      <c r="I402" s="1046"/>
      <c r="J402" s="1046"/>
      <c r="K402" s="1047"/>
      <c r="L402" s="1046"/>
      <c r="M402" s="1094"/>
      <c r="N402" s="989">
        <v>0</v>
      </c>
      <c r="O402" s="989">
        <v>0</v>
      </c>
      <c r="P402" s="989"/>
      <c r="Q402" s="989">
        <f t="shared" si="42"/>
        <v>0</v>
      </c>
      <c r="R402" s="989" t="e">
        <f t="shared" si="46"/>
        <v>#DIV/0!</v>
      </c>
      <c r="S402" s="1011"/>
      <c r="T402" s="989"/>
      <c r="U402" s="989">
        <f t="shared" si="44"/>
        <v>0</v>
      </c>
      <c r="V402" s="989"/>
      <c r="W402" s="989"/>
      <c r="X402" s="989">
        <f t="shared" si="41"/>
        <v>0</v>
      </c>
      <c r="Y402" s="1012"/>
    </row>
    <row r="403" spans="1:25" ht="63" customHeight="1">
      <c r="A403" s="1006">
        <v>285</v>
      </c>
      <c r="B403" s="1007" t="s">
        <v>1773</v>
      </c>
      <c r="C403" s="1008"/>
      <c r="D403" s="1008" t="s">
        <v>3712</v>
      </c>
      <c r="E403" s="1007" t="s">
        <v>1774</v>
      </c>
      <c r="F403" s="1010" t="s">
        <v>1180</v>
      </c>
      <c r="G403" s="989">
        <v>104000</v>
      </c>
      <c r="H403" s="937"/>
      <c r="I403" s="1046"/>
      <c r="J403" s="1046"/>
      <c r="K403" s="1047">
        <v>-10000</v>
      </c>
      <c r="L403" s="1046"/>
      <c r="M403" s="1094"/>
      <c r="N403" s="989">
        <f>104000+M403+K403</f>
        <v>94000</v>
      </c>
      <c r="O403" s="989">
        <v>0</v>
      </c>
      <c r="P403" s="989">
        <v>94000</v>
      </c>
      <c r="Q403" s="989">
        <f t="shared" si="42"/>
        <v>94000</v>
      </c>
      <c r="R403" s="989">
        <f t="shared" si="46"/>
        <v>100</v>
      </c>
      <c r="S403" s="1011">
        <v>0</v>
      </c>
      <c r="T403" s="989">
        <f t="shared" si="43"/>
        <v>0</v>
      </c>
      <c r="U403" s="989">
        <f t="shared" si="44"/>
        <v>94000</v>
      </c>
      <c r="V403" s="989">
        <f t="shared" si="45"/>
        <v>100</v>
      </c>
      <c r="W403" s="989"/>
      <c r="X403" s="989">
        <f t="shared" si="41"/>
        <v>0</v>
      </c>
      <c r="Y403" s="1012"/>
    </row>
    <row r="404" spans="1:25" ht="63" customHeight="1">
      <c r="A404" s="1006">
        <v>286</v>
      </c>
      <c r="B404" s="1007" t="s">
        <v>2914</v>
      </c>
      <c r="C404" s="1008"/>
      <c r="D404" s="1008" t="s">
        <v>3713</v>
      </c>
      <c r="E404" s="1007" t="s">
        <v>3161</v>
      </c>
      <c r="F404" s="1010" t="s">
        <v>1180</v>
      </c>
      <c r="G404" s="989">
        <v>520000</v>
      </c>
      <c r="H404" s="937"/>
      <c r="I404" s="1046"/>
      <c r="J404" s="1046"/>
      <c r="K404" s="1047"/>
      <c r="L404" s="1046"/>
      <c r="M404" s="1094"/>
      <c r="N404" s="989">
        <v>520000</v>
      </c>
      <c r="O404" s="989">
        <v>0</v>
      </c>
      <c r="P404" s="989">
        <v>520000</v>
      </c>
      <c r="Q404" s="989">
        <f t="shared" si="42"/>
        <v>520000</v>
      </c>
      <c r="R404" s="989">
        <f t="shared" si="46"/>
        <v>100</v>
      </c>
      <c r="S404" s="1011">
        <v>0</v>
      </c>
      <c r="T404" s="989">
        <f t="shared" si="43"/>
        <v>0</v>
      </c>
      <c r="U404" s="989">
        <f t="shared" si="44"/>
        <v>520000</v>
      </c>
      <c r="V404" s="989">
        <f t="shared" si="45"/>
        <v>100</v>
      </c>
      <c r="W404" s="989"/>
      <c r="X404" s="989">
        <f t="shared" si="41"/>
        <v>0</v>
      </c>
      <c r="Y404" s="1012"/>
    </row>
    <row r="405" spans="1:25" ht="63" customHeight="1">
      <c r="A405" s="1006">
        <v>287</v>
      </c>
      <c r="B405" s="1007" t="s">
        <v>2915</v>
      </c>
      <c r="C405" s="1008"/>
      <c r="D405" s="1008" t="s">
        <v>3714</v>
      </c>
      <c r="E405" s="1007" t="s">
        <v>3162</v>
      </c>
      <c r="F405" s="1010" t="s">
        <v>1180</v>
      </c>
      <c r="G405" s="989">
        <v>520000</v>
      </c>
      <c r="H405" s="937"/>
      <c r="I405" s="1046"/>
      <c r="J405" s="1046"/>
      <c r="K405" s="1047">
        <v>-46300</v>
      </c>
      <c r="L405" s="1046"/>
      <c r="M405" s="1094"/>
      <c r="N405" s="989">
        <f>520000+M405+K405</f>
        <v>473700</v>
      </c>
      <c r="O405" s="989">
        <v>0</v>
      </c>
      <c r="P405" s="989">
        <v>473700</v>
      </c>
      <c r="Q405" s="989">
        <f t="shared" si="42"/>
        <v>473700</v>
      </c>
      <c r="R405" s="989">
        <f t="shared" si="46"/>
        <v>100</v>
      </c>
      <c r="S405" s="1011">
        <v>0</v>
      </c>
      <c r="T405" s="989">
        <f t="shared" si="43"/>
        <v>0</v>
      </c>
      <c r="U405" s="989">
        <f t="shared" si="44"/>
        <v>473700</v>
      </c>
      <c r="V405" s="989">
        <f t="shared" si="45"/>
        <v>100</v>
      </c>
      <c r="W405" s="989"/>
      <c r="X405" s="989">
        <f t="shared" si="41"/>
        <v>0</v>
      </c>
      <c r="Y405" s="1012"/>
    </row>
    <row r="406" spans="1:25" ht="63" customHeight="1">
      <c r="A406" s="1006">
        <v>288</v>
      </c>
      <c r="B406" s="1007" t="s">
        <v>1775</v>
      </c>
      <c r="C406" s="1008"/>
      <c r="D406" s="1008" t="s">
        <v>3715</v>
      </c>
      <c r="E406" s="1007" t="s">
        <v>1776</v>
      </c>
      <c r="F406" s="1010" t="s">
        <v>557</v>
      </c>
      <c r="G406" s="989">
        <v>135600</v>
      </c>
      <c r="H406" s="937"/>
      <c r="I406" s="1046"/>
      <c r="J406" s="1046"/>
      <c r="K406" s="1047">
        <v>-60278.67</v>
      </c>
      <c r="L406" s="1046"/>
      <c r="M406" s="1094"/>
      <c r="N406" s="989">
        <f>135600+M406+K406</f>
        <v>75321.33</v>
      </c>
      <c r="O406" s="989">
        <v>75321.33</v>
      </c>
      <c r="P406" s="989">
        <v>0</v>
      </c>
      <c r="Q406" s="989">
        <f t="shared" si="42"/>
        <v>75321.33</v>
      </c>
      <c r="R406" s="989">
        <f t="shared" si="46"/>
        <v>100</v>
      </c>
      <c r="S406" s="1011">
        <v>0</v>
      </c>
      <c r="T406" s="989">
        <f t="shared" si="43"/>
        <v>0</v>
      </c>
      <c r="U406" s="989">
        <f t="shared" si="44"/>
        <v>75321.33</v>
      </c>
      <c r="V406" s="989">
        <f t="shared" si="45"/>
        <v>100</v>
      </c>
      <c r="W406" s="989"/>
      <c r="X406" s="989">
        <f t="shared" si="41"/>
        <v>0</v>
      </c>
      <c r="Y406" s="1012"/>
    </row>
    <row r="407" spans="1:25" ht="63" customHeight="1">
      <c r="A407" s="1006">
        <v>289</v>
      </c>
      <c r="B407" s="1007" t="s">
        <v>1777</v>
      </c>
      <c r="C407" s="1008"/>
      <c r="D407" s="1008" t="s">
        <v>3716</v>
      </c>
      <c r="E407" s="1007" t="s">
        <v>1778</v>
      </c>
      <c r="F407" s="1010" t="s">
        <v>557</v>
      </c>
      <c r="G407" s="989">
        <v>90400</v>
      </c>
      <c r="H407" s="937"/>
      <c r="I407" s="1046"/>
      <c r="J407" s="1046"/>
      <c r="K407" s="1047">
        <v>-2836.18</v>
      </c>
      <c r="L407" s="1046"/>
      <c r="M407" s="1094"/>
      <c r="N407" s="989">
        <f>90400+M407+K407</f>
        <v>87563.82</v>
      </c>
      <c r="O407" s="989">
        <v>0</v>
      </c>
      <c r="P407" s="989">
        <v>87563.82</v>
      </c>
      <c r="Q407" s="989">
        <f t="shared" si="42"/>
        <v>87563.82</v>
      </c>
      <c r="R407" s="989">
        <f t="shared" si="46"/>
        <v>100</v>
      </c>
      <c r="S407" s="1011">
        <v>0</v>
      </c>
      <c r="T407" s="989">
        <f t="shared" si="43"/>
        <v>0</v>
      </c>
      <c r="U407" s="989">
        <f t="shared" si="44"/>
        <v>87563.82</v>
      </c>
      <c r="V407" s="989">
        <f t="shared" si="45"/>
        <v>100</v>
      </c>
      <c r="W407" s="989"/>
      <c r="X407" s="989">
        <f t="shared" si="41"/>
        <v>0</v>
      </c>
      <c r="Y407" s="1012"/>
    </row>
    <row r="408" spans="1:25" ht="63" customHeight="1">
      <c r="A408" s="1006">
        <v>290</v>
      </c>
      <c r="B408" s="1007" t="s">
        <v>2916</v>
      </c>
      <c r="C408" s="1008"/>
      <c r="D408" s="1008" t="s">
        <v>3717</v>
      </c>
      <c r="E408" s="1007" t="s">
        <v>3163</v>
      </c>
      <c r="F408" s="1010" t="s">
        <v>1180</v>
      </c>
      <c r="G408" s="989">
        <v>1352000</v>
      </c>
      <c r="H408" s="937"/>
      <c r="I408" s="1046"/>
      <c r="J408" s="1046"/>
      <c r="K408" s="1047">
        <v>-226243</v>
      </c>
      <c r="L408" s="1046"/>
      <c r="M408" s="1094">
        <v>-323397</v>
      </c>
      <c r="N408" s="989">
        <f>1352000+M408+K408</f>
        <v>802360</v>
      </c>
      <c r="O408" s="989">
        <v>0</v>
      </c>
      <c r="P408" s="989">
        <v>802360</v>
      </c>
      <c r="Q408" s="989">
        <f t="shared" si="42"/>
        <v>802360</v>
      </c>
      <c r="R408" s="989">
        <f t="shared" si="46"/>
        <v>100</v>
      </c>
      <c r="S408" s="1011">
        <v>0</v>
      </c>
      <c r="T408" s="989">
        <f t="shared" si="43"/>
        <v>0</v>
      </c>
      <c r="U408" s="989">
        <f t="shared" si="44"/>
        <v>802360</v>
      </c>
      <c r="V408" s="989">
        <f t="shared" si="45"/>
        <v>100</v>
      </c>
      <c r="W408" s="989"/>
      <c r="X408" s="989">
        <f t="shared" si="41"/>
        <v>0</v>
      </c>
      <c r="Y408" s="1012"/>
    </row>
    <row r="409" spans="1:25" ht="63" customHeight="1">
      <c r="A409" s="1006">
        <v>291</v>
      </c>
      <c r="B409" s="1007" t="s">
        <v>1779</v>
      </c>
      <c r="C409" s="1008"/>
      <c r="D409" s="1008" t="s">
        <v>3718</v>
      </c>
      <c r="E409" s="1007" t="s">
        <v>1780</v>
      </c>
      <c r="F409" s="1010" t="s">
        <v>557</v>
      </c>
      <c r="G409" s="989">
        <v>226000</v>
      </c>
      <c r="H409" s="937"/>
      <c r="I409" s="1046"/>
      <c r="J409" s="1046"/>
      <c r="K409" s="1047">
        <v>-76375.509999999995</v>
      </c>
      <c r="L409" s="1046"/>
      <c r="M409" s="1094"/>
      <c r="N409" s="989">
        <f>226000+M409+K409</f>
        <v>149624.49</v>
      </c>
      <c r="O409" s="989">
        <v>59353.1</v>
      </c>
      <c r="P409" s="989">
        <v>90271.39</v>
      </c>
      <c r="Q409" s="989">
        <f t="shared" si="42"/>
        <v>149624.49</v>
      </c>
      <c r="R409" s="989">
        <f t="shared" si="46"/>
        <v>100</v>
      </c>
      <c r="S409" s="1011">
        <v>0</v>
      </c>
      <c r="T409" s="989">
        <f t="shared" si="43"/>
        <v>0</v>
      </c>
      <c r="U409" s="989">
        <f t="shared" si="44"/>
        <v>149624.49</v>
      </c>
      <c r="V409" s="989">
        <f t="shared" si="45"/>
        <v>100</v>
      </c>
      <c r="W409" s="989"/>
      <c r="X409" s="989">
        <f t="shared" si="41"/>
        <v>0</v>
      </c>
      <c r="Y409" s="1012"/>
    </row>
    <row r="410" spans="1:25" ht="63" customHeight="1">
      <c r="A410" s="1006">
        <v>292</v>
      </c>
      <c r="B410" s="1007" t="s">
        <v>2917</v>
      </c>
      <c r="C410" s="1008"/>
      <c r="D410" s="1008" t="s">
        <v>3719</v>
      </c>
      <c r="E410" s="1007" t="s">
        <v>3164</v>
      </c>
      <c r="F410" s="1010" t="s">
        <v>1180</v>
      </c>
      <c r="G410" s="989">
        <v>728000</v>
      </c>
      <c r="H410" s="937"/>
      <c r="I410" s="1046"/>
      <c r="J410" s="1046"/>
      <c r="K410" s="1047"/>
      <c r="L410" s="1046"/>
      <c r="M410" s="1094"/>
      <c r="N410" s="989">
        <v>728000</v>
      </c>
      <c r="O410" s="989">
        <v>0</v>
      </c>
      <c r="P410" s="989">
        <v>728000</v>
      </c>
      <c r="Q410" s="989">
        <f t="shared" si="42"/>
        <v>728000</v>
      </c>
      <c r="R410" s="989">
        <f t="shared" si="46"/>
        <v>100</v>
      </c>
      <c r="S410" s="1011">
        <v>0</v>
      </c>
      <c r="T410" s="989">
        <f t="shared" si="43"/>
        <v>0</v>
      </c>
      <c r="U410" s="989">
        <f t="shared" si="44"/>
        <v>728000</v>
      </c>
      <c r="V410" s="989">
        <f t="shared" si="45"/>
        <v>100</v>
      </c>
      <c r="W410" s="989"/>
      <c r="X410" s="989">
        <f t="shared" si="41"/>
        <v>0</v>
      </c>
      <c r="Y410" s="1012"/>
    </row>
    <row r="411" spans="1:25" ht="63" customHeight="1">
      <c r="A411" s="1006">
        <v>293</v>
      </c>
      <c r="B411" s="1007" t="s">
        <v>1781</v>
      </c>
      <c r="C411" s="1008"/>
      <c r="D411" s="1008" t="s">
        <v>3720</v>
      </c>
      <c r="E411" s="1007" t="s">
        <v>1782</v>
      </c>
      <c r="F411" s="1010" t="s">
        <v>557</v>
      </c>
      <c r="G411" s="989">
        <v>90400</v>
      </c>
      <c r="H411" s="937"/>
      <c r="I411" s="1046"/>
      <c r="J411" s="1046"/>
      <c r="K411" s="1047">
        <v>-39466</v>
      </c>
      <c r="L411" s="1046"/>
      <c r="M411" s="1094"/>
      <c r="N411" s="989">
        <f>90400+M411+K411</f>
        <v>50934</v>
      </c>
      <c r="O411" s="989">
        <v>50934</v>
      </c>
      <c r="P411" s="989">
        <v>0</v>
      </c>
      <c r="Q411" s="989">
        <f t="shared" si="42"/>
        <v>50934</v>
      </c>
      <c r="R411" s="989">
        <f t="shared" si="46"/>
        <v>100</v>
      </c>
      <c r="S411" s="1011">
        <v>0</v>
      </c>
      <c r="T411" s="989">
        <f t="shared" si="43"/>
        <v>0</v>
      </c>
      <c r="U411" s="989">
        <f t="shared" si="44"/>
        <v>50934</v>
      </c>
      <c r="V411" s="989">
        <f t="shared" si="45"/>
        <v>100</v>
      </c>
      <c r="W411" s="989"/>
      <c r="X411" s="989">
        <f t="shared" si="41"/>
        <v>0</v>
      </c>
      <c r="Y411" s="1012"/>
    </row>
    <row r="412" spans="1:25" ht="63" customHeight="1">
      <c r="A412" s="1006">
        <v>294</v>
      </c>
      <c r="B412" s="1007" t="s">
        <v>1783</v>
      </c>
      <c r="C412" s="1008"/>
      <c r="D412" s="1008" t="s">
        <v>3721</v>
      </c>
      <c r="E412" s="1007" t="s">
        <v>1784</v>
      </c>
      <c r="F412" s="1010" t="s">
        <v>557</v>
      </c>
      <c r="G412" s="989">
        <v>45200</v>
      </c>
      <c r="H412" s="937"/>
      <c r="I412" s="1046"/>
      <c r="J412" s="1046"/>
      <c r="K412" s="1047">
        <v>-4463.57</v>
      </c>
      <c r="L412" s="1046"/>
      <c r="M412" s="1094"/>
      <c r="N412" s="989">
        <f>+K412+45200+M412</f>
        <v>40736.43</v>
      </c>
      <c r="O412" s="989">
        <v>40736.43</v>
      </c>
      <c r="P412" s="989">
        <v>0</v>
      </c>
      <c r="Q412" s="989">
        <f t="shared" si="42"/>
        <v>40736.43</v>
      </c>
      <c r="R412" s="989">
        <f t="shared" si="46"/>
        <v>100</v>
      </c>
      <c r="S412" s="1011">
        <v>0</v>
      </c>
      <c r="T412" s="989">
        <f t="shared" si="43"/>
        <v>0</v>
      </c>
      <c r="U412" s="989">
        <f t="shared" si="44"/>
        <v>40736.43</v>
      </c>
      <c r="V412" s="989">
        <f t="shared" si="45"/>
        <v>100</v>
      </c>
      <c r="W412" s="989"/>
      <c r="X412" s="989">
        <f t="shared" si="41"/>
        <v>0</v>
      </c>
      <c r="Y412" s="1012"/>
    </row>
    <row r="413" spans="1:25" ht="63" customHeight="1">
      <c r="A413" s="1006">
        <v>295</v>
      </c>
      <c r="B413" s="1007" t="s">
        <v>2918</v>
      </c>
      <c r="C413" s="1008"/>
      <c r="D413" s="1008" t="s">
        <v>3722</v>
      </c>
      <c r="E413" s="1007" t="s">
        <v>3165</v>
      </c>
      <c r="F413" s="1010" t="s">
        <v>1180</v>
      </c>
      <c r="G413" s="989">
        <v>520000</v>
      </c>
      <c r="H413" s="937"/>
      <c r="I413" s="1046"/>
      <c r="J413" s="1046"/>
      <c r="K413" s="1047"/>
      <c r="L413" s="1046"/>
      <c r="M413" s="1094"/>
      <c r="N413" s="989">
        <v>520000</v>
      </c>
      <c r="O413" s="989">
        <v>0</v>
      </c>
      <c r="P413" s="989">
        <v>520000</v>
      </c>
      <c r="Q413" s="989">
        <f t="shared" si="42"/>
        <v>520000</v>
      </c>
      <c r="R413" s="989">
        <f t="shared" si="46"/>
        <v>100</v>
      </c>
      <c r="S413" s="1011">
        <v>0</v>
      </c>
      <c r="T413" s="989">
        <f t="shared" si="43"/>
        <v>0</v>
      </c>
      <c r="U413" s="989">
        <f t="shared" si="44"/>
        <v>520000</v>
      </c>
      <c r="V413" s="989">
        <f t="shared" si="45"/>
        <v>100</v>
      </c>
      <c r="W413" s="989"/>
      <c r="X413" s="989">
        <f t="shared" si="41"/>
        <v>0</v>
      </c>
      <c r="Y413" s="1012"/>
    </row>
    <row r="414" spans="1:25" ht="63" customHeight="1">
      <c r="A414" s="1006">
        <v>296</v>
      </c>
      <c r="B414" s="1007" t="s">
        <v>2919</v>
      </c>
      <c r="C414" s="1008"/>
      <c r="D414" s="1008" t="s">
        <v>3723</v>
      </c>
      <c r="E414" s="1007" t="s">
        <v>1785</v>
      </c>
      <c r="F414" s="1010" t="s">
        <v>557</v>
      </c>
      <c r="G414" s="989">
        <v>271200</v>
      </c>
      <c r="H414" s="937"/>
      <c r="I414" s="1046"/>
      <c r="J414" s="1046"/>
      <c r="K414" s="1047">
        <v>-53653.61</v>
      </c>
      <c r="L414" s="1046"/>
      <c r="M414" s="1094"/>
      <c r="N414" s="989">
        <f>271200+M414+K414</f>
        <v>217546.39</v>
      </c>
      <c r="O414" s="989">
        <v>217546.39</v>
      </c>
      <c r="P414" s="989">
        <v>0</v>
      </c>
      <c r="Q414" s="989">
        <f t="shared" si="42"/>
        <v>217546.39</v>
      </c>
      <c r="R414" s="989">
        <f t="shared" si="46"/>
        <v>100</v>
      </c>
      <c r="S414" s="1011">
        <v>0</v>
      </c>
      <c r="T414" s="989">
        <f t="shared" si="43"/>
        <v>0</v>
      </c>
      <c r="U414" s="989">
        <f t="shared" si="44"/>
        <v>217546.39</v>
      </c>
      <c r="V414" s="989">
        <f t="shared" si="45"/>
        <v>100</v>
      </c>
      <c r="W414" s="989"/>
      <c r="X414" s="989">
        <f t="shared" si="41"/>
        <v>0</v>
      </c>
      <c r="Y414" s="1012"/>
    </row>
    <row r="415" spans="1:25" ht="63" customHeight="1">
      <c r="A415" s="1006">
        <v>297</v>
      </c>
      <c r="B415" s="1007" t="s">
        <v>2920</v>
      </c>
      <c r="C415" s="1008"/>
      <c r="D415" s="1008" t="s">
        <v>3724</v>
      </c>
      <c r="E415" s="1007" t="s">
        <v>1786</v>
      </c>
      <c r="F415" s="1010" t="s">
        <v>557</v>
      </c>
      <c r="G415" s="989">
        <v>45200</v>
      </c>
      <c r="H415" s="937"/>
      <c r="I415" s="1046"/>
      <c r="J415" s="1046"/>
      <c r="K415" s="1047">
        <v>-12235.99</v>
      </c>
      <c r="L415" s="1046"/>
      <c r="M415" s="1094"/>
      <c r="N415" s="989">
        <f>45200+M415+K415</f>
        <v>32964.01</v>
      </c>
      <c r="O415" s="989">
        <v>32964.01</v>
      </c>
      <c r="P415" s="989">
        <v>0</v>
      </c>
      <c r="Q415" s="989">
        <f t="shared" si="42"/>
        <v>32964.01</v>
      </c>
      <c r="R415" s="989">
        <f t="shared" si="46"/>
        <v>100</v>
      </c>
      <c r="S415" s="1011">
        <v>0</v>
      </c>
      <c r="T415" s="989">
        <f t="shared" si="43"/>
        <v>0</v>
      </c>
      <c r="U415" s="989">
        <f t="shared" si="44"/>
        <v>32964.01</v>
      </c>
      <c r="V415" s="989">
        <f t="shared" si="45"/>
        <v>100</v>
      </c>
      <c r="W415" s="989"/>
      <c r="X415" s="989">
        <f t="shared" si="41"/>
        <v>0</v>
      </c>
      <c r="Y415" s="1012"/>
    </row>
    <row r="416" spans="1:25" ht="63" customHeight="1">
      <c r="A416" s="1006">
        <v>298</v>
      </c>
      <c r="B416" s="1007" t="s">
        <v>2921</v>
      </c>
      <c r="C416" s="1008"/>
      <c r="D416" s="1008" t="s">
        <v>3725</v>
      </c>
      <c r="E416" s="1007" t="s">
        <v>1787</v>
      </c>
      <c r="F416" s="1010" t="s">
        <v>557</v>
      </c>
      <c r="G416" s="989">
        <v>180800</v>
      </c>
      <c r="H416" s="937"/>
      <c r="I416" s="1046"/>
      <c r="J416" s="1046"/>
      <c r="K416" s="1047">
        <v>-16620.810000000001</v>
      </c>
      <c r="L416" s="1046"/>
      <c r="M416" s="1094"/>
      <c r="N416" s="989">
        <f>180800+M416+K416</f>
        <v>164179.19</v>
      </c>
      <c r="O416" s="989">
        <v>164179.19</v>
      </c>
      <c r="P416" s="989">
        <v>0</v>
      </c>
      <c r="Q416" s="989">
        <f t="shared" si="42"/>
        <v>164179.19</v>
      </c>
      <c r="R416" s="989">
        <f t="shared" si="46"/>
        <v>100</v>
      </c>
      <c r="S416" s="1011">
        <v>0</v>
      </c>
      <c r="T416" s="989">
        <f t="shared" si="43"/>
        <v>0</v>
      </c>
      <c r="U416" s="989">
        <f t="shared" si="44"/>
        <v>164179.19</v>
      </c>
      <c r="V416" s="989">
        <f t="shared" si="45"/>
        <v>100</v>
      </c>
      <c r="W416" s="989"/>
      <c r="X416" s="989">
        <f t="shared" si="41"/>
        <v>0</v>
      </c>
      <c r="Y416" s="1012"/>
    </row>
    <row r="417" spans="1:25" ht="63" customHeight="1">
      <c r="A417" s="1006">
        <v>299</v>
      </c>
      <c r="B417" s="1007" t="s">
        <v>1788</v>
      </c>
      <c r="C417" s="1008"/>
      <c r="D417" s="1008" t="s">
        <v>3726</v>
      </c>
      <c r="E417" s="1007" t="s">
        <v>1789</v>
      </c>
      <c r="F417" s="1010" t="s">
        <v>557</v>
      </c>
      <c r="G417" s="989">
        <v>271200</v>
      </c>
      <c r="H417" s="937"/>
      <c r="I417" s="1046"/>
      <c r="J417" s="1046"/>
      <c r="K417" s="1047">
        <v>-94378.12</v>
      </c>
      <c r="L417" s="1046"/>
      <c r="M417" s="1094"/>
      <c r="N417" s="989">
        <f>271200+M417+K417</f>
        <v>176821.88</v>
      </c>
      <c r="O417" s="989">
        <v>176821.88</v>
      </c>
      <c r="P417" s="989">
        <v>0</v>
      </c>
      <c r="Q417" s="989">
        <f t="shared" si="42"/>
        <v>176821.88</v>
      </c>
      <c r="R417" s="989">
        <f t="shared" si="46"/>
        <v>100</v>
      </c>
      <c r="S417" s="1011">
        <v>0</v>
      </c>
      <c r="T417" s="989">
        <f t="shared" si="43"/>
        <v>0</v>
      </c>
      <c r="U417" s="989">
        <f t="shared" si="44"/>
        <v>176821.88</v>
      </c>
      <c r="V417" s="989">
        <f t="shared" si="45"/>
        <v>100</v>
      </c>
      <c r="W417" s="989"/>
      <c r="X417" s="989">
        <f t="shared" si="41"/>
        <v>0</v>
      </c>
      <c r="Y417" s="1012"/>
    </row>
    <row r="418" spans="1:25" ht="63" customHeight="1">
      <c r="A418" s="1006">
        <v>300</v>
      </c>
      <c r="B418" s="1007" t="s">
        <v>1790</v>
      </c>
      <c r="C418" s="1008"/>
      <c r="D418" s="1008" t="s">
        <v>3727</v>
      </c>
      <c r="E418" s="1007" t="s">
        <v>3166</v>
      </c>
      <c r="F418" s="1010" t="s">
        <v>1180</v>
      </c>
      <c r="G418" s="989">
        <v>208000</v>
      </c>
      <c r="H418" s="937"/>
      <c r="I418" s="1046"/>
      <c r="J418" s="1046"/>
      <c r="K418" s="1047">
        <v>-75800</v>
      </c>
      <c r="L418" s="1046"/>
      <c r="M418" s="1094"/>
      <c r="N418" s="989">
        <f>208000+M418+K418</f>
        <v>132200</v>
      </c>
      <c r="O418" s="989">
        <v>0</v>
      </c>
      <c r="P418" s="989">
        <v>132200</v>
      </c>
      <c r="Q418" s="989">
        <f t="shared" si="42"/>
        <v>132200</v>
      </c>
      <c r="R418" s="989">
        <f t="shared" si="46"/>
        <v>100</v>
      </c>
      <c r="S418" s="1011">
        <v>0</v>
      </c>
      <c r="T418" s="989">
        <f t="shared" si="43"/>
        <v>0</v>
      </c>
      <c r="U418" s="989">
        <f t="shared" si="44"/>
        <v>132200</v>
      </c>
      <c r="V418" s="989">
        <f t="shared" si="45"/>
        <v>100</v>
      </c>
      <c r="W418" s="989"/>
      <c r="X418" s="989">
        <f t="shared" si="41"/>
        <v>0</v>
      </c>
      <c r="Y418" s="1012"/>
    </row>
    <row r="419" spans="1:25" ht="63" customHeight="1">
      <c r="A419" s="1006">
        <v>301</v>
      </c>
      <c r="B419" s="1007" t="s">
        <v>2922</v>
      </c>
      <c r="C419" s="1008"/>
      <c r="D419" s="1008" t="s">
        <v>3728</v>
      </c>
      <c r="E419" s="1007" t="s">
        <v>1791</v>
      </c>
      <c r="F419" s="1010" t="s">
        <v>557</v>
      </c>
      <c r="G419" s="989">
        <v>271200</v>
      </c>
      <c r="H419" s="937"/>
      <c r="I419" s="1046"/>
      <c r="J419" s="1046"/>
      <c r="K419" s="1047">
        <v>-52880</v>
      </c>
      <c r="L419" s="1046"/>
      <c r="M419" s="1094"/>
      <c r="N419" s="989">
        <f>271200+M419+K419</f>
        <v>218320</v>
      </c>
      <c r="O419" s="989">
        <v>218320</v>
      </c>
      <c r="P419" s="989">
        <v>0</v>
      </c>
      <c r="Q419" s="989">
        <f t="shared" si="42"/>
        <v>218320</v>
      </c>
      <c r="R419" s="989">
        <f t="shared" si="46"/>
        <v>100</v>
      </c>
      <c r="S419" s="1011">
        <v>0</v>
      </c>
      <c r="T419" s="989">
        <f t="shared" si="43"/>
        <v>0</v>
      </c>
      <c r="U419" s="989">
        <f t="shared" si="44"/>
        <v>218320</v>
      </c>
      <c r="V419" s="989">
        <f t="shared" si="45"/>
        <v>100</v>
      </c>
      <c r="W419" s="989"/>
      <c r="X419" s="989">
        <f t="shared" si="41"/>
        <v>0</v>
      </c>
      <c r="Y419" s="1012"/>
    </row>
    <row r="420" spans="1:25" ht="63" customHeight="1">
      <c r="A420" s="1006">
        <v>302</v>
      </c>
      <c r="B420" s="1007" t="s">
        <v>1792</v>
      </c>
      <c r="C420" s="1008"/>
      <c r="D420" s="1008" t="s">
        <v>3729</v>
      </c>
      <c r="E420" s="1007" t="s">
        <v>1793</v>
      </c>
      <c r="F420" s="1010" t="s">
        <v>557</v>
      </c>
      <c r="G420" s="989">
        <v>271200</v>
      </c>
      <c r="H420" s="937"/>
      <c r="I420" s="1046"/>
      <c r="J420" s="1046"/>
      <c r="K420" s="1047">
        <v>-88464</v>
      </c>
      <c r="L420" s="1046"/>
      <c r="M420" s="1094"/>
      <c r="N420" s="989">
        <f>271200+M420+K420</f>
        <v>182736</v>
      </c>
      <c r="O420" s="989">
        <v>182736</v>
      </c>
      <c r="P420" s="989">
        <v>0</v>
      </c>
      <c r="Q420" s="989">
        <f t="shared" si="42"/>
        <v>182736</v>
      </c>
      <c r="R420" s="989">
        <f t="shared" si="46"/>
        <v>100</v>
      </c>
      <c r="S420" s="1011">
        <v>0</v>
      </c>
      <c r="T420" s="989">
        <f t="shared" si="43"/>
        <v>0</v>
      </c>
      <c r="U420" s="989">
        <f t="shared" si="44"/>
        <v>182736</v>
      </c>
      <c r="V420" s="989">
        <f t="shared" si="45"/>
        <v>100</v>
      </c>
      <c r="W420" s="989"/>
      <c r="X420" s="989">
        <f t="shared" si="41"/>
        <v>0</v>
      </c>
      <c r="Y420" s="1012"/>
    </row>
    <row r="421" spans="1:25" ht="63" customHeight="1">
      <c r="A421" s="1006">
        <v>303</v>
      </c>
      <c r="B421" s="1007" t="s">
        <v>2923</v>
      </c>
      <c r="C421" s="1008"/>
      <c r="D421" s="1008" t="s">
        <v>3730</v>
      </c>
      <c r="E421" s="1007" t="s">
        <v>1794</v>
      </c>
      <c r="F421" s="1010" t="s">
        <v>542</v>
      </c>
      <c r="G421" s="989">
        <v>208000</v>
      </c>
      <c r="H421" s="937"/>
      <c r="I421" s="1046"/>
      <c r="J421" s="1046"/>
      <c r="K421" s="1047">
        <v>-37853.9</v>
      </c>
      <c r="L421" s="1046"/>
      <c r="M421" s="1094"/>
      <c r="N421" s="989">
        <f>208000+M421+K421</f>
        <v>170146.1</v>
      </c>
      <c r="O421" s="989">
        <v>170146.1</v>
      </c>
      <c r="P421" s="989">
        <v>0</v>
      </c>
      <c r="Q421" s="989">
        <f t="shared" si="42"/>
        <v>170146.1</v>
      </c>
      <c r="R421" s="989">
        <f t="shared" si="46"/>
        <v>100</v>
      </c>
      <c r="S421" s="1011">
        <v>0</v>
      </c>
      <c r="T421" s="989">
        <f t="shared" si="43"/>
        <v>0</v>
      </c>
      <c r="U421" s="989">
        <f t="shared" si="44"/>
        <v>170146.1</v>
      </c>
      <c r="V421" s="989">
        <f t="shared" si="45"/>
        <v>100</v>
      </c>
      <c r="W421" s="989"/>
      <c r="X421" s="989">
        <f t="shared" si="41"/>
        <v>0</v>
      </c>
      <c r="Y421" s="1012"/>
    </row>
    <row r="422" spans="1:25" ht="63" customHeight="1">
      <c r="A422" s="1006">
        <v>304</v>
      </c>
      <c r="B422" s="1007" t="s">
        <v>2924</v>
      </c>
      <c r="C422" s="1008"/>
      <c r="D422" s="1008" t="s">
        <v>3731</v>
      </c>
      <c r="E422" s="1007" t="s">
        <v>1795</v>
      </c>
      <c r="F422" s="1010" t="s">
        <v>542</v>
      </c>
      <c r="G422" s="989">
        <v>104000</v>
      </c>
      <c r="H422" s="937"/>
      <c r="I422" s="1046"/>
      <c r="J422" s="1046"/>
      <c r="K422" s="1047"/>
      <c r="L422" s="1046"/>
      <c r="M422" s="1094"/>
      <c r="N422" s="989">
        <v>104000</v>
      </c>
      <c r="O422" s="989">
        <v>104000</v>
      </c>
      <c r="P422" s="989"/>
      <c r="Q422" s="989">
        <f t="shared" si="42"/>
        <v>104000</v>
      </c>
      <c r="R422" s="989">
        <f t="shared" si="46"/>
        <v>100</v>
      </c>
      <c r="S422" s="1011"/>
      <c r="T422" s="989">
        <f t="shared" si="43"/>
        <v>0</v>
      </c>
      <c r="U422" s="989">
        <f t="shared" si="44"/>
        <v>104000</v>
      </c>
      <c r="V422" s="989">
        <f t="shared" si="45"/>
        <v>100</v>
      </c>
      <c r="W422" s="989"/>
      <c r="X422" s="989">
        <f t="shared" si="41"/>
        <v>0</v>
      </c>
      <c r="Y422" s="1012"/>
    </row>
    <row r="423" spans="1:25" ht="63" customHeight="1">
      <c r="A423" s="1006">
        <v>305</v>
      </c>
      <c r="B423" s="1007" t="s">
        <v>1796</v>
      </c>
      <c r="C423" s="1008"/>
      <c r="D423" s="1008" t="s">
        <v>3732</v>
      </c>
      <c r="E423" s="1007" t="s">
        <v>1797</v>
      </c>
      <c r="F423" s="1010" t="s">
        <v>542</v>
      </c>
      <c r="G423" s="989">
        <v>208000</v>
      </c>
      <c r="H423" s="937"/>
      <c r="I423" s="1046"/>
      <c r="J423" s="1046"/>
      <c r="K423" s="1047">
        <v>-19368.62</v>
      </c>
      <c r="L423" s="1046"/>
      <c r="M423" s="1094"/>
      <c r="N423" s="989">
        <f>208000+M423+K423</f>
        <v>188631.38</v>
      </c>
      <c r="O423" s="989">
        <v>188631.38</v>
      </c>
      <c r="P423" s="989">
        <v>0</v>
      </c>
      <c r="Q423" s="989">
        <f t="shared" si="42"/>
        <v>188631.38</v>
      </c>
      <c r="R423" s="989">
        <f t="shared" si="46"/>
        <v>100</v>
      </c>
      <c r="S423" s="1011">
        <v>0</v>
      </c>
      <c r="T423" s="989">
        <f t="shared" si="43"/>
        <v>0</v>
      </c>
      <c r="U423" s="989">
        <f t="shared" si="44"/>
        <v>188631.38</v>
      </c>
      <c r="V423" s="989">
        <f t="shared" si="45"/>
        <v>100</v>
      </c>
      <c r="W423" s="989"/>
      <c r="X423" s="989">
        <f t="shared" si="41"/>
        <v>0</v>
      </c>
      <c r="Y423" s="1012"/>
    </row>
    <row r="424" spans="1:25" ht="63" customHeight="1">
      <c r="A424" s="1006">
        <v>306</v>
      </c>
      <c r="B424" s="1007" t="s">
        <v>2925</v>
      </c>
      <c r="C424" s="1008"/>
      <c r="D424" s="1008" t="s">
        <v>3733</v>
      </c>
      <c r="E424" s="1007" t="s">
        <v>1798</v>
      </c>
      <c r="F424" s="1010" t="s">
        <v>557</v>
      </c>
      <c r="G424" s="989">
        <v>90400</v>
      </c>
      <c r="H424" s="937"/>
      <c r="I424" s="1046"/>
      <c r="J424" s="1046"/>
      <c r="K424" s="1047">
        <v>-28409.200000000001</v>
      </c>
      <c r="L424" s="1046"/>
      <c r="M424" s="1094"/>
      <c r="N424" s="989">
        <f>90400+M424+K424</f>
        <v>61990.8</v>
      </c>
      <c r="O424" s="989">
        <v>61990.8</v>
      </c>
      <c r="P424" s="989">
        <v>0</v>
      </c>
      <c r="Q424" s="989">
        <f t="shared" si="42"/>
        <v>61990.8</v>
      </c>
      <c r="R424" s="989">
        <f t="shared" si="46"/>
        <v>100</v>
      </c>
      <c r="S424" s="1011">
        <v>0</v>
      </c>
      <c r="T424" s="989">
        <f t="shared" si="43"/>
        <v>0</v>
      </c>
      <c r="U424" s="989">
        <f t="shared" si="44"/>
        <v>61990.8</v>
      </c>
      <c r="V424" s="989">
        <f t="shared" si="45"/>
        <v>100</v>
      </c>
      <c r="W424" s="989"/>
      <c r="X424" s="989">
        <f t="shared" si="41"/>
        <v>0</v>
      </c>
      <c r="Y424" s="1012"/>
    </row>
    <row r="425" spans="1:25" ht="63" customHeight="1">
      <c r="A425" s="1006">
        <v>307</v>
      </c>
      <c r="B425" s="1007" t="s">
        <v>1799</v>
      </c>
      <c r="C425" s="1008"/>
      <c r="D425" s="1008" t="s">
        <v>3734</v>
      </c>
      <c r="E425" s="1007" t="s">
        <v>1800</v>
      </c>
      <c r="F425" s="1010" t="s">
        <v>1182</v>
      </c>
      <c r="G425" s="989">
        <v>416000</v>
      </c>
      <c r="H425" s="937"/>
      <c r="I425" s="1046"/>
      <c r="J425" s="1046"/>
      <c r="K425" s="1047"/>
      <c r="L425" s="1046"/>
      <c r="M425" s="1094"/>
      <c r="N425" s="989">
        <v>416000</v>
      </c>
      <c r="O425" s="989">
        <v>0</v>
      </c>
      <c r="P425" s="989">
        <v>416000</v>
      </c>
      <c r="Q425" s="989">
        <f t="shared" si="42"/>
        <v>416000</v>
      </c>
      <c r="R425" s="989">
        <f t="shared" si="46"/>
        <v>100</v>
      </c>
      <c r="S425" s="1011">
        <v>0</v>
      </c>
      <c r="T425" s="989">
        <f t="shared" si="43"/>
        <v>0</v>
      </c>
      <c r="U425" s="989">
        <f t="shared" si="44"/>
        <v>416000</v>
      </c>
      <c r="V425" s="989">
        <f t="shared" si="45"/>
        <v>100</v>
      </c>
      <c r="W425" s="989"/>
      <c r="X425" s="989">
        <f t="shared" si="41"/>
        <v>0</v>
      </c>
      <c r="Y425" s="1012"/>
    </row>
    <row r="426" spans="1:25" ht="63" customHeight="1">
      <c r="A426" s="1006">
        <v>308</v>
      </c>
      <c r="B426" s="1007" t="s">
        <v>2926</v>
      </c>
      <c r="C426" s="1008"/>
      <c r="D426" s="1008" t="s">
        <v>3735</v>
      </c>
      <c r="E426" s="1007" t="s">
        <v>1801</v>
      </c>
      <c r="F426" s="1010" t="s">
        <v>1182</v>
      </c>
      <c r="G426" s="989">
        <v>416000</v>
      </c>
      <c r="H426" s="937"/>
      <c r="I426" s="1046"/>
      <c r="J426" s="1046"/>
      <c r="K426" s="1047"/>
      <c r="L426" s="1046"/>
      <c r="M426" s="1094"/>
      <c r="N426" s="989">
        <v>416000</v>
      </c>
      <c r="O426" s="989">
        <v>0</v>
      </c>
      <c r="P426" s="989">
        <v>416000</v>
      </c>
      <c r="Q426" s="989">
        <f t="shared" si="42"/>
        <v>416000</v>
      </c>
      <c r="R426" s="989">
        <f t="shared" si="46"/>
        <v>100</v>
      </c>
      <c r="S426" s="1011">
        <v>0</v>
      </c>
      <c r="T426" s="989">
        <f t="shared" si="43"/>
        <v>0</v>
      </c>
      <c r="U426" s="989">
        <f t="shared" si="44"/>
        <v>416000</v>
      </c>
      <c r="V426" s="989">
        <f t="shared" si="45"/>
        <v>100</v>
      </c>
      <c r="W426" s="989"/>
      <c r="X426" s="989">
        <f t="shared" si="41"/>
        <v>0</v>
      </c>
      <c r="Y426" s="1012"/>
    </row>
    <row r="427" spans="1:25" ht="63" customHeight="1">
      <c r="A427" s="1006">
        <v>309</v>
      </c>
      <c r="B427" s="1007" t="s">
        <v>1802</v>
      </c>
      <c r="C427" s="1008"/>
      <c r="D427" s="1008" t="s">
        <v>3736</v>
      </c>
      <c r="E427" s="1007" t="s">
        <v>1803</v>
      </c>
      <c r="F427" s="1010" t="s">
        <v>561</v>
      </c>
      <c r="G427" s="989">
        <v>45200</v>
      </c>
      <c r="H427" s="937"/>
      <c r="I427" s="1046"/>
      <c r="J427" s="1046"/>
      <c r="K427" s="1047"/>
      <c r="L427" s="1046"/>
      <c r="M427" s="1094"/>
      <c r="N427" s="989">
        <v>45200</v>
      </c>
      <c r="O427" s="989">
        <v>45200</v>
      </c>
      <c r="P427" s="989"/>
      <c r="Q427" s="989">
        <f t="shared" si="42"/>
        <v>45200</v>
      </c>
      <c r="R427" s="989">
        <f t="shared" si="46"/>
        <v>100</v>
      </c>
      <c r="S427" s="1011"/>
      <c r="T427" s="989">
        <f t="shared" si="43"/>
        <v>0</v>
      </c>
      <c r="U427" s="989">
        <f t="shared" si="44"/>
        <v>45200</v>
      </c>
      <c r="V427" s="989">
        <f t="shared" si="45"/>
        <v>100</v>
      </c>
      <c r="W427" s="989"/>
      <c r="X427" s="989">
        <f t="shared" si="41"/>
        <v>0</v>
      </c>
      <c r="Y427" s="1012"/>
    </row>
    <row r="428" spans="1:25" ht="63" customHeight="1">
      <c r="A428" s="1006">
        <v>310</v>
      </c>
      <c r="B428" s="1007" t="s">
        <v>2927</v>
      </c>
      <c r="C428" s="1008"/>
      <c r="D428" s="1008" t="s">
        <v>3737</v>
      </c>
      <c r="E428" s="1007" t="s">
        <v>1804</v>
      </c>
      <c r="F428" s="1010" t="s">
        <v>561</v>
      </c>
      <c r="G428" s="989">
        <v>45200</v>
      </c>
      <c r="H428" s="937"/>
      <c r="I428" s="1046"/>
      <c r="J428" s="1046"/>
      <c r="K428" s="1047"/>
      <c r="L428" s="1046"/>
      <c r="M428" s="1094"/>
      <c r="N428" s="989">
        <v>45200</v>
      </c>
      <c r="O428" s="989">
        <v>45200</v>
      </c>
      <c r="P428" s="989"/>
      <c r="Q428" s="989">
        <f t="shared" si="42"/>
        <v>45200</v>
      </c>
      <c r="R428" s="989">
        <f t="shared" si="46"/>
        <v>100</v>
      </c>
      <c r="S428" s="1011"/>
      <c r="T428" s="989">
        <f t="shared" si="43"/>
        <v>0</v>
      </c>
      <c r="U428" s="989">
        <f t="shared" si="44"/>
        <v>45200</v>
      </c>
      <c r="V428" s="989">
        <f t="shared" si="45"/>
        <v>100</v>
      </c>
      <c r="W428" s="989"/>
      <c r="X428" s="989">
        <f t="shared" si="41"/>
        <v>0</v>
      </c>
      <c r="Y428" s="1012"/>
    </row>
    <row r="429" spans="1:25" ht="63" customHeight="1">
      <c r="A429" s="1006">
        <v>311</v>
      </c>
      <c r="B429" s="1007" t="s">
        <v>1805</v>
      </c>
      <c r="C429" s="1008"/>
      <c r="D429" s="1008" t="s">
        <v>3738</v>
      </c>
      <c r="E429" s="1007" t="s">
        <v>3258</v>
      </c>
      <c r="F429" s="1010" t="s">
        <v>1182</v>
      </c>
      <c r="G429" s="989">
        <v>1872000</v>
      </c>
      <c r="H429" s="937"/>
      <c r="I429" s="1046"/>
      <c r="J429" s="1046"/>
      <c r="K429" s="1047">
        <v>-319560</v>
      </c>
      <c r="L429" s="1046"/>
      <c r="M429" s="1094">
        <v>-640</v>
      </c>
      <c r="N429" s="989">
        <f>1872000+M429+K429</f>
        <v>1551800</v>
      </c>
      <c r="O429" s="989">
        <v>0</v>
      </c>
      <c r="P429" s="989">
        <v>1551800</v>
      </c>
      <c r="Q429" s="989">
        <f t="shared" si="42"/>
        <v>1551800</v>
      </c>
      <c r="R429" s="989">
        <f t="shared" si="46"/>
        <v>100</v>
      </c>
      <c r="S429" s="1011">
        <v>0</v>
      </c>
      <c r="T429" s="989">
        <f t="shared" si="43"/>
        <v>0</v>
      </c>
      <c r="U429" s="989">
        <f t="shared" si="44"/>
        <v>1551800</v>
      </c>
      <c r="V429" s="989">
        <f t="shared" si="45"/>
        <v>100</v>
      </c>
      <c r="W429" s="989"/>
      <c r="X429" s="989">
        <f t="shared" si="41"/>
        <v>0</v>
      </c>
      <c r="Y429" s="1012"/>
    </row>
    <row r="430" spans="1:25" ht="63" customHeight="1">
      <c r="A430" s="1006">
        <v>312</v>
      </c>
      <c r="B430" s="1007" t="s">
        <v>1806</v>
      </c>
      <c r="C430" s="1008"/>
      <c r="D430" s="1008" t="s">
        <v>3739</v>
      </c>
      <c r="E430" s="1007" t="s">
        <v>1807</v>
      </c>
      <c r="F430" s="1010" t="s">
        <v>561</v>
      </c>
      <c r="G430" s="989">
        <v>90400</v>
      </c>
      <c r="H430" s="937"/>
      <c r="I430" s="1046"/>
      <c r="J430" s="1046"/>
      <c r="K430" s="1047">
        <v>-10</v>
      </c>
      <c r="L430" s="1046"/>
      <c r="M430" s="1094"/>
      <c r="N430" s="989">
        <f>90400+M430+K430</f>
        <v>90390</v>
      </c>
      <c r="O430" s="989">
        <v>90390</v>
      </c>
      <c r="P430" s="989">
        <v>0</v>
      </c>
      <c r="Q430" s="989">
        <f t="shared" si="42"/>
        <v>90390</v>
      </c>
      <c r="R430" s="989">
        <f t="shared" si="46"/>
        <v>100</v>
      </c>
      <c r="S430" s="1011">
        <v>0</v>
      </c>
      <c r="T430" s="989">
        <f t="shared" si="43"/>
        <v>0</v>
      </c>
      <c r="U430" s="989">
        <f t="shared" si="44"/>
        <v>90390</v>
      </c>
      <c r="V430" s="989">
        <f t="shared" si="45"/>
        <v>100</v>
      </c>
      <c r="W430" s="989"/>
      <c r="X430" s="989">
        <f t="shared" si="41"/>
        <v>0</v>
      </c>
      <c r="Y430" s="1012"/>
    </row>
    <row r="431" spans="1:25" ht="63" customHeight="1">
      <c r="A431" s="1006">
        <v>313</v>
      </c>
      <c r="B431" s="1007" t="s">
        <v>1808</v>
      </c>
      <c r="C431" s="1008"/>
      <c r="D431" s="1008" t="s">
        <v>3740</v>
      </c>
      <c r="E431" s="1007" t="s">
        <v>1809</v>
      </c>
      <c r="F431" s="1010" t="s">
        <v>561</v>
      </c>
      <c r="G431" s="989">
        <v>45200</v>
      </c>
      <c r="H431" s="937"/>
      <c r="I431" s="1046"/>
      <c r="J431" s="1046"/>
      <c r="K431" s="1047"/>
      <c r="L431" s="1046"/>
      <c r="M431" s="1094"/>
      <c r="N431" s="989">
        <v>45200</v>
      </c>
      <c r="O431" s="989">
        <v>45200</v>
      </c>
      <c r="P431" s="989"/>
      <c r="Q431" s="989">
        <f t="shared" si="42"/>
        <v>45200</v>
      </c>
      <c r="R431" s="989">
        <f t="shared" si="46"/>
        <v>100</v>
      </c>
      <c r="S431" s="1011"/>
      <c r="T431" s="989">
        <f t="shared" si="43"/>
        <v>0</v>
      </c>
      <c r="U431" s="989">
        <f t="shared" si="44"/>
        <v>45200</v>
      </c>
      <c r="V431" s="989">
        <f t="shared" si="45"/>
        <v>100</v>
      </c>
      <c r="W431" s="989"/>
      <c r="X431" s="989">
        <f t="shared" si="41"/>
        <v>0</v>
      </c>
      <c r="Y431" s="1012"/>
    </row>
    <row r="432" spans="1:25" ht="63" customHeight="1">
      <c r="A432" s="1006">
        <v>314</v>
      </c>
      <c r="B432" s="1007" t="s">
        <v>2928</v>
      </c>
      <c r="C432" s="1008"/>
      <c r="D432" s="1008" t="s">
        <v>3741</v>
      </c>
      <c r="E432" s="1007" t="s">
        <v>3259</v>
      </c>
      <c r="F432" s="1010" t="s">
        <v>1182</v>
      </c>
      <c r="G432" s="989">
        <v>312000</v>
      </c>
      <c r="H432" s="937"/>
      <c r="I432" s="1046"/>
      <c r="J432" s="1046"/>
      <c r="K432" s="1047">
        <v>-59247.43</v>
      </c>
      <c r="L432" s="1046"/>
      <c r="M432" s="1094"/>
      <c r="N432" s="989">
        <f>312000+M432+K432</f>
        <v>252752.57</v>
      </c>
      <c r="O432" s="989">
        <v>0</v>
      </c>
      <c r="P432" s="989">
        <v>252752.57</v>
      </c>
      <c r="Q432" s="989">
        <f t="shared" si="42"/>
        <v>252752.57</v>
      </c>
      <c r="R432" s="989">
        <f t="shared" si="46"/>
        <v>100</v>
      </c>
      <c r="S432" s="1011">
        <v>0</v>
      </c>
      <c r="T432" s="989">
        <f t="shared" si="43"/>
        <v>0</v>
      </c>
      <c r="U432" s="989">
        <f t="shared" si="44"/>
        <v>252752.57</v>
      </c>
      <c r="V432" s="989">
        <f t="shared" si="45"/>
        <v>100</v>
      </c>
      <c r="W432" s="989"/>
      <c r="X432" s="989">
        <f t="shared" si="41"/>
        <v>0</v>
      </c>
      <c r="Y432" s="1012"/>
    </row>
    <row r="433" spans="1:25" ht="63" customHeight="1">
      <c r="A433" s="1006">
        <v>315</v>
      </c>
      <c r="B433" s="1007" t="s">
        <v>2929</v>
      </c>
      <c r="C433" s="1008"/>
      <c r="D433" s="1008" t="s">
        <v>3742</v>
      </c>
      <c r="E433" s="1007" t="s">
        <v>1810</v>
      </c>
      <c r="F433" s="1010" t="s">
        <v>359</v>
      </c>
      <c r="G433" s="989">
        <v>45200</v>
      </c>
      <c r="H433" s="937"/>
      <c r="I433" s="1046"/>
      <c r="J433" s="1046"/>
      <c r="K433" s="1047">
        <v>-6100</v>
      </c>
      <c r="L433" s="1046"/>
      <c r="M433" s="1094"/>
      <c r="N433" s="989">
        <f>+K433+45200+M433</f>
        <v>39100</v>
      </c>
      <c r="O433" s="989">
        <v>0</v>
      </c>
      <c r="P433" s="989">
        <v>39100</v>
      </c>
      <c r="Q433" s="989">
        <f t="shared" si="42"/>
        <v>39100</v>
      </c>
      <c r="R433" s="989">
        <f t="shared" si="46"/>
        <v>100</v>
      </c>
      <c r="S433" s="1011">
        <v>0</v>
      </c>
      <c r="T433" s="989">
        <f t="shared" si="43"/>
        <v>0</v>
      </c>
      <c r="U433" s="989">
        <f t="shared" si="44"/>
        <v>39100</v>
      </c>
      <c r="V433" s="989">
        <f t="shared" si="45"/>
        <v>100</v>
      </c>
      <c r="W433" s="989"/>
      <c r="X433" s="989">
        <f t="shared" si="41"/>
        <v>0</v>
      </c>
      <c r="Y433" s="1012"/>
    </row>
    <row r="434" spans="1:25" ht="63" customHeight="1">
      <c r="A434" s="1006">
        <v>316</v>
      </c>
      <c r="B434" s="1007" t="s">
        <v>1811</v>
      </c>
      <c r="C434" s="1008"/>
      <c r="D434" s="1008" t="s">
        <v>3743</v>
      </c>
      <c r="E434" s="1007" t="s">
        <v>1812</v>
      </c>
      <c r="F434" s="1010" t="s">
        <v>1182</v>
      </c>
      <c r="G434" s="989">
        <v>728000</v>
      </c>
      <c r="H434" s="937"/>
      <c r="I434" s="1046"/>
      <c r="J434" s="1046"/>
      <c r="K434" s="1047">
        <v>-96794</v>
      </c>
      <c r="L434" s="1046"/>
      <c r="M434" s="1094"/>
      <c r="N434" s="989">
        <f>728000+M434+K434</f>
        <v>631206</v>
      </c>
      <c r="O434" s="989">
        <v>0</v>
      </c>
      <c r="P434" s="989">
        <v>631206</v>
      </c>
      <c r="Q434" s="989">
        <f t="shared" si="42"/>
        <v>631206</v>
      </c>
      <c r="R434" s="989">
        <f t="shared" si="46"/>
        <v>100</v>
      </c>
      <c r="S434" s="1011">
        <v>0</v>
      </c>
      <c r="T434" s="989">
        <f t="shared" si="43"/>
        <v>0</v>
      </c>
      <c r="U434" s="989">
        <f t="shared" si="44"/>
        <v>631206</v>
      </c>
      <c r="V434" s="989">
        <f t="shared" si="45"/>
        <v>100</v>
      </c>
      <c r="W434" s="989"/>
      <c r="X434" s="989">
        <f t="shared" si="41"/>
        <v>0</v>
      </c>
      <c r="Y434" s="1012"/>
    </row>
    <row r="435" spans="1:25" ht="63" customHeight="1">
      <c r="A435" s="1006">
        <v>317</v>
      </c>
      <c r="B435" s="1007" t="s">
        <v>1813</v>
      </c>
      <c r="C435" s="1008"/>
      <c r="D435" s="1008" t="s">
        <v>3744</v>
      </c>
      <c r="E435" s="1007" t="s">
        <v>1814</v>
      </c>
      <c r="F435" s="1010" t="s">
        <v>359</v>
      </c>
      <c r="G435" s="989">
        <f>45200</f>
        <v>45200</v>
      </c>
      <c r="H435" s="937"/>
      <c r="I435" s="1046"/>
      <c r="J435" s="1046"/>
      <c r="K435" s="1047">
        <v>-5200</v>
      </c>
      <c r="L435" s="1046"/>
      <c r="M435" s="1094"/>
      <c r="N435" s="989">
        <f>G435+M435+K435</f>
        <v>40000</v>
      </c>
      <c r="O435" s="989">
        <v>0</v>
      </c>
      <c r="P435" s="989">
        <v>40000</v>
      </c>
      <c r="Q435" s="989">
        <f t="shared" si="42"/>
        <v>40000</v>
      </c>
      <c r="R435" s="989">
        <f t="shared" si="46"/>
        <v>100</v>
      </c>
      <c r="S435" s="1011">
        <v>0</v>
      </c>
      <c r="T435" s="989">
        <f t="shared" si="43"/>
        <v>0</v>
      </c>
      <c r="U435" s="989">
        <f t="shared" si="44"/>
        <v>40000</v>
      </c>
      <c r="V435" s="989">
        <f t="shared" si="45"/>
        <v>100</v>
      </c>
      <c r="W435" s="989"/>
      <c r="X435" s="989">
        <f t="shared" si="41"/>
        <v>0</v>
      </c>
      <c r="Y435" s="1012"/>
    </row>
    <row r="436" spans="1:25" ht="63" customHeight="1">
      <c r="A436" s="1006">
        <v>318</v>
      </c>
      <c r="B436" s="1007" t="s">
        <v>1815</v>
      </c>
      <c r="C436" s="1008"/>
      <c r="D436" s="1008" t="s">
        <v>3745</v>
      </c>
      <c r="E436" s="1007" t="s">
        <v>1816</v>
      </c>
      <c r="F436" s="1010" t="s">
        <v>1182</v>
      </c>
      <c r="G436" s="989">
        <v>104000</v>
      </c>
      <c r="H436" s="937"/>
      <c r="I436" s="1046"/>
      <c r="J436" s="1046"/>
      <c r="K436" s="1047"/>
      <c r="L436" s="1046"/>
      <c r="M436" s="1094"/>
      <c r="N436" s="989">
        <v>104000</v>
      </c>
      <c r="O436" s="989">
        <v>0</v>
      </c>
      <c r="P436" s="989">
        <v>104000</v>
      </c>
      <c r="Q436" s="989">
        <f t="shared" si="42"/>
        <v>104000</v>
      </c>
      <c r="R436" s="989">
        <f t="shared" si="46"/>
        <v>100</v>
      </c>
      <c r="S436" s="1011">
        <v>0</v>
      </c>
      <c r="T436" s="989">
        <f t="shared" si="43"/>
        <v>0</v>
      </c>
      <c r="U436" s="989">
        <f t="shared" si="44"/>
        <v>104000</v>
      </c>
      <c r="V436" s="989">
        <f t="shared" si="45"/>
        <v>100</v>
      </c>
      <c r="W436" s="989"/>
      <c r="X436" s="989">
        <f t="shared" si="41"/>
        <v>0</v>
      </c>
      <c r="Y436" s="1012"/>
    </row>
    <row r="437" spans="1:25" ht="63" customHeight="1">
      <c r="A437" s="1006">
        <v>319</v>
      </c>
      <c r="B437" s="1007" t="s">
        <v>1817</v>
      </c>
      <c r="C437" s="1008"/>
      <c r="D437" s="1008" t="s">
        <v>3746</v>
      </c>
      <c r="E437" s="1007" t="s">
        <v>1818</v>
      </c>
      <c r="F437" s="1010" t="s">
        <v>1182</v>
      </c>
      <c r="G437" s="989">
        <v>1144000</v>
      </c>
      <c r="H437" s="937"/>
      <c r="I437" s="1046"/>
      <c r="J437" s="1046"/>
      <c r="K437" s="1047">
        <v>-297302.81</v>
      </c>
      <c r="L437" s="1046"/>
      <c r="M437" s="1094"/>
      <c r="N437" s="989">
        <f>1144000+M437+K437</f>
        <v>846697.19</v>
      </c>
      <c r="O437" s="989">
        <v>0</v>
      </c>
      <c r="P437" s="989">
        <v>846697.19</v>
      </c>
      <c r="Q437" s="989">
        <f t="shared" si="42"/>
        <v>846697.19</v>
      </c>
      <c r="R437" s="989">
        <f t="shared" si="46"/>
        <v>100</v>
      </c>
      <c r="S437" s="1011">
        <v>0</v>
      </c>
      <c r="T437" s="989">
        <f t="shared" si="43"/>
        <v>0</v>
      </c>
      <c r="U437" s="989">
        <f t="shared" si="44"/>
        <v>846697.19</v>
      </c>
      <c r="V437" s="989">
        <f t="shared" si="45"/>
        <v>100</v>
      </c>
      <c r="W437" s="989"/>
      <c r="X437" s="989">
        <f t="shared" ref="X437:X500" si="47">N437-U437</f>
        <v>0</v>
      </c>
      <c r="Y437" s="1012"/>
    </row>
    <row r="438" spans="1:25" ht="63" customHeight="1">
      <c r="A438" s="1006">
        <v>320</v>
      </c>
      <c r="B438" s="1007" t="s">
        <v>1819</v>
      </c>
      <c r="C438" s="1008"/>
      <c r="D438" s="1008" t="s">
        <v>3747</v>
      </c>
      <c r="E438" s="1007" t="s">
        <v>1820</v>
      </c>
      <c r="F438" s="1010" t="s">
        <v>552</v>
      </c>
      <c r="G438" s="989">
        <v>90400</v>
      </c>
      <c r="H438" s="937"/>
      <c r="I438" s="1046"/>
      <c r="J438" s="1046"/>
      <c r="K438" s="1047">
        <v>-16800</v>
      </c>
      <c r="L438" s="1046"/>
      <c r="M438" s="1094"/>
      <c r="N438" s="989">
        <v>73600</v>
      </c>
      <c r="O438" s="989">
        <v>36800</v>
      </c>
      <c r="P438" s="989">
        <v>36800</v>
      </c>
      <c r="Q438" s="989">
        <f t="shared" si="42"/>
        <v>73600</v>
      </c>
      <c r="R438" s="989">
        <f t="shared" si="46"/>
        <v>100</v>
      </c>
      <c r="S438" s="1011">
        <v>0</v>
      </c>
      <c r="T438" s="989">
        <f t="shared" si="43"/>
        <v>0</v>
      </c>
      <c r="U438" s="989">
        <f t="shared" si="44"/>
        <v>73600</v>
      </c>
      <c r="V438" s="989">
        <f t="shared" si="45"/>
        <v>100</v>
      </c>
      <c r="W438" s="989"/>
      <c r="X438" s="989">
        <f t="shared" si="47"/>
        <v>0</v>
      </c>
      <c r="Y438" s="1012"/>
    </row>
    <row r="439" spans="1:25" ht="63" customHeight="1">
      <c r="A439" s="1006">
        <v>321</v>
      </c>
      <c r="B439" s="1007" t="s">
        <v>1821</v>
      </c>
      <c r="C439" s="1008"/>
      <c r="D439" s="1008" t="s">
        <v>3748</v>
      </c>
      <c r="E439" s="1007" t="s">
        <v>1822</v>
      </c>
      <c r="F439" s="1010" t="s">
        <v>552</v>
      </c>
      <c r="G439" s="989">
        <v>45200</v>
      </c>
      <c r="H439" s="937"/>
      <c r="I439" s="1046"/>
      <c r="J439" s="1046"/>
      <c r="K439" s="1047">
        <f>-21400</f>
        <v>-21400</v>
      </c>
      <c r="L439" s="1046"/>
      <c r="M439" s="1094"/>
      <c r="N439" s="989">
        <f>36200+M439+K439</f>
        <v>14800</v>
      </c>
      <c r="O439" s="989">
        <v>0</v>
      </c>
      <c r="P439" s="989">
        <v>14800</v>
      </c>
      <c r="Q439" s="989">
        <f t="shared" ref="Q439:Q502" si="48">P439+O439</f>
        <v>14800</v>
      </c>
      <c r="R439" s="989">
        <f t="shared" si="46"/>
        <v>100</v>
      </c>
      <c r="S439" s="1011">
        <v>0</v>
      </c>
      <c r="T439" s="989">
        <f t="shared" ref="T439:T502" si="49">S439/N439*100</f>
        <v>0</v>
      </c>
      <c r="U439" s="989">
        <f t="shared" ref="U439:U502" si="50">S439+Q439</f>
        <v>14800</v>
      </c>
      <c r="V439" s="989">
        <f t="shared" ref="V439:V502" si="51">U439/N439*100</f>
        <v>100</v>
      </c>
      <c r="W439" s="989"/>
      <c r="X439" s="989">
        <f t="shared" si="47"/>
        <v>0</v>
      </c>
      <c r="Y439" s="1012"/>
    </row>
    <row r="440" spans="1:25" ht="63" customHeight="1">
      <c r="A440" s="1006">
        <v>322</v>
      </c>
      <c r="B440" s="1007" t="s">
        <v>1823</v>
      </c>
      <c r="C440" s="1008"/>
      <c r="D440" s="1008" t="s">
        <v>3749</v>
      </c>
      <c r="E440" s="1007" t="s">
        <v>1824</v>
      </c>
      <c r="F440" s="1010" t="s">
        <v>1182</v>
      </c>
      <c r="G440" s="989">
        <v>1248000</v>
      </c>
      <c r="H440" s="937"/>
      <c r="I440" s="1046"/>
      <c r="J440" s="1046"/>
      <c r="K440" s="1047">
        <v>-279172</v>
      </c>
      <c r="L440" s="1046"/>
      <c r="M440" s="1094"/>
      <c r="N440" s="989">
        <f>1248000+M440+K440</f>
        <v>968828</v>
      </c>
      <c r="O440" s="989">
        <v>0</v>
      </c>
      <c r="P440" s="989">
        <v>968828</v>
      </c>
      <c r="Q440" s="989">
        <f t="shared" si="48"/>
        <v>968828</v>
      </c>
      <c r="R440" s="989">
        <f t="shared" ref="R440:R503" si="52">Q440/N440*100</f>
        <v>100</v>
      </c>
      <c r="S440" s="1011">
        <v>0</v>
      </c>
      <c r="T440" s="989">
        <f t="shared" si="49"/>
        <v>0</v>
      </c>
      <c r="U440" s="989">
        <f t="shared" si="50"/>
        <v>968828</v>
      </c>
      <c r="V440" s="989">
        <f t="shared" si="51"/>
        <v>100</v>
      </c>
      <c r="W440" s="989"/>
      <c r="X440" s="989">
        <f t="shared" si="47"/>
        <v>0</v>
      </c>
      <c r="Y440" s="1012"/>
    </row>
    <row r="441" spans="1:25" ht="63" customHeight="1">
      <c r="A441" s="1006">
        <v>323</v>
      </c>
      <c r="B441" s="1007" t="s">
        <v>1825</v>
      </c>
      <c r="C441" s="1008"/>
      <c r="D441" s="1008" t="s">
        <v>3750</v>
      </c>
      <c r="E441" s="1007" t="s">
        <v>1826</v>
      </c>
      <c r="F441" s="1010" t="s">
        <v>552</v>
      </c>
      <c r="G441" s="989">
        <v>135600</v>
      </c>
      <c r="H441" s="937"/>
      <c r="I441" s="1046"/>
      <c r="J441" s="1046"/>
      <c r="K441" s="1047">
        <f>-7946</f>
        <v>-7946</v>
      </c>
      <c r="L441" s="1046"/>
      <c r="M441" s="1094"/>
      <c r="N441" s="989">
        <f>108947+M441+K441</f>
        <v>101001</v>
      </c>
      <c r="O441" s="989">
        <v>101001</v>
      </c>
      <c r="P441" s="989">
        <v>0</v>
      </c>
      <c r="Q441" s="989">
        <f t="shared" si="48"/>
        <v>101001</v>
      </c>
      <c r="R441" s="989">
        <f t="shared" si="52"/>
        <v>100</v>
      </c>
      <c r="S441" s="1011">
        <v>0</v>
      </c>
      <c r="T441" s="989">
        <f t="shared" si="49"/>
        <v>0</v>
      </c>
      <c r="U441" s="989">
        <f t="shared" si="50"/>
        <v>101001</v>
      </c>
      <c r="V441" s="989">
        <f t="shared" si="51"/>
        <v>100</v>
      </c>
      <c r="W441" s="989"/>
      <c r="X441" s="989">
        <f t="shared" si="47"/>
        <v>0</v>
      </c>
      <c r="Y441" s="1012"/>
    </row>
    <row r="442" spans="1:25" s="950" customFormat="1" ht="63" customHeight="1">
      <c r="A442" s="1006">
        <v>324</v>
      </c>
      <c r="B442" s="1007" t="s">
        <v>4485</v>
      </c>
      <c r="C442" s="1008"/>
      <c r="D442" s="1008" t="s">
        <v>4486</v>
      </c>
      <c r="E442" s="1007" t="s">
        <v>4384</v>
      </c>
      <c r="F442" s="1010" t="s">
        <v>580</v>
      </c>
      <c r="G442" s="989">
        <v>0</v>
      </c>
      <c r="H442" s="937"/>
      <c r="I442" s="1046"/>
      <c r="J442" s="1046"/>
      <c r="K442" s="1047"/>
      <c r="L442" s="1046"/>
      <c r="M442" s="1094"/>
      <c r="N442" s="989">
        <v>0</v>
      </c>
      <c r="O442" s="989"/>
      <c r="P442" s="989"/>
      <c r="Q442" s="989">
        <f t="shared" si="48"/>
        <v>0</v>
      </c>
      <c r="R442" s="989" t="e">
        <f t="shared" si="52"/>
        <v>#DIV/0!</v>
      </c>
      <c r="S442" s="1011"/>
      <c r="T442" s="989"/>
      <c r="U442" s="989">
        <f t="shared" si="50"/>
        <v>0</v>
      </c>
      <c r="V442" s="989"/>
      <c r="W442" s="989"/>
      <c r="X442" s="989">
        <f t="shared" si="47"/>
        <v>0</v>
      </c>
      <c r="Y442" s="1012"/>
    </row>
    <row r="443" spans="1:25" ht="63" customHeight="1">
      <c r="A443" s="1006">
        <v>325</v>
      </c>
      <c r="B443" s="1007" t="s">
        <v>1827</v>
      </c>
      <c r="C443" s="1008"/>
      <c r="D443" s="1008" t="s">
        <v>3751</v>
      </c>
      <c r="E443" s="1007" t="s">
        <v>1828</v>
      </c>
      <c r="F443" s="1010" t="s">
        <v>552</v>
      </c>
      <c r="G443" s="989">
        <v>90400</v>
      </c>
      <c r="H443" s="937"/>
      <c r="I443" s="1046"/>
      <c r="J443" s="1046"/>
      <c r="K443" s="1047">
        <v>-5600</v>
      </c>
      <c r="L443" s="1046"/>
      <c r="M443" s="1094"/>
      <c r="N443" s="989">
        <v>84800</v>
      </c>
      <c r="O443" s="989">
        <v>0</v>
      </c>
      <c r="P443" s="989">
        <v>84800</v>
      </c>
      <c r="Q443" s="989">
        <f t="shared" si="48"/>
        <v>84800</v>
      </c>
      <c r="R443" s="989">
        <f t="shared" si="52"/>
        <v>100</v>
      </c>
      <c r="S443" s="1011">
        <v>0</v>
      </c>
      <c r="T443" s="989">
        <f t="shared" si="49"/>
        <v>0</v>
      </c>
      <c r="U443" s="989">
        <f t="shared" si="50"/>
        <v>84800</v>
      </c>
      <c r="V443" s="989">
        <f t="shared" si="51"/>
        <v>100</v>
      </c>
      <c r="W443" s="989"/>
      <c r="X443" s="989">
        <f t="shared" si="47"/>
        <v>0</v>
      </c>
      <c r="Y443" s="1012"/>
    </row>
    <row r="444" spans="1:25" ht="63" customHeight="1">
      <c r="A444" s="1006">
        <v>326</v>
      </c>
      <c r="B444" s="1007" t="s">
        <v>1829</v>
      </c>
      <c r="C444" s="1008"/>
      <c r="D444" s="1008" t="s">
        <v>3752</v>
      </c>
      <c r="E444" s="1007" t="s">
        <v>1830</v>
      </c>
      <c r="F444" s="1010" t="s">
        <v>580</v>
      </c>
      <c r="G444" s="989">
        <v>104000</v>
      </c>
      <c r="H444" s="937"/>
      <c r="I444" s="1046"/>
      <c r="J444" s="1046"/>
      <c r="K444" s="1047"/>
      <c r="L444" s="1046"/>
      <c r="M444" s="1094"/>
      <c r="N444" s="989">
        <v>104000</v>
      </c>
      <c r="O444" s="989">
        <v>0</v>
      </c>
      <c r="P444" s="989">
        <v>104000</v>
      </c>
      <c r="Q444" s="989">
        <f t="shared" si="48"/>
        <v>104000</v>
      </c>
      <c r="R444" s="989">
        <f t="shared" si="52"/>
        <v>100</v>
      </c>
      <c r="S444" s="1011">
        <v>0</v>
      </c>
      <c r="T444" s="989">
        <f t="shared" si="49"/>
        <v>0</v>
      </c>
      <c r="U444" s="989">
        <f t="shared" si="50"/>
        <v>104000</v>
      </c>
      <c r="V444" s="989">
        <f t="shared" si="51"/>
        <v>100</v>
      </c>
      <c r="W444" s="989"/>
      <c r="X444" s="989">
        <f t="shared" si="47"/>
        <v>0</v>
      </c>
      <c r="Y444" s="1012"/>
    </row>
    <row r="445" spans="1:25" ht="63" customHeight="1">
      <c r="A445" s="1006">
        <v>327</v>
      </c>
      <c r="B445" s="1007" t="s">
        <v>1831</v>
      </c>
      <c r="C445" s="1008"/>
      <c r="D445" s="1008" t="s">
        <v>3753</v>
      </c>
      <c r="E445" s="1007" t="s">
        <v>1832</v>
      </c>
      <c r="F445" s="1010" t="s">
        <v>552</v>
      </c>
      <c r="G445" s="989">
        <v>45200</v>
      </c>
      <c r="H445" s="937"/>
      <c r="I445" s="1046"/>
      <c r="J445" s="1046"/>
      <c r="K445" s="1047">
        <f>-3300</f>
        <v>-3300</v>
      </c>
      <c r="L445" s="1046"/>
      <c r="M445" s="1094"/>
      <c r="N445" s="989">
        <f>36800+M445+K445</f>
        <v>33500</v>
      </c>
      <c r="O445" s="989">
        <v>0</v>
      </c>
      <c r="P445" s="989">
        <v>33500</v>
      </c>
      <c r="Q445" s="989">
        <f t="shared" si="48"/>
        <v>33500</v>
      </c>
      <c r="R445" s="989">
        <f t="shared" si="52"/>
        <v>100</v>
      </c>
      <c r="S445" s="1011">
        <v>0</v>
      </c>
      <c r="T445" s="989">
        <f t="shared" si="49"/>
        <v>0</v>
      </c>
      <c r="U445" s="989">
        <f t="shared" si="50"/>
        <v>33500</v>
      </c>
      <c r="V445" s="989">
        <f t="shared" si="51"/>
        <v>100</v>
      </c>
      <c r="W445" s="989"/>
      <c r="X445" s="989">
        <f t="shared" si="47"/>
        <v>0</v>
      </c>
      <c r="Y445" s="1012"/>
    </row>
    <row r="446" spans="1:25" ht="63" customHeight="1">
      <c r="A446" s="1006">
        <v>328</v>
      </c>
      <c r="B446" s="1007" t="s">
        <v>1833</v>
      </c>
      <c r="C446" s="1008"/>
      <c r="D446" s="1008" t="s">
        <v>3754</v>
      </c>
      <c r="E446" s="1007" t="s">
        <v>1834</v>
      </c>
      <c r="F446" s="1010" t="s">
        <v>552</v>
      </c>
      <c r="G446" s="989">
        <v>180800</v>
      </c>
      <c r="H446" s="937"/>
      <c r="I446" s="1046"/>
      <c r="J446" s="1046"/>
      <c r="K446" s="1047">
        <v>-33600</v>
      </c>
      <c r="L446" s="1046"/>
      <c r="M446" s="1094"/>
      <c r="N446" s="989">
        <v>147200</v>
      </c>
      <c r="O446" s="989">
        <v>0</v>
      </c>
      <c r="P446" s="989">
        <v>147200</v>
      </c>
      <c r="Q446" s="989">
        <f t="shared" si="48"/>
        <v>147200</v>
      </c>
      <c r="R446" s="989">
        <f t="shared" si="52"/>
        <v>100</v>
      </c>
      <c r="S446" s="1011">
        <v>0</v>
      </c>
      <c r="T446" s="989">
        <f t="shared" si="49"/>
        <v>0</v>
      </c>
      <c r="U446" s="989">
        <f t="shared" si="50"/>
        <v>147200</v>
      </c>
      <c r="V446" s="989">
        <f t="shared" si="51"/>
        <v>100</v>
      </c>
      <c r="W446" s="989"/>
      <c r="X446" s="989">
        <f t="shared" si="47"/>
        <v>0</v>
      </c>
      <c r="Y446" s="1012"/>
    </row>
    <row r="447" spans="1:25" ht="63" customHeight="1">
      <c r="A447" s="1006">
        <v>329</v>
      </c>
      <c r="B447" s="1007" t="s">
        <v>1835</v>
      </c>
      <c r="C447" s="1008"/>
      <c r="D447" s="1008" t="s">
        <v>3755</v>
      </c>
      <c r="E447" s="1007" t="s">
        <v>4346</v>
      </c>
      <c r="F447" s="1010" t="s">
        <v>580</v>
      </c>
      <c r="G447" s="989">
        <v>415900</v>
      </c>
      <c r="H447" s="937"/>
      <c r="I447" s="1046"/>
      <c r="J447" s="1046"/>
      <c r="K447" s="1047">
        <v>-83203.33</v>
      </c>
      <c r="L447" s="1046"/>
      <c r="M447" s="1094">
        <v>-38657.82</v>
      </c>
      <c r="N447" s="989">
        <f>415900+M447+K447</f>
        <v>294038.84999999998</v>
      </c>
      <c r="O447" s="989">
        <v>0</v>
      </c>
      <c r="P447" s="989">
        <v>294038.84999999998</v>
      </c>
      <c r="Q447" s="989">
        <f t="shared" si="48"/>
        <v>294038.84999999998</v>
      </c>
      <c r="R447" s="989">
        <f t="shared" si="52"/>
        <v>100</v>
      </c>
      <c r="S447" s="1011">
        <v>0</v>
      </c>
      <c r="T447" s="989">
        <f t="shared" si="49"/>
        <v>0</v>
      </c>
      <c r="U447" s="989">
        <f t="shared" si="50"/>
        <v>294038.84999999998</v>
      </c>
      <c r="V447" s="989">
        <f t="shared" si="51"/>
        <v>100</v>
      </c>
      <c r="W447" s="989"/>
      <c r="X447" s="989">
        <f t="shared" si="47"/>
        <v>0</v>
      </c>
      <c r="Y447" s="1012"/>
    </row>
    <row r="448" spans="1:25" s="950" customFormat="1" ht="63" customHeight="1">
      <c r="A448" s="1006">
        <v>330</v>
      </c>
      <c r="B448" s="1007" t="s">
        <v>4487</v>
      </c>
      <c r="C448" s="1008"/>
      <c r="D448" s="1008" t="s">
        <v>4488</v>
      </c>
      <c r="E448" s="1007" t="s">
        <v>4385</v>
      </c>
      <c r="F448" s="1010" t="s">
        <v>580</v>
      </c>
      <c r="G448" s="989">
        <v>0</v>
      </c>
      <c r="H448" s="937"/>
      <c r="I448" s="1046"/>
      <c r="J448" s="1046"/>
      <c r="K448" s="1047"/>
      <c r="L448" s="1046"/>
      <c r="M448" s="1094" t="s">
        <v>4489</v>
      </c>
      <c r="N448" s="989">
        <v>0</v>
      </c>
      <c r="O448" s="989"/>
      <c r="P448" s="989"/>
      <c r="Q448" s="989">
        <f t="shared" si="48"/>
        <v>0</v>
      </c>
      <c r="R448" s="989" t="e">
        <f t="shared" si="52"/>
        <v>#DIV/0!</v>
      </c>
      <c r="S448" s="1011"/>
      <c r="T448" s="989"/>
      <c r="U448" s="989">
        <f t="shared" si="50"/>
        <v>0</v>
      </c>
      <c r="V448" s="989"/>
      <c r="W448" s="989"/>
      <c r="X448" s="989">
        <f t="shared" si="47"/>
        <v>0</v>
      </c>
      <c r="Y448" s="1012"/>
    </row>
    <row r="449" spans="1:39" s="969" customFormat="1" ht="63" customHeight="1">
      <c r="A449" s="1006">
        <v>331</v>
      </c>
      <c r="B449" s="1007" t="s">
        <v>1836</v>
      </c>
      <c r="C449" s="1008"/>
      <c r="D449" s="1008" t="s">
        <v>3756</v>
      </c>
      <c r="E449" s="1007" t="s">
        <v>3260</v>
      </c>
      <c r="F449" s="1010" t="s">
        <v>584</v>
      </c>
      <c r="G449" s="989">
        <v>180800</v>
      </c>
      <c r="H449" s="937"/>
      <c r="I449" s="1046"/>
      <c r="J449" s="1046"/>
      <c r="K449" s="1047"/>
      <c r="L449" s="1046"/>
      <c r="M449" s="1094"/>
      <c r="N449" s="989">
        <v>180800</v>
      </c>
      <c r="O449" s="989">
        <v>0</v>
      </c>
      <c r="P449" s="989">
        <v>180800</v>
      </c>
      <c r="Q449" s="989">
        <f t="shared" si="48"/>
        <v>180800</v>
      </c>
      <c r="R449" s="989">
        <f t="shared" si="52"/>
        <v>100</v>
      </c>
      <c r="S449" s="1011">
        <v>0</v>
      </c>
      <c r="T449" s="989">
        <f t="shared" si="49"/>
        <v>0</v>
      </c>
      <c r="U449" s="989">
        <f t="shared" si="50"/>
        <v>180800</v>
      </c>
      <c r="V449" s="989">
        <f t="shared" si="51"/>
        <v>100</v>
      </c>
      <c r="W449" s="989"/>
      <c r="X449" s="989">
        <f t="shared" si="47"/>
        <v>0</v>
      </c>
      <c r="Y449" s="1012"/>
      <c r="Z449" s="941"/>
      <c r="AA449" s="941"/>
      <c r="AB449" s="941"/>
      <c r="AC449" s="941"/>
      <c r="AD449" s="941"/>
      <c r="AE449" s="941"/>
      <c r="AF449" s="941"/>
      <c r="AG449" s="941"/>
      <c r="AH449" s="941"/>
      <c r="AI449" s="941"/>
      <c r="AJ449" s="941"/>
      <c r="AK449" s="941"/>
      <c r="AL449" s="941"/>
      <c r="AM449" s="941"/>
    </row>
    <row r="450" spans="1:39" s="969" customFormat="1" ht="63" customHeight="1">
      <c r="A450" s="1006">
        <v>332</v>
      </c>
      <c r="B450" s="1007" t="s">
        <v>1837</v>
      </c>
      <c r="C450" s="1008"/>
      <c r="D450" s="1008" t="s">
        <v>3757</v>
      </c>
      <c r="E450" s="1007" t="s">
        <v>3363</v>
      </c>
      <c r="F450" s="1010" t="s">
        <v>584</v>
      </c>
      <c r="G450" s="989">
        <v>271200</v>
      </c>
      <c r="H450" s="937"/>
      <c r="I450" s="1046"/>
      <c r="J450" s="1046"/>
      <c r="K450" s="1047"/>
      <c r="L450" s="1046"/>
      <c r="M450" s="1094"/>
      <c r="N450" s="989">
        <v>271200</v>
      </c>
      <c r="O450" s="989">
        <v>0</v>
      </c>
      <c r="P450" s="989">
        <v>271200</v>
      </c>
      <c r="Q450" s="989">
        <f t="shared" si="48"/>
        <v>271200</v>
      </c>
      <c r="R450" s="989">
        <f t="shared" si="52"/>
        <v>100</v>
      </c>
      <c r="S450" s="1011">
        <v>0</v>
      </c>
      <c r="T450" s="989">
        <f t="shared" si="49"/>
        <v>0</v>
      </c>
      <c r="U450" s="989">
        <f t="shared" si="50"/>
        <v>271200</v>
      </c>
      <c r="V450" s="989">
        <f t="shared" si="51"/>
        <v>100</v>
      </c>
      <c r="W450" s="989"/>
      <c r="X450" s="989">
        <f t="shared" si="47"/>
        <v>0</v>
      </c>
      <c r="Y450" s="1012"/>
      <c r="Z450" s="941"/>
      <c r="AA450" s="941"/>
      <c r="AB450" s="941"/>
      <c r="AC450" s="941"/>
      <c r="AD450" s="941"/>
      <c r="AE450" s="941"/>
      <c r="AF450" s="941"/>
      <c r="AG450" s="941"/>
      <c r="AH450" s="941"/>
      <c r="AI450" s="941"/>
      <c r="AJ450" s="941"/>
      <c r="AK450" s="941"/>
      <c r="AL450" s="941"/>
      <c r="AM450" s="941"/>
    </row>
    <row r="451" spans="1:39" s="969" customFormat="1" ht="63" customHeight="1">
      <c r="A451" s="1006">
        <v>333</v>
      </c>
      <c r="B451" s="1007" t="s">
        <v>1838</v>
      </c>
      <c r="C451" s="1008"/>
      <c r="D451" s="1008" t="s">
        <v>3758</v>
      </c>
      <c r="E451" s="1007" t="s">
        <v>3261</v>
      </c>
      <c r="F451" s="1010" t="s">
        <v>584</v>
      </c>
      <c r="G451" s="989">
        <v>180800</v>
      </c>
      <c r="H451" s="937"/>
      <c r="I451" s="1046"/>
      <c r="J451" s="1046"/>
      <c r="K451" s="1047"/>
      <c r="L451" s="1046"/>
      <c r="M451" s="1094"/>
      <c r="N451" s="989">
        <v>180800</v>
      </c>
      <c r="O451" s="989">
        <v>0</v>
      </c>
      <c r="P451" s="989">
        <v>180800</v>
      </c>
      <c r="Q451" s="989">
        <f t="shared" si="48"/>
        <v>180800</v>
      </c>
      <c r="R451" s="989">
        <f t="shared" si="52"/>
        <v>100</v>
      </c>
      <c r="S451" s="1011">
        <v>0</v>
      </c>
      <c r="T451" s="989">
        <f t="shared" si="49"/>
        <v>0</v>
      </c>
      <c r="U451" s="989">
        <f t="shared" si="50"/>
        <v>180800</v>
      </c>
      <c r="V451" s="989">
        <f t="shared" si="51"/>
        <v>100</v>
      </c>
      <c r="W451" s="989"/>
      <c r="X451" s="989">
        <f t="shared" si="47"/>
        <v>0</v>
      </c>
      <c r="Y451" s="1012"/>
      <c r="Z451" s="941"/>
      <c r="AA451" s="941"/>
      <c r="AB451" s="941"/>
      <c r="AC451" s="941"/>
      <c r="AD451" s="941"/>
      <c r="AE451" s="941"/>
      <c r="AF451" s="941"/>
      <c r="AG451" s="941"/>
      <c r="AH451" s="941"/>
      <c r="AI451" s="941"/>
      <c r="AJ451" s="941"/>
      <c r="AK451" s="941"/>
      <c r="AL451" s="941"/>
      <c r="AM451" s="941"/>
    </row>
    <row r="452" spans="1:39" s="969" customFormat="1" ht="63" customHeight="1">
      <c r="A452" s="1006">
        <v>334</v>
      </c>
      <c r="B452" s="1007" t="s">
        <v>1839</v>
      </c>
      <c r="C452" s="1008"/>
      <c r="D452" s="1008" t="s">
        <v>3759</v>
      </c>
      <c r="E452" s="1007" t="s">
        <v>2963</v>
      </c>
      <c r="F452" s="1010" t="s">
        <v>565</v>
      </c>
      <c r="G452" s="989">
        <v>1248000</v>
      </c>
      <c r="H452" s="937"/>
      <c r="I452" s="1046"/>
      <c r="J452" s="1046"/>
      <c r="K452" s="1047"/>
      <c r="L452" s="1046"/>
      <c r="M452" s="1094"/>
      <c r="N452" s="989">
        <v>1248000</v>
      </c>
      <c r="O452" s="989">
        <v>0</v>
      </c>
      <c r="P452" s="989">
        <v>1248000</v>
      </c>
      <c r="Q452" s="989">
        <f t="shared" si="48"/>
        <v>1248000</v>
      </c>
      <c r="R452" s="989">
        <f t="shared" si="52"/>
        <v>100</v>
      </c>
      <c r="S452" s="1011">
        <v>0</v>
      </c>
      <c r="T452" s="989">
        <f t="shared" si="49"/>
        <v>0</v>
      </c>
      <c r="U452" s="989">
        <f t="shared" si="50"/>
        <v>1248000</v>
      </c>
      <c r="V452" s="989">
        <f t="shared" si="51"/>
        <v>100</v>
      </c>
      <c r="W452" s="989"/>
      <c r="X452" s="989">
        <f t="shared" si="47"/>
        <v>0</v>
      </c>
      <c r="Y452" s="1012"/>
      <c r="Z452" s="941"/>
      <c r="AA452" s="941"/>
      <c r="AB452" s="941"/>
      <c r="AC452" s="941"/>
      <c r="AD452" s="941"/>
      <c r="AE452" s="941"/>
      <c r="AF452" s="941"/>
      <c r="AG452" s="941"/>
      <c r="AH452" s="941"/>
      <c r="AI452" s="941"/>
      <c r="AJ452" s="941"/>
      <c r="AK452" s="941"/>
      <c r="AL452" s="941"/>
      <c r="AM452" s="941"/>
    </row>
    <row r="453" spans="1:39" s="969" customFormat="1" ht="63" customHeight="1">
      <c r="A453" s="1006">
        <v>335</v>
      </c>
      <c r="B453" s="1007" t="s">
        <v>1840</v>
      </c>
      <c r="C453" s="1008"/>
      <c r="D453" s="1008" t="s">
        <v>3760</v>
      </c>
      <c r="E453" s="1007" t="s">
        <v>3262</v>
      </c>
      <c r="F453" s="1010" t="s">
        <v>584</v>
      </c>
      <c r="G453" s="989">
        <v>316400</v>
      </c>
      <c r="H453" s="937"/>
      <c r="I453" s="1046"/>
      <c r="J453" s="1046"/>
      <c r="K453" s="1047">
        <v>-9200</v>
      </c>
      <c r="L453" s="1046"/>
      <c r="M453" s="1094"/>
      <c r="N453" s="989">
        <f>316400+M453+K453</f>
        <v>307200</v>
      </c>
      <c r="O453" s="989">
        <v>0</v>
      </c>
      <c r="P453" s="989">
        <v>307200</v>
      </c>
      <c r="Q453" s="989">
        <f t="shared" si="48"/>
        <v>307200</v>
      </c>
      <c r="R453" s="989">
        <f t="shared" si="52"/>
        <v>100</v>
      </c>
      <c r="S453" s="1011">
        <v>0</v>
      </c>
      <c r="T453" s="989">
        <f t="shared" si="49"/>
        <v>0</v>
      </c>
      <c r="U453" s="989">
        <f t="shared" si="50"/>
        <v>307200</v>
      </c>
      <c r="V453" s="989">
        <f t="shared" si="51"/>
        <v>100</v>
      </c>
      <c r="W453" s="989"/>
      <c r="X453" s="989">
        <f t="shared" si="47"/>
        <v>0</v>
      </c>
      <c r="Y453" s="1012"/>
      <c r="Z453" s="941"/>
      <c r="AA453" s="941"/>
      <c r="AB453" s="941"/>
      <c r="AC453" s="941"/>
      <c r="AD453" s="941"/>
      <c r="AE453" s="941"/>
      <c r="AF453" s="941"/>
      <c r="AG453" s="941"/>
      <c r="AH453" s="941"/>
      <c r="AI453" s="941"/>
      <c r="AJ453" s="941"/>
      <c r="AK453" s="941"/>
      <c r="AL453" s="941"/>
      <c r="AM453" s="941"/>
    </row>
    <row r="454" spans="1:39" s="969" customFormat="1" ht="63" customHeight="1">
      <c r="A454" s="1006">
        <v>336</v>
      </c>
      <c r="B454" s="1007" t="s">
        <v>1841</v>
      </c>
      <c r="C454" s="1008"/>
      <c r="D454" s="1008" t="s">
        <v>3761</v>
      </c>
      <c r="E454" s="1007" t="s">
        <v>2964</v>
      </c>
      <c r="F454" s="1010" t="s">
        <v>565</v>
      </c>
      <c r="G454" s="989">
        <v>1144000</v>
      </c>
      <c r="H454" s="937"/>
      <c r="I454" s="1046"/>
      <c r="J454" s="1046"/>
      <c r="K454" s="1047"/>
      <c r="L454" s="1046"/>
      <c r="M454" s="1094"/>
      <c r="N454" s="989">
        <v>1144000</v>
      </c>
      <c r="O454" s="989">
        <v>0</v>
      </c>
      <c r="P454" s="989">
        <v>1144000</v>
      </c>
      <c r="Q454" s="989">
        <f t="shared" si="48"/>
        <v>1144000</v>
      </c>
      <c r="R454" s="989">
        <f t="shared" si="52"/>
        <v>100</v>
      </c>
      <c r="S454" s="1011">
        <v>0</v>
      </c>
      <c r="T454" s="989">
        <f t="shared" si="49"/>
        <v>0</v>
      </c>
      <c r="U454" s="989">
        <f t="shared" si="50"/>
        <v>1144000</v>
      </c>
      <c r="V454" s="989">
        <f t="shared" si="51"/>
        <v>100</v>
      </c>
      <c r="W454" s="989"/>
      <c r="X454" s="989">
        <f t="shared" si="47"/>
        <v>0</v>
      </c>
      <c r="Y454" s="1012"/>
      <c r="Z454" s="941"/>
      <c r="AA454" s="941"/>
      <c r="AB454" s="941"/>
      <c r="AC454" s="941"/>
      <c r="AD454" s="941"/>
      <c r="AE454" s="941"/>
      <c r="AF454" s="941"/>
      <c r="AG454" s="941"/>
      <c r="AH454" s="941"/>
      <c r="AI454" s="941"/>
      <c r="AJ454" s="941"/>
      <c r="AK454" s="941"/>
      <c r="AL454" s="941"/>
      <c r="AM454" s="941"/>
    </row>
    <row r="455" spans="1:39" s="969" customFormat="1" ht="63" customHeight="1">
      <c r="A455" s="1006">
        <v>337</v>
      </c>
      <c r="B455" s="1007" t="s">
        <v>1842</v>
      </c>
      <c r="C455" s="1008"/>
      <c r="D455" s="1008" t="s">
        <v>3762</v>
      </c>
      <c r="E455" s="1007" t="s">
        <v>2965</v>
      </c>
      <c r="F455" s="1010" t="s">
        <v>565</v>
      </c>
      <c r="G455" s="989">
        <v>624000</v>
      </c>
      <c r="H455" s="937"/>
      <c r="I455" s="1046"/>
      <c r="J455" s="1046"/>
      <c r="K455" s="1047"/>
      <c r="L455" s="1046"/>
      <c r="M455" s="1094"/>
      <c r="N455" s="989">
        <v>624000</v>
      </c>
      <c r="O455" s="989">
        <v>0</v>
      </c>
      <c r="P455" s="989">
        <v>624000</v>
      </c>
      <c r="Q455" s="989">
        <f t="shared" si="48"/>
        <v>624000</v>
      </c>
      <c r="R455" s="989">
        <f t="shared" si="52"/>
        <v>100</v>
      </c>
      <c r="S455" s="1011">
        <v>0</v>
      </c>
      <c r="T455" s="989">
        <f t="shared" si="49"/>
        <v>0</v>
      </c>
      <c r="U455" s="989">
        <f t="shared" si="50"/>
        <v>624000</v>
      </c>
      <c r="V455" s="989">
        <f t="shared" si="51"/>
        <v>100</v>
      </c>
      <c r="W455" s="989"/>
      <c r="X455" s="989">
        <f t="shared" si="47"/>
        <v>0</v>
      </c>
      <c r="Y455" s="1012"/>
      <c r="Z455" s="941"/>
      <c r="AA455" s="941"/>
      <c r="AB455" s="941"/>
      <c r="AC455" s="941"/>
      <c r="AD455" s="941"/>
      <c r="AE455" s="941"/>
      <c r="AF455" s="941"/>
      <c r="AG455" s="941"/>
      <c r="AH455" s="941"/>
      <c r="AI455" s="941"/>
      <c r="AJ455" s="941"/>
      <c r="AK455" s="941"/>
      <c r="AL455" s="941"/>
      <c r="AM455" s="941"/>
    </row>
    <row r="456" spans="1:39" s="969" customFormat="1" ht="63" customHeight="1">
      <c r="A456" s="1006">
        <v>338</v>
      </c>
      <c r="B456" s="1007" t="s">
        <v>1843</v>
      </c>
      <c r="C456" s="1008"/>
      <c r="D456" s="1008" t="s">
        <v>3763</v>
      </c>
      <c r="E456" s="1007" t="s">
        <v>2966</v>
      </c>
      <c r="F456" s="1010" t="s">
        <v>565</v>
      </c>
      <c r="G456" s="989">
        <v>1976000</v>
      </c>
      <c r="H456" s="937"/>
      <c r="I456" s="1046"/>
      <c r="J456" s="1046"/>
      <c r="K456" s="1047"/>
      <c r="L456" s="1046"/>
      <c r="M456" s="1094"/>
      <c r="N456" s="989">
        <v>1976000</v>
      </c>
      <c r="O456" s="989">
        <v>1248000</v>
      </c>
      <c r="P456" s="989">
        <v>728000</v>
      </c>
      <c r="Q456" s="989">
        <f t="shared" si="48"/>
        <v>1976000</v>
      </c>
      <c r="R456" s="989">
        <f t="shared" si="52"/>
        <v>100</v>
      </c>
      <c r="S456" s="1011">
        <v>0</v>
      </c>
      <c r="T456" s="989">
        <f t="shared" si="49"/>
        <v>0</v>
      </c>
      <c r="U456" s="989">
        <f t="shared" si="50"/>
        <v>1976000</v>
      </c>
      <c r="V456" s="989">
        <f t="shared" si="51"/>
        <v>100</v>
      </c>
      <c r="W456" s="989"/>
      <c r="X456" s="989">
        <f t="shared" si="47"/>
        <v>0</v>
      </c>
      <c r="Y456" s="1012"/>
      <c r="Z456" s="941"/>
      <c r="AA456" s="941"/>
      <c r="AB456" s="941"/>
      <c r="AC456" s="941"/>
      <c r="AD456" s="941"/>
      <c r="AE456" s="941"/>
      <c r="AF456" s="941"/>
      <c r="AG456" s="941"/>
      <c r="AH456" s="941"/>
      <c r="AI456" s="941"/>
      <c r="AJ456" s="941"/>
      <c r="AK456" s="941"/>
      <c r="AL456" s="941"/>
      <c r="AM456" s="941"/>
    </row>
    <row r="457" spans="1:39" s="969" customFormat="1" ht="63" customHeight="1">
      <c r="A457" s="1006">
        <v>339</v>
      </c>
      <c r="B457" s="1007" t="s">
        <v>1844</v>
      </c>
      <c r="C457" s="1008"/>
      <c r="D457" s="1008" t="s">
        <v>3764</v>
      </c>
      <c r="E457" s="1007" t="s">
        <v>2967</v>
      </c>
      <c r="F457" s="1010" t="s">
        <v>565</v>
      </c>
      <c r="G457" s="989">
        <v>728000</v>
      </c>
      <c r="H457" s="937"/>
      <c r="I457" s="1046"/>
      <c r="J457" s="1046"/>
      <c r="K457" s="1047">
        <v>-29394.02</v>
      </c>
      <c r="L457" s="1046"/>
      <c r="M457" s="1094"/>
      <c r="N457" s="989">
        <f>728000+M457+K457</f>
        <v>698605.98</v>
      </c>
      <c r="O457" s="989">
        <v>698605.98</v>
      </c>
      <c r="P457" s="989">
        <v>0</v>
      </c>
      <c r="Q457" s="989">
        <f t="shared" si="48"/>
        <v>698605.98</v>
      </c>
      <c r="R457" s="989">
        <f t="shared" si="52"/>
        <v>100</v>
      </c>
      <c r="S457" s="1011">
        <v>0</v>
      </c>
      <c r="T457" s="989">
        <f t="shared" si="49"/>
        <v>0</v>
      </c>
      <c r="U457" s="989">
        <f t="shared" si="50"/>
        <v>698605.98</v>
      </c>
      <c r="V457" s="989">
        <f t="shared" si="51"/>
        <v>100</v>
      </c>
      <c r="W457" s="989"/>
      <c r="X457" s="989">
        <f t="shared" si="47"/>
        <v>0</v>
      </c>
      <c r="Y457" s="1012"/>
      <c r="Z457" s="941"/>
      <c r="AA457" s="941"/>
      <c r="AB457" s="941"/>
      <c r="AC457" s="941"/>
      <c r="AD457" s="941"/>
      <c r="AE457" s="941"/>
      <c r="AF457" s="941"/>
      <c r="AG457" s="941"/>
      <c r="AH457" s="941"/>
      <c r="AI457" s="941"/>
      <c r="AJ457" s="941"/>
      <c r="AK457" s="941"/>
      <c r="AL457" s="941"/>
      <c r="AM457" s="941"/>
    </row>
    <row r="458" spans="1:39" s="969" customFormat="1" ht="63" customHeight="1">
      <c r="A458" s="1006">
        <v>340</v>
      </c>
      <c r="B458" s="1007" t="s">
        <v>1845</v>
      </c>
      <c r="C458" s="1008"/>
      <c r="D458" s="1008" t="s">
        <v>3765</v>
      </c>
      <c r="E458" s="1007" t="s">
        <v>2968</v>
      </c>
      <c r="F458" s="1010" t="s">
        <v>565</v>
      </c>
      <c r="G458" s="989">
        <v>520000</v>
      </c>
      <c r="H458" s="937"/>
      <c r="I458" s="1046"/>
      <c r="J458" s="1046"/>
      <c r="K458" s="1047">
        <v>-67664</v>
      </c>
      <c r="L458" s="1046"/>
      <c r="M458" s="1094">
        <v>-29592.06</v>
      </c>
      <c r="N458" s="989">
        <f>520000+M458+K458</f>
        <v>422743.94</v>
      </c>
      <c r="O458" s="989">
        <v>0</v>
      </c>
      <c r="P458" s="989">
        <v>422743.94</v>
      </c>
      <c r="Q458" s="989">
        <f t="shared" si="48"/>
        <v>422743.94</v>
      </c>
      <c r="R458" s="989">
        <f t="shared" si="52"/>
        <v>100</v>
      </c>
      <c r="S458" s="1011">
        <v>0</v>
      </c>
      <c r="T458" s="989">
        <f t="shared" si="49"/>
        <v>0</v>
      </c>
      <c r="U458" s="989">
        <f t="shared" si="50"/>
        <v>422743.94</v>
      </c>
      <c r="V458" s="989">
        <f t="shared" si="51"/>
        <v>100</v>
      </c>
      <c r="W458" s="989"/>
      <c r="X458" s="989">
        <f t="shared" si="47"/>
        <v>0</v>
      </c>
      <c r="Y458" s="1012"/>
      <c r="Z458" s="941"/>
      <c r="AA458" s="941"/>
      <c r="AB458" s="941"/>
      <c r="AC458" s="941"/>
      <c r="AD458" s="941"/>
      <c r="AE458" s="941"/>
      <c r="AF458" s="941"/>
      <c r="AG458" s="941"/>
      <c r="AH458" s="941"/>
      <c r="AI458" s="941"/>
      <c r="AJ458" s="941"/>
      <c r="AK458" s="941"/>
      <c r="AL458" s="941"/>
      <c r="AM458" s="941"/>
    </row>
    <row r="459" spans="1:39" s="969" customFormat="1" ht="63" customHeight="1">
      <c r="A459" s="1006">
        <v>341</v>
      </c>
      <c r="B459" s="1007" t="s">
        <v>1846</v>
      </c>
      <c r="C459" s="1008"/>
      <c r="D459" s="1008" t="s">
        <v>3766</v>
      </c>
      <c r="E459" s="1007" t="s">
        <v>1847</v>
      </c>
      <c r="F459" s="1010" t="s">
        <v>565</v>
      </c>
      <c r="G459" s="989">
        <v>208000</v>
      </c>
      <c r="H459" s="937"/>
      <c r="I459" s="1046"/>
      <c r="J459" s="1046"/>
      <c r="K459" s="1047"/>
      <c r="L459" s="1046"/>
      <c r="M459" s="1094"/>
      <c r="N459" s="989">
        <v>208000</v>
      </c>
      <c r="O459" s="989">
        <v>0</v>
      </c>
      <c r="P459" s="989">
        <v>208000</v>
      </c>
      <c r="Q459" s="989">
        <f t="shared" si="48"/>
        <v>208000</v>
      </c>
      <c r="R459" s="989">
        <f t="shared" si="52"/>
        <v>100</v>
      </c>
      <c r="S459" s="1011">
        <v>0</v>
      </c>
      <c r="T459" s="989">
        <f t="shared" si="49"/>
        <v>0</v>
      </c>
      <c r="U459" s="989">
        <f t="shared" si="50"/>
        <v>208000</v>
      </c>
      <c r="V459" s="989">
        <f t="shared" si="51"/>
        <v>100</v>
      </c>
      <c r="W459" s="989"/>
      <c r="X459" s="989">
        <f t="shared" si="47"/>
        <v>0</v>
      </c>
      <c r="Y459" s="1012"/>
      <c r="Z459" s="941"/>
      <c r="AA459" s="941"/>
      <c r="AB459" s="941"/>
      <c r="AC459" s="941"/>
      <c r="AD459" s="941"/>
      <c r="AE459" s="941"/>
      <c r="AF459" s="941"/>
      <c r="AG459" s="941"/>
      <c r="AH459" s="941"/>
      <c r="AI459" s="941"/>
      <c r="AJ459" s="941"/>
      <c r="AK459" s="941"/>
      <c r="AL459" s="941"/>
      <c r="AM459" s="941"/>
    </row>
    <row r="460" spans="1:39" s="969" customFormat="1" ht="63" customHeight="1">
      <c r="A460" s="1006">
        <v>342</v>
      </c>
      <c r="B460" s="1007" t="s">
        <v>1848</v>
      </c>
      <c r="C460" s="1008"/>
      <c r="D460" s="1008" t="s">
        <v>3767</v>
      </c>
      <c r="E460" s="1007" t="s">
        <v>3108</v>
      </c>
      <c r="F460" s="1010" t="s">
        <v>558</v>
      </c>
      <c r="G460" s="989">
        <v>90400</v>
      </c>
      <c r="H460" s="937"/>
      <c r="I460" s="1046"/>
      <c r="J460" s="1046"/>
      <c r="K460" s="1047">
        <v>-19272</v>
      </c>
      <c r="L460" s="1046"/>
      <c r="M460" s="1094"/>
      <c r="N460" s="989">
        <f>90400+M460+K460</f>
        <v>71128</v>
      </c>
      <c r="O460" s="989">
        <v>71128</v>
      </c>
      <c r="P460" s="989">
        <v>0</v>
      </c>
      <c r="Q460" s="989">
        <f t="shared" si="48"/>
        <v>71128</v>
      </c>
      <c r="R460" s="989">
        <f t="shared" si="52"/>
        <v>100</v>
      </c>
      <c r="S460" s="1011">
        <v>0</v>
      </c>
      <c r="T460" s="989">
        <f t="shared" si="49"/>
        <v>0</v>
      </c>
      <c r="U460" s="989">
        <f t="shared" si="50"/>
        <v>71128</v>
      </c>
      <c r="V460" s="989">
        <f t="shared" si="51"/>
        <v>100</v>
      </c>
      <c r="W460" s="989"/>
      <c r="X460" s="989">
        <f t="shared" si="47"/>
        <v>0</v>
      </c>
      <c r="Y460" s="1012"/>
      <c r="Z460" s="941"/>
      <c r="AA460" s="941"/>
      <c r="AB460" s="941"/>
      <c r="AC460" s="941"/>
      <c r="AD460" s="941"/>
      <c r="AE460" s="941"/>
      <c r="AF460" s="941"/>
      <c r="AG460" s="941"/>
      <c r="AH460" s="941"/>
      <c r="AI460" s="941"/>
      <c r="AJ460" s="941"/>
      <c r="AK460" s="941"/>
      <c r="AL460" s="941"/>
      <c r="AM460" s="941"/>
    </row>
    <row r="461" spans="1:39" s="969" customFormat="1" ht="63" customHeight="1">
      <c r="A461" s="1006">
        <v>343</v>
      </c>
      <c r="B461" s="1007" t="s">
        <v>1849</v>
      </c>
      <c r="C461" s="1008"/>
      <c r="D461" s="1008" t="s">
        <v>3768</v>
      </c>
      <c r="E461" s="1007" t="s">
        <v>3109</v>
      </c>
      <c r="F461" s="1010" t="s">
        <v>558</v>
      </c>
      <c r="G461" s="989">
        <v>45200</v>
      </c>
      <c r="H461" s="937"/>
      <c r="I461" s="1046"/>
      <c r="J461" s="1046"/>
      <c r="K461" s="1047"/>
      <c r="L461" s="1046"/>
      <c r="M461" s="1094"/>
      <c r="N461" s="989">
        <v>45200</v>
      </c>
      <c r="O461" s="989">
        <v>45200</v>
      </c>
      <c r="P461" s="989"/>
      <c r="Q461" s="989">
        <f t="shared" si="48"/>
        <v>45200</v>
      </c>
      <c r="R461" s="989">
        <f t="shared" si="52"/>
        <v>100</v>
      </c>
      <c r="S461" s="1011"/>
      <c r="T461" s="989">
        <f t="shared" si="49"/>
        <v>0</v>
      </c>
      <c r="U461" s="989">
        <f t="shared" si="50"/>
        <v>45200</v>
      </c>
      <c r="V461" s="989">
        <f t="shared" si="51"/>
        <v>100</v>
      </c>
      <c r="W461" s="989"/>
      <c r="X461" s="989">
        <f t="shared" si="47"/>
        <v>0</v>
      </c>
      <c r="Y461" s="1012"/>
      <c r="Z461" s="941"/>
      <c r="AA461" s="941"/>
      <c r="AB461" s="941"/>
      <c r="AC461" s="941"/>
      <c r="AD461" s="941"/>
      <c r="AE461" s="941"/>
      <c r="AF461" s="941"/>
      <c r="AG461" s="941"/>
      <c r="AH461" s="941"/>
      <c r="AI461" s="941"/>
      <c r="AJ461" s="941"/>
      <c r="AK461" s="941"/>
      <c r="AL461" s="941"/>
      <c r="AM461" s="941"/>
    </row>
    <row r="462" spans="1:39" s="969" customFormat="1" ht="63" customHeight="1">
      <c r="A462" s="1006">
        <v>344</v>
      </c>
      <c r="B462" s="1007" t="s">
        <v>1850</v>
      </c>
      <c r="C462" s="1008"/>
      <c r="D462" s="1008" t="s">
        <v>3769</v>
      </c>
      <c r="E462" s="1007" t="s">
        <v>2969</v>
      </c>
      <c r="F462" s="1010" t="s">
        <v>565</v>
      </c>
      <c r="G462" s="989">
        <v>520000</v>
      </c>
      <c r="H462" s="937"/>
      <c r="I462" s="1046"/>
      <c r="J462" s="1046"/>
      <c r="K462" s="1047"/>
      <c r="L462" s="1046"/>
      <c r="M462" s="1094">
        <v>-19929.419999999998</v>
      </c>
      <c r="N462" s="989">
        <f>520000+M462</f>
        <v>500070.58</v>
      </c>
      <c r="O462" s="989">
        <v>0</v>
      </c>
      <c r="P462" s="989">
        <v>500070.58</v>
      </c>
      <c r="Q462" s="989">
        <f t="shared" si="48"/>
        <v>500070.58</v>
      </c>
      <c r="R462" s="989">
        <f t="shared" si="52"/>
        <v>100</v>
      </c>
      <c r="S462" s="1011">
        <v>0</v>
      </c>
      <c r="T462" s="989">
        <f t="shared" si="49"/>
        <v>0</v>
      </c>
      <c r="U462" s="989">
        <f t="shared" si="50"/>
        <v>500070.58</v>
      </c>
      <c r="V462" s="989">
        <f t="shared" si="51"/>
        <v>100</v>
      </c>
      <c r="W462" s="989"/>
      <c r="X462" s="989">
        <f t="shared" si="47"/>
        <v>0</v>
      </c>
      <c r="Y462" s="1012"/>
      <c r="Z462" s="941"/>
      <c r="AA462" s="941"/>
      <c r="AB462" s="941"/>
      <c r="AC462" s="941"/>
      <c r="AD462" s="941"/>
      <c r="AE462" s="941"/>
      <c r="AF462" s="941"/>
      <c r="AG462" s="941"/>
      <c r="AH462" s="941"/>
      <c r="AI462" s="941"/>
      <c r="AJ462" s="941"/>
      <c r="AK462" s="941"/>
      <c r="AL462" s="941"/>
      <c r="AM462" s="941"/>
    </row>
    <row r="463" spans="1:39" s="969" customFormat="1" ht="63" customHeight="1">
      <c r="A463" s="1006">
        <v>345</v>
      </c>
      <c r="B463" s="1007" t="s">
        <v>1851</v>
      </c>
      <c r="C463" s="1008"/>
      <c r="D463" s="1008" t="s">
        <v>3770</v>
      </c>
      <c r="E463" s="1007" t="s">
        <v>3110</v>
      </c>
      <c r="F463" s="1010" t="s">
        <v>558</v>
      </c>
      <c r="G463" s="989">
        <v>90400</v>
      </c>
      <c r="H463" s="937"/>
      <c r="I463" s="1046"/>
      <c r="J463" s="1046"/>
      <c r="K463" s="1047">
        <v>-10624.58</v>
      </c>
      <c r="L463" s="1046"/>
      <c r="M463" s="1094"/>
      <c r="N463" s="989">
        <f>90400+M463+K463</f>
        <v>79775.42</v>
      </c>
      <c r="O463" s="989">
        <v>79775.42</v>
      </c>
      <c r="P463" s="989">
        <v>0</v>
      </c>
      <c r="Q463" s="989">
        <f t="shared" si="48"/>
        <v>79775.42</v>
      </c>
      <c r="R463" s="989">
        <f t="shared" si="52"/>
        <v>100</v>
      </c>
      <c r="S463" s="1011">
        <v>0</v>
      </c>
      <c r="T463" s="989">
        <f t="shared" si="49"/>
        <v>0</v>
      </c>
      <c r="U463" s="989">
        <f t="shared" si="50"/>
        <v>79775.42</v>
      </c>
      <c r="V463" s="989">
        <f t="shared" si="51"/>
        <v>100</v>
      </c>
      <c r="W463" s="989"/>
      <c r="X463" s="989">
        <f t="shared" si="47"/>
        <v>0</v>
      </c>
      <c r="Y463" s="1012"/>
      <c r="Z463" s="941"/>
      <c r="AA463" s="941"/>
      <c r="AB463" s="941"/>
      <c r="AC463" s="941"/>
      <c r="AD463" s="941"/>
      <c r="AE463" s="941"/>
      <c r="AF463" s="941"/>
      <c r="AG463" s="941"/>
      <c r="AH463" s="941"/>
      <c r="AI463" s="941"/>
      <c r="AJ463" s="941"/>
      <c r="AK463" s="941"/>
      <c r="AL463" s="941"/>
      <c r="AM463" s="941"/>
    </row>
    <row r="464" spans="1:39" s="969" customFormat="1" ht="63" customHeight="1">
      <c r="A464" s="1006">
        <v>346</v>
      </c>
      <c r="B464" s="1007" t="s">
        <v>1852</v>
      </c>
      <c r="C464" s="1008"/>
      <c r="D464" s="1008" t="s">
        <v>3771</v>
      </c>
      <c r="E464" s="1007" t="s">
        <v>2970</v>
      </c>
      <c r="F464" s="1010" t="s">
        <v>565</v>
      </c>
      <c r="G464" s="989">
        <v>520000</v>
      </c>
      <c r="H464" s="937"/>
      <c r="I464" s="1046"/>
      <c r="J464" s="1046"/>
      <c r="K464" s="1047"/>
      <c r="L464" s="1046"/>
      <c r="M464" s="1094"/>
      <c r="N464" s="989">
        <v>520000</v>
      </c>
      <c r="O464" s="989">
        <v>0</v>
      </c>
      <c r="P464" s="989">
        <v>520000</v>
      </c>
      <c r="Q464" s="989">
        <f t="shared" si="48"/>
        <v>520000</v>
      </c>
      <c r="R464" s="989">
        <f t="shared" si="52"/>
        <v>100</v>
      </c>
      <c r="S464" s="1011">
        <v>0</v>
      </c>
      <c r="T464" s="989">
        <f t="shared" si="49"/>
        <v>0</v>
      </c>
      <c r="U464" s="989">
        <f t="shared" si="50"/>
        <v>520000</v>
      </c>
      <c r="V464" s="989">
        <f t="shared" si="51"/>
        <v>100</v>
      </c>
      <c r="W464" s="989"/>
      <c r="X464" s="989">
        <f t="shared" si="47"/>
        <v>0</v>
      </c>
      <c r="Y464" s="1012"/>
      <c r="Z464" s="941"/>
      <c r="AA464" s="941"/>
      <c r="AB464" s="941"/>
      <c r="AC464" s="941"/>
      <c r="AD464" s="941"/>
      <c r="AE464" s="941"/>
      <c r="AF464" s="941"/>
      <c r="AG464" s="941"/>
      <c r="AH464" s="941"/>
      <c r="AI464" s="941"/>
      <c r="AJ464" s="941"/>
      <c r="AK464" s="941"/>
      <c r="AL464" s="941"/>
      <c r="AM464" s="941"/>
    </row>
    <row r="465" spans="1:25" ht="63" customHeight="1">
      <c r="A465" s="1006">
        <v>347</v>
      </c>
      <c r="B465" s="1007" t="s">
        <v>1853</v>
      </c>
      <c r="C465" s="1008"/>
      <c r="D465" s="1008" t="s">
        <v>3772</v>
      </c>
      <c r="E465" s="1007" t="s">
        <v>3111</v>
      </c>
      <c r="F465" s="1010" t="s">
        <v>558</v>
      </c>
      <c r="G465" s="989">
        <v>45200</v>
      </c>
      <c r="H465" s="937"/>
      <c r="I465" s="1046"/>
      <c r="J465" s="1046"/>
      <c r="K465" s="1047">
        <v>-13115.66</v>
      </c>
      <c r="L465" s="1046"/>
      <c r="M465" s="1094"/>
      <c r="N465" s="989">
        <f>45200+M465+K465</f>
        <v>32084.34</v>
      </c>
      <c r="O465" s="989">
        <v>32084.34</v>
      </c>
      <c r="P465" s="989">
        <v>0</v>
      </c>
      <c r="Q465" s="989">
        <f t="shared" si="48"/>
        <v>32084.34</v>
      </c>
      <c r="R465" s="989">
        <f t="shared" si="52"/>
        <v>100</v>
      </c>
      <c r="S465" s="1011">
        <v>0</v>
      </c>
      <c r="T465" s="989">
        <f t="shared" si="49"/>
        <v>0</v>
      </c>
      <c r="U465" s="989">
        <f t="shared" si="50"/>
        <v>32084.34</v>
      </c>
      <c r="V465" s="989">
        <f t="shared" si="51"/>
        <v>100</v>
      </c>
      <c r="W465" s="989"/>
      <c r="X465" s="989">
        <f t="shared" si="47"/>
        <v>0</v>
      </c>
      <c r="Y465" s="1012"/>
    </row>
    <row r="466" spans="1:25" ht="63" customHeight="1">
      <c r="A466" s="1006">
        <v>348</v>
      </c>
      <c r="B466" s="1007" t="s">
        <v>1854</v>
      </c>
      <c r="C466" s="1008"/>
      <c r="D466" s="1008" t="s">
        <v>3773</v>
      </c>
      <c r="E466" s="1007" t="s">
        <v>2971</v>
      </c>
      <c r="F466" s="1010" t="s">
        <v>565</v>
      </c>
      <c r="G466" s="989">
        <f>416000</f>
        <v>416000</v>
      </c>
      <c r="H466" s="937"/>
      <c r="I466" s="1046"/>
      <c r="J466" s="1046"/>
      <c r="K466" s="1047">
        <f>-31331.25-11215.81</f>
        <v>-42547.06</v>
      </c>
      <c r="L466" s="1046"/>
      <c r="M466" s="1094">
        <v>-3159.94</v>
      </c>
      <c r="N466" s="989">
        <f>G466+M466+K466</f>
        <v>370293</v>
      </c>
      <c r="O466" s="989">
        <v>0</v>
      </c>
      <c r="P466" s="989">
        <v>370293</v>
      </c>
      <c r="Q466" s="989">
        <f t="shared" si="48"/>
        <v>370293</v>
      </c>
      <c r="R466" s="989">
        <f t="shared" si="52"/>
        <v>100</v>
      </c>
      <c r="S466" s="1011">
        <v>0</v>
      </c>
      <c r="T466" s="989">
        <f t="shared" si="49"/>
        <v>0</v>
      </c>
      <c r="U466" s="989">
        <f t="shared" si="50"/>
        <v>370293</v>
      </c>
      <c r="V466" s="989">
        <f t="shared" si="51"/>
        <v>100</v>
      </c>
      <c r="W466" s="989"/>
      <c r="X466" s="989">
        <f t="shared" si="47"/>
        <v>0</v>
      </c>
      <c r="Y466" s="1012"/>
    </row>
    <row r="467" spans="1:25" ht="63" customHeight="1">
      <c r="A467" s="1006">
        <v>349</v>
      </c>
      <c r="B467" s="1007" t="s">
        <v>1855</v>
      </c>
      <c r="C467" s="1008"/>
      <c r="D467" s="1008" t="s">
        <v>3774</v>
      </c>
      <c r="E467" s="1007" t="s">
        <v>2972</v>
      </c>
      <c r="F467" s="1010" t="s">
        <v>565</v>
      </c>
      <c r="G467" s="989">
        <f>832000-92234.94</f>
        <v>739765.06</v>
      </c>
      <c r="H467" s="937"/>
      <c r="I467" s="1046"/>
      <c r="J467" s="1046"/>
      <c r="K467" s="1047"/>
      <c r="L467" s="1046"/>
      <c r="M467" s="1094">
        <f>-92234.94+92234.94</f>
        <v>0</v>
      </c>
      <c r="N467" s="989">
        <f>G467+M467</f>
        <v>739765.06</v>
      </c>
      <c r="O467" s="989">
        <v>0</v>
      </c>
      <c r="P467" s="989">
        <v>739765.06</v>
      </c>
      <c r="Q467" s="989">
        <f t="shared" si="48"/>
        <v>739765.06</v>
      </c>
      <c r="R467" s="989">
        <f t="shared" si="52"/>
        <v>100</v>
      </c>
      <c r="S467" s="1011">
        <v>0</v>
      </c>
      <c r="T467" s="989">
        <f t="shared" si="49"/>
        <v>0</v>
      </c>
      <c r="U467" s="989">
        <f t="shared" si="50"/>
        <v>739765.06</v>
      </c>
      <c r="V467" s="989">
        <f t="shared" si="51"/>
        <v>100</v>
      </c>
      <c r="W467" s="989"/>
      <c r="X467" s="989">
        <f t="shared" si="47"/>
        <v>0</v>
      </c>
      <c r="Y467" s="1012"/>
    </row>
    <row r="468" spans="1:25" ht="63" customHeight="1">
      <c r="A468" s="1006">
        <v>350</v>
      </c>
      <c r="B468" s="1007" t="s">
        <v>1856</v>
      </c>
      <c r="C468" s="1008"/>
      <c r="D468" s="1008" t="s">
        <v>3775</v>
      </c>
      <c r="E468" s="1007" t="s">
        <v>3112</v>
      </c>
      <c r="F468" s="1010" t="s">
        <v>558</v>
      </c>
      <c r="G468" s="989">
        <f>90400-30711</f>
        <v>59689</v>
      </c>
      <c r="H468" s="937"/>
      <c r="I468" s="1046"/>
      <c r="J468" s="1046"/>
      <c r="K468" s="1047"/>
      <c r="L468" s="1046"/>
      <c r="M468" s="1094">
        <f>-30711+30711</f>
        <v>0</v>
      </c>
      <c r="N468" s="989">
        <f>G468+M468</f>
        <v>59689</v>
      </c>
      <c r="O468" s="989">
        <v>59689</v>
      </c>
      <c r="P468" s="989">
        <v>0</v>
      </c>
      <c r="Q468" s="989">
        <f t="shared" si="48"/>
        <v>59689</v>
      </c>
      <c r="R468" s="989">
        <f t="shared" si="52"/>
        <v>100</v>
      </c>
      <c r="S468" s="1011">
        <v>0</v>
      </c>
      <c r="T468" s="989">
        <f t="shared" si="49"/>
        <v>0</v>
      </c>
      <c r="U468" s="989">
        <f t="shared" si="50"/>
        <v>59689</v>
      </c>
      <c r="V468" s="989">
        <f t="shared" si="51"/>
        <v>100</v>
      </c>
      <c r="W468" s="989"/>
      <c r="X468" s="989">
        <f t="shared" si="47"/>
        <v>0</v>
      </c>
      <c r="Y468" s="1012"/>
    </row>
    <row r="469" spans="1:25" ht="63" customHeight="1">
      <c r="A469" s="1006">
        <v>351</v>
      </c>
      <c r="B469" s="1007" t="s">
        <v>1857</v>
      </c>
      <c r="C469" s="1008"/>
      <c r="D469" s="1008" t="s">
        <v>3776</v>
      </c>
      <c r="E469" s="1007" t="s">
        <v>2973</v>
      </c>
      <c r="F469" s="1010" t="s">
        <v>565</v>
      </c>
      <c r="G469" s="989">
        <v>312000</v>
      </c>
      <c r="H469" s="937"/>
      <c r="I469" s="1046"/>
      <c r="J469" s="1046"/>
      <c r="K469" s="1047"/>
      <c r="L469" s="1046"/>
      <c r="M469" s="1094">
        <v>-4409.6400000000003</v>
      </c>
      <c r="N469" s="989">
        <f>312000+M469</f>
        <v>307590.36</v>
      </c>
      <c r="O469" s="989">
        <v>0</v>
      </c>
      <c r="P469" s="989">
        <v>307590.36</v>
      </c>
      <c r="Q469" s="989">
        <f t="shared" si="48"/>
        <v>307590.36</v>
      </c>
      <c r="R469" s="989">
        <f t="shared" si="52"/>
        <v>100</v>
      </c>
      <c r="S469" s="1011">
        <v>0</v>
      </c>
      <c r="T469" s="989">
        <f t="shared" si="49"/>
        <v>0</v>
      </c>
      <c r="U469" s="989">
        <f t="shared" si="50"/>
        <v>307590.36</v>
      </c>
      <c r="V469" s="989">
        <f t="shared" si="51"/>
        <v>100</v>
      </c>
      <c r="W469" s="989"/>
      <c r="X469" s="989">
        <f t="shared" si="47"/>
        <v>0</v>
      </c>
      <c r="Y469" s="1012"/>
    </row>
    <row r="470" spans="1:25" ht="63" customHeight="1">
      <c r="A470" s="1006">
        <v>352</v>
      </c>
      <c r="B470" s="1007" t="s">
        <v>4490</v>
      </c>
      <c r="C470" s="1008"/>
      <c r="D470" s="1008" t="s">
        <v>4491</v>
      </c>
      <c r="E470" s="1007" t="s">
        <v>4422</v>
      </c>
      <c r="F470" s="1010" t="s">
        <v>558</v>
      </c>
      <c r="G470" s="989">
        <v>0</v>
      </c>
      <c r="H470" s="937"/>
      <c r="I470" s="1046"/>
      <c r="J470" s="1046"/>
      <c r="K470" s="1047"/>
      <c r="L470" s="1046"/>
      <c r="M470" s="1094"/>
      <c r="N470" s="989">
        <v>0</v>
      </c>
      <c r="O470" s="989">
        <v>0</v>
      </c>
      <c r="P470" s="989"/>
      <c r="Q470" s="989">
        <f t="shared" si="48"/>
        <v>0</v>
      </c>
      <c r="R470" s="989" t="e">
        <f t="shared" si="52"/>
        <v>#DIV/0!</v>
      </c>
      <c r="S470" s="1011"/>
      <c r="T470" s="989"/>
      <c r="U470" s="989">
        <f t="shared" si="50"/>
        <v>0</v>
      </c>
      <c r="V470" s="989"/>
      <c r="W470" s="989"/>
      <c r="X470" s="989">
        <f t="shared" si="47"/>
        <v>0</v>
      </c>
      <c r="Y470" s="1012"/>
    </row>
    <row r="471" spans="1:25" ht="63" customHeight="1">
      <c r="A471" s="1006">
        <v>353</v>
      </c>
      <c r="B471" s="1007" t="s">
        <v>1858</v>
      </c>
      <c r="C471" s="1008"/>
      <c r="D471" s="1008" t="s">
        <v>3777</v>
      </c>
      <c r="E471" s="1007" t="s">
        <v>1859</v>
      </c>
      <c r="F471" s="1010" t="s">
        <v>558</v>
      </c>
      <c r="G471" s="989">
        <v>45200</v>
      </c>
      <c r="H471" s="937"/>
      <c r="I471" s="1046"/>
      <c r="J471" s="1046"/>
      <c r="K471" s="1047"/>
      <c r="L471" s="1046"/>
      <c r="M471" s="1094"/>
      <c r="N471" s="989">
        <v>45200</v>
      </c>
      <c r="O471" s="989">
        <v>45200</v>
      </c>
      <c r="P471" s="989"/>
      <c r="Q471" s="989">
        <f t="shared" si="48"/>
        <v>45200</v>
      </c>
      <c r="R471" s="989">
        <f t="shared" si="52"/>
        <v>100</v>
      </c>
      <c r="S471" s="1011"/>
      <c r="T471" s="989">
        <f t="shared" si="49"/>
        <v>0</v>
      </c>
      <c r="U471" s="989">
        <f t="shared" si="50"/>
        <v>45200</v>
      </c>
      <c r="V471" s="989">
        <f t="shared" si="51"/>
        <v>100</v>
      </c>
      <c r="W471" s="989"/>
      <c r="X471" s="989">
        <f t="shared" si="47"/>
        <v>0</v>
      </c>
      <c r="Y471" s="1012"/>
    </row>
    <row r="472" spans="1:25" ht="63" customHeight="1">
      <c r="A472" s="1006">
        <v>354</v>
      </c>
      <c r="B472" s="1007" t="s">
        <v>1860</v>
      </c>
      <c r="C472" s="1008"/>
      <c r="D472" s="1008" t="s">
        <v>3778</v>
      </c>
      <c r="E472" s="1007" t="s">
        <v>2974</v>
      </c>
      <c r="F472" s="1010" t="s">
        <v>565</v>
      </c>
      <c r="G472" s="989">
        <v>728000</v>
      </c>
      <c r="H472" s="937"/>
      <c r="I472" s="1046"/>
      <c r="J472" s="1046"/>
      <c r="K472" s="1047"/>
      <c r="L472" s="1046"/>
      <c r="M472" s="1094"/>
      <c r="N472" s="989">
        <v>728000</v>
      </c>
      <c r="O472" s="989">
        <v>0</v>
      </c>
      <c r="P472" s="989">
        <v>728000</v>
      </c>
      <c r="Q472" s="989">
        <f t="shared" si="48"/>
        <v>728000</v>
      </c>
      <c r="R472" s="989">
        <f t="shared" si="52"/>
        <v>100</v>
      </c>
      <c r="S472" s="1011">
        <v>0</v>
      </c>
      <c r="T472" s="989">
        <f t="shared" si="49"/>
        <v>0</v>
      </c>
      <c r="U472" s="989">
        <f t="shared" si="50"/>
        <v>728000</v>
      </c>
      <c r="V472" s="989">
        <f t="shared" si="51"/>
        <v>100</v>
      </c>
      <c r="W472" s="989"/>
      <c r="X472" s="989">
        <f t="shared" si="47"/>
        <v>0</v>
      </c>
      <c r="Y472" s="1012"/>
    </row>
    <row r="473" spans="1:25" ht="63" customHeight="1">
      <c r="A473" s="1006">
        <v>355</v>
      </c>
      <c r="B473" s="1007" t="s">
        <v>1861</v>
      </c>
      <c r="C473" s="1008"/>
      <c r="D473" s="1008" t="s">
        <v>3779</v>
      </c>
      <c r="E473" s="1007" t="s">
        <v>1862</v>
      </c>
      <c r="F473" s="1010" t="s">
        <v>558</v>
      </c>
      <c r="G473" s="989">
        <f>361600-112418.57</f>
        <v>249181.43</v>
      </c>
      <c r="H473" s="937"/>
      <c r="I473" s="1046"/>
      <c r="J473" s="1046"/>
      <c r="K473" s="1047"/>
      <c r="L473" s="1046"/>
      <c r="M473" s="1094">
        <f>-112418.57+112418.57</f>
        <v>0</v>
      </c>
      <c r="N473" s="989">
        <f>G473+M473</f>
        <v>249181.43</v>
      </c>
      <c r="O473" s="989">
        <v>249181.43</v>
      </c>
      <c r="P473" s="989">
        <v>0</v>
      </c>
      <c r="Q473" s="989">
        <f t="shared" si="48"/>
        <v>249181.43</v>
      </c>
      <c r="R473" s="989">
        <f t="shared" si="52"/>
        <v>100</v>
      </c>
      <c r="S473" s="1011">
        <v>0</v>
      </c>
      <c r="T473" s="989">
        <f t="shared" si="49"/>
        <v>0</v>
      </c>
      <c r="U473" s="989">
        <f t="shared" si="50"/>
        <v>249181.43</v>
      </c>
      <c r="V473" s="989">
        <f t="shared" si="51"/>
        <v>100</v>
      </c>
      <c r="W473" s="989"/>
      <c r="X473" s="989">
        <f t="shared" si="47"/>
        <v>0</v>
      </c>
      <c r="Y473" s="1012"/>
    </row>
    <row r="474" spans="1:25" ht="63" customHeight="1">
      <c r="A474" s="1006">
        <v>356</v>
      </c>
      <c r="B474" s="1007" t="s">
        <v>1863</v>
      </c>
      <c r="C474" s="1008"/>
      <c r="D474" s="1008" t="s">
        <v>3780</v>
      </c>
      <c r="E474" s="1007" t="s">
        <v>1864</v>
      </c>
      <c r="F474" s="1010" t="s">
        <v>558</v>
      </c>
      <c r="G474" s="989">
        <v>45200</v>
      </c>
      <c r="H474" s="937"/>
      <c r="I474" s="1046"/>
      <c r="J474" s="1046"/>
      <c r="K474" s="1047"/>
      <c r="L474" s="1046"/>
      <c r="M474" s="1094"/>
      <c r="N474" s="989">
        <v>45200</v>
      </c>
      <c r="O474" s="989">
        <v>45200</v>
      </c>
      <c r="P474" s="989"/>
      <c r="Q474" s="989">
        <f t="shared" si="48"/>
        <v>45200</v>
      </c>
      <c r="R474" s="989">
        <f t="shared" si="52"/>
        <v>100</v>
      </c>
      <c r="S474" s="1011"/>
      <c r="T474" s="989">
        <f t="shared" si="49"/>
        <v>0</v>
      </c>
      <c r="U474" s="989">
        <f t="shared" si="50"/>
        <v>45200</v>
      </c>
      <c r="V474" s="989">
        <f t="shared" si="51"/>
        <v>100</v>
      </c>
      <c r="W474" s="989"/>
      <c r="X474" s="989">
        <f t="shared" si="47"/>
        <v>0</v>
      </c>
      <c r="Y474" s="1012"/>
    </row>
    <row r="475" spans="1:25" ht="63" customHeight="1">
      <c r="A475" s="1006">
        <v>357</v>
      </c>
      <c r="B475" s="1007" t="s">
        <v>1865</v>
      </c>
      <c r="C475" s="1008"/>
      <c r="D475" s="1008" t="s">
        <v>3781</v>
      </c>
      <c r="E475" s="1007" t="s">
        <v>1866</v>
      </c>
      <c r="F475" s="1010" t="s">
        <v>558</v>
      </c>
      <c r="G475" s="989">
        <f>135600-27176.52</f>
        <v>108423.48</v>
      </c>
      <c r="H475" s="937"/>
      <c r="I475" s="1046"/>
      <c r="J475" s="1046"/>
      <c r="K475" s="1047"/>
      <c r="L475" s="1046"/>
      <c r="M475" s="1094">
        <f>-27176.52+27176.52</f>
        <v>0</v>
      </c>
      <c r="N475" s="989">
        <f>G475+M475</f>
        <v>108423.48</v>
      </c>
      <c r="O475" s="989">
        <v>108423.48</v>
      </c>
      <c r="P475" s="989">
        <v>0</v>
      </c>
      <c r="Q475" s="989">
        <f t="shared" si="48"/>
        <v>108423.48</v>
      </c>
      <c r="R475" s="989">
        <f t="shared" si="52"/>
        <v>100</v>
      </c>
      <c r="S475" s="1011">
        <v>0</v>
      </c>
      <c r="T475" s="989">
        <f t="shared" si="49"/>
        <v>0</v>
      </c>
      <c r="U475" s="989">
        <f t="shared" si="50"/>
        <v>108423.48</v>
      </c>
      <c r="V475" s="989">
        <f t="shared" si="51"/>
        <v>100</v>
      </c>
      <c r="W475" s="989"/>
      <c r="X475" s="989">
        <f t="shared" si="47"/>
        <v>0</v>
      </c>
      <c r="Y475" s="1012"/>
    </row>
    <row r="476" spans="1:25" ht="63" customHeight="1">
      <c r="A476" s="1006">
        <v>358</v>
      </c>
      <c r="B476" s="1007" t="s">
        <v>1867</v>
      </c>
      <c r="C476" s="1008"/>
      <c r="D476" s="1008" t="s">
        <v>3782</v>
      </c>
      <c r="E476" s="1007" t="s">
        <v>1868</v>
      </c>
      <c r="F476" s="1010" t="s">
        <v>558</v>
      </c>
      <c r="G476" s="989">
        <f>45200-7843.56</f>
        <v>37356.44</v>
      </c>
      <c r="H476" s="937"/>
      <c r="I476" s="1046"/>
      <c r="J476" s="1046"/>
      <c r="K476" s="1047"/>
      <c r="L476" s="1046"/>
      <c r="M476" s="1094">
        <f>-7843.56+7843.56</f>
        <v>0</v>
      </c>
      <c r="N476" s="989">
        <f>G476+M476</f>
        <v>37356.44</v>
      </c>
      <c r="O476" s="989">
        <v>37356.44</v>
      </c>
      <c r="P476" s="989">
        <v>0</v>
      </c>
      <c r="Q476" s="989">
        <f t="shared" si="48"/>
        <v>37356.44</v>
      </c>
      <c r="R476" s="989">
        <f t="shared" si="52"/>
        <v>100</v>
      </c>
      <c r="S476" s="1011">
        <v>0</v>
      </c>
      <c r="T476" s="989">
        <f t="shared" si="49"/>
        <v>0</v>
      </c>
      <c r="U476" s="989">
        <f t="shared" si="50"/>
        <v>37356.44</v>
      </c>
      <c r="V476" s="989">
        <f t="shared" si="51"/>
        <v>100</v>
      </c>
      <c r="W476" s="989"/>
      <c r="X476" s="989">
        <f t="shared" si="47"/>
        <v>0</v>
      </c>
      <c r="Y476" s="1012"/>
    </row>
    <row r="477" spans="1:25" ht="63" customHeight="1">
      <c r="A477" s="1006">
        <v>359</v>
      </c>
      <c r="B477" s="1007" t="s">
        <v>1869</v>
      </c>
      <c r="C477" s="1008"/>
      <c r="D477" s="1008" t="s">
        <v>3783</v>
      </c>
      <c r="E477" s="1007" t="s">
        <v>3113</v>
      </c>
      <c r="F477" s="1010" t="s">
        <v>558</v>
      </c>
      <c r="G477" s="989">
        <v>45200</v>
      </c>
      <c r="H477" s="937"/>
      <c r="I477" s="1046"/>
      <c r="J477" s="1046"/>
      <c r="K477" s="1047"/>
      <c r="L477" s="1046"/>
      <c r="M477" s="1094"/>
      <c r="N477" s="989">
        <v>45200</v>
      </c>
      <c r="O477" s="989">
        <v>45200</v>
      </c>
      <c r="P477" s="989"/>
      <c r="Q477" s="989">
        <f t="shared" si="48"/>
        <v>45200</v>
      </c>
      <c r="R477" s="989">
        <f t="shared" si="52"/>
        <v>100</v>
      </c>
      <c r="S477" s="1011"/>
      <c r="T477" s="989">
        <f t="shared" si="49"/>
        <v>0</v>
      </c>
      <c r="U477" s="989">
        <f t="shared" si="50"/>
        <v>45200</v>
      </c>
      <c r="V477" s="989">
        <f t="shared" si="51"/>
        <v>100</v>
      </c>
      <c r="W477" s="989"/>
      <c r="X477" s="989">
        <f t="shared" si="47"/>
        <v>0</v>
      </c>
      <c r="Y477" s="1012"/>
    </row>
    <row r="478" spans="1:25" ht="63" customHeight="1">
      <c r="A478" s="1006">
        <v>360</v>
      </c>
      <c r="B478" s="1007" t="s">
        <v>1870</v>
      </c>
      <c r="C478" s="1008"/>
      <c r="D478" s="1008" t="s">
        <v>3784</v>
      </c>
      <c r="E478" s="1007" t="s">
        <v>2975</v>
      </c>
      <c r="F478" s="1010" t="s">
        <v>565</v>
      </c>
      <c r="G478" s="989">
        <v>208000</v>
      </c>
      <c r="H478" s="937"/>
      <c r="I478" s="1046"/>
      <c r="J478" s="1046"/>
      <c r="K478" s="1047"/>
      <c r="L478" s="1046"/>
      <c r="M478" s="1094"/>
      <c r="N478" s="989">
        <v>208000</v>
      </c>
      <c r="O478" s="989">
        <v>0</v>
      </c>
      <c r="P478" s="989">
        <v>208000</v>
      </c>
      <c r="Q478" s="989">
        <f t="shared" si="48"/>
        <v>208000</v>
      </c>
      <c r="R478" s="989">
        <f t="shared" si="52"/>
        <v>100</v>
      </c>
      <c r="S478" s="1011">
        <v>0</v>
      </c>
      <c r="T478" s="989">
        <f t="shared" si="49"/>
        <v>0</v>
      </c>
      <c r="U478" s="989">
        <f t="shared" si="50"/>
        <v>208000</v>
      </c>
      <c r="V478" s="989">
        <f t="shared" si="51"/>
        <v>100</v>
      </c>
      <c r="W478" s="989"/>
      <c r="X478" s="989">
        <f t="shared" si="47"/>
        <v>0</v>
      </c>
      <c r="Y478" s="1012"/>
    </row>
    <row r="479" spans="1:25" ht="63" customHeight="1">
      <c r="A479" s="1006">
        <v>361</v>
      </c>
      <c r="B479" s="1007" t="s">
        <v>1871</v>
      </c>
      <c r="C479" s="1008"/>
      <c r="D479" s="1008" t="s">
        <v>3785</v>
      </c>
      <c r="E479" s="1007" t="s">
        <v>2976</v>
      </c>
      <c r="F479" s="1010" t="s">
        <v>565</v>
      </c>
      <c r="G479" s="989">
        <v>208000</v>
      </c>
      <c r="H479" s="937"/>
      <c r="I479" s="1046"/>
      <c r="J479" s="1046"/>
      <c r="K479" s="1047"/>
      <c r="L479" s="1046"/>
      <c r="M479" s="1094"/>
      <c r="N479" s="989">
        <v>208000</v>
      </c>
      <c r="O479" s="989">
        <v>208000</v>
      </c>
      <c r="P479" s="989"/>
      <c r="Q479" s="989">
        <f t="shared" si="48"/>
        <v>208000</v>
      </c>
      <c r="R479" s="989">
        <f t="shared" si="52"/>
        <v>100</v>
      </c>
      <c r="S479" s="1011"/>
      <c r="T479" s="989">
        <f t="shared" si="49"/>
        <v>0</v>
      </c>
      <c r="U479" s="989">
        <f t="shared" si="50"/>
        <v>208000</v>
      </c>
      <c r="V479" s="989">
        <f t="shared" si="51"/>
        <v>100</v>
      </c>
      <c r="W479" s="989"/>
      <c r="X479" s="989">
        <f t="shared" si="47"/>
        <v>0</v>
      </c>
      <c r="Y479" s="1012"/>
    </row>
    <row r="480" spans="1:25" ht="63" customHeight="1">
      <c r="A480" s="1006">
        <v>362</v>
      </c>
      <c r="B480" s="1007" t="s">
        <v>1872</v>
      </c>
      <c r="C480" s="1008"/>
      <c r="D480" s="1008" t="s">
        <v>3786</v>
      </c>
      <c r="E480" s="1007" t="s">
        <v>1873</v>
      </c>
      <c r="F480" s="1010" t="s">
        <v>579</v>
      </c>
      <c r="G480" s="989">
        <f>45200-10790</f>
        <v>34410</v>
      </c>
      <c r="H480" s="937"/>
      <c r="I480" s="1046"/>
      <c r="J480" s="1046"/>
      <c r="K480" s="1047"/>
      <c r="L480" s="1046"/>
      <c r="M480" s="1094">
        <f>-10790+10790</f>
        <v>0</v>
      </c>
      <c r="N480" s="989">
        <f>G480+M480</f>
        <v>34410</v>
      </c>
      <c r="O480" s="989">
        <v>34410</v>
      </c>
      <c r="P480" s="989">
        <v>0</v>
      </c>
      <c r="Q480" s="989">
        <f t="shared" si="48"/>
        <v>34410</v>
      </c>
      <c r="R480" s="989">
        <f t="shared" si="52"/>
        <v>100</v>
      </c>
      <c r="S480" s="1011">
        <v>0</v>
      </c>
      <c r="T480" s="989">
        <f t="shared" si="49"/>
        <v>0</v>
      </c>
      <c r="U480" s="989">
        <f t="shared" si="50"/>
        <v>34410</v>
      </c>
      <c r="V480" s="989">
        <f t="shared" si="51"/>
        <v>100</v>
      </c>
      <c r="W480" s="989"/>
      <c r="X480" s="989">
        <f t="shared" si="47"/>
        <v>0</v>
      </c>
      <c r="Y480" s="1012"/>
    </row>
    <row r="481" spans="1:25" ht="63" customHeight="1">
      <c r="A481" s="1006">
        <v>363</v>
      </c>
      <c r="B481" s="1007" t="s">
        <v>1874</v>
      </c>
      <c r="C481" s="1008"/>
      <c r="D481" s="1008" t="s">
        <v>3787</v>
      </c>
      <c r="E481" s="1007" t="s">
        <v>3263</v>
      </c>
      <c r="F481" s="1010" t="s">
        <v>543</v>
      </c>
      <c r="G481" s="989">
        <v>45200</v>
      </c>
      <c r="H481" s="937"/>
      <c r="I481" s="1046"/>
      <c r="J481" s="1046"/>
      <c r="K481" s="1047"/>
      <c r="L481" s="1046"/>
      <c r="M481" s="1094"/>
      <c r="N481" s="989">
        <v>45200</v>
      </c>
      <c r="O481" s="989">
        <v>0</v>
      </c>
      <c r="P481" s="989">
        <v>45200</v>
      </c>
      <c r="Q481" s="989">
        <f t="shared" si="48"/>
        <v>45200</v>
      </c>
      <c r="R481" s="989">
        <f t="shared" si="52"/>
        <v>100</v>
      </c>
      <c r="S481" s="1011">
        <v>0</v>
      </c>
      <c r="T481" s="989">
        <f t="shared" si="49"/>
        <v>0</v>
      </c>
      <c r="U481" s="989">
        <f t="shared" si="50"/>
        <v>45200</v>
      </c>
      <c r="V481" s="989">
        <f t="shared" si="51"/>
        <v>100</v>
      </c>
      <c r="W481" s="989"/>
      <c r="X481" s="989">
        <f t="shared" si="47"/>
        <v>0</v>
      </c>
      <c r="Y481" s="1012"/>
    </row>
    <row r="482" spans="1:25" ht="63" customHeight="1">
      <c r="A482" s="1006">
        <v>364</v>
      </c>
      <c r="B482" s="1007" t="s">
        <v>1875</v>
      </c>
      <c r="C482" s="1008"/>
      <c r="D482" s="1008" t="s">
        <v>3788</v>
      </c>
      <c r="E482" s="1007" t="s">
        <v>1876</v>
      </c>
      <c r="F482" s="1010" t="s">
        <v>347</v>
      </c>
      <c r="G482" s="989">
        <f>208000-9825.59</f>
        <v>198174.41</v>
      </c>
      <c r="H482" s="937"/>
      <c r="I482" s="1046"/>
      <c r="J482" s="1046"/>
      <c r="K482" s="1047"/>
      <c r="L482" s="1046"/>
      <c r="M482" s="1094">
        <f>-9825.59+9825.59</f>
        <v>0</v>
      </c>
      <c r="N482" s="989">
        <f>G482+M482</f>
        <v>198174.41</v>
      </c>
      <c r="O482" s="989">
        <v>0</v>
      </c>
      <c r="P482" s="989">
        <v>198174.41</v>
      </c>
      <c r="Q482" s="989">
        <f t="shared" si="48"/>
        <v>198174.41</v>
      </c>
      <c r="R482" s="989">
        <f t="shared" si="52"/>
        <v>100</v>
      </c>
      <c r="S482" s="1011">
        <v>0</v>
      </c>
      <c r="T482" s="989">
        <f t="shared" si="49"/>
        <v>0</v>
      </c>
      <c r="U482" s="989">
        <f t="shared" si="50"/>
        <v>198174.41</v>
      </c>
      <c r="V482" s="989">
        <f t="shared" si="51"/>
        <v>100</v>
      </c>
      <c r="W482" s="989"/>
      <c r="X482" s="989">
        <f t="shared" si="47"/>
        <v>0</v>
      </c>
      <c r="Y482" s="1012"/>
    </row>
    <row r="483" spans="1:25" ht="63" customHeight="1">
      <c r="A483" s="1006">
        <v>365</v>
      </c>
      <c r="B483" s="1007" t="s">
        <v>4492</v>
      </c>
      <c r="C483" s="1008"/>
      <c r="D483" s="1008" t="s">
        <v>4493</v>
      </c>
      <c r="E483" s="1007" t="s">
        <v>4423</v>
      </c>
      <c r="F483" s="1010" t="s">
        <v>543</v>
      </c>
      <c r="G483" s="989">
        <v>0</v>
      </c>
      <c r="H483" s="937"/>
      <c r="I483" s="1046"/>
      <c r="J483" s="1046"/>
      <c r="K483" s="1047"/>
      <c r="L483" s="1046"/>
      <c r="M483" s="1094"/>
      <c r="N483" s="989">
        <v>0</v>
      </c>
      <c r="O483" s="989">
        <v>0</v>
      </c>
      <c r="P483" s="989"/>
      <c r="Q483" s="989">
        <f t="shared" si="48"/>
        <v>0</v>
      </c>
      <c r="R483" s="989" t="e">
        <f t="shared" si="52"/>
        <v>#DIV/0!</v>
      </c>
      <c r="S483" s="1011"/>
      <c r="T483" s="989"/>
      <c r="U483" s="989">
        <f t="shared" si="50"/>
        <v>0</v>
      </c>
      <c r="V483" s="989"/>
      <c r="W483" s="989"/>
      <c r="X483" s="989">
        <f t="shared" si="47"/>
        <v>0</v>
      </c>
      <c r="Y483" s="1012"/>
    </row>
    <row r="484" spans="1:25" ht="63" customHeight="1">
      <c r="A484" s="1006">
        <v>366</v>
      </c>
      <c r="B484" s="1007" t="s">
        <v>4494</v>
      </c>
      <c r="C484" s="1008"/>
      <c r="D484" s="1008" t="s">
        <v>4495</v>
      </c>
      <c r="E484" s="1007" t="s">
        <v>4424</v>
      </c>
      <c r="F484" s="1010" t="s">
        <v>347</v>
      </c>
      <c r="G484" s="989">
        <v>0</v>
      </c>
      <c r="H484" s="937"/>
      <c r="I484" s="1046"/>
      <c r="J484" s="1046"/>
      <c r="K484" s="1047"/>
      <c r="L484" s="1046"/>
      <c r="M484" s="1094"/>
      <c r="N484" s="989">
        <v>0</v>
      </c>
      <c r="O484" s="989">
        <v>0</v>
      </c>
      <c r="P484" s="989"/>
      <c r="Q484" s="989">
        <f t="shared" si="48"/>
        <v>0</v>
      </c>
      <c r="R484" s="989" t="e">
        <f t="shared" si="52"/>
        <v>#DIV/0!</v>
      </c>
      <c r="S484" s="1011"/>
      <c r="T484" s="989">
        <v>0</v>
      </c>
      <c r="U484" s="989">
        <f t="shared" si="50"/>
        <v>0</v>
      </c>
      <c r="V484" s="989">
        <v>0</v>
      </c>
      <c r="W484" s="989"/>
      <c r="X484" s="989">
        <f t="shared" si="47"/>
        <v>0</v>
      </c>
      <c r="Y484" s="1012"/>
    </row>
    <row r="485" spans="1:25" ht="63" customHeight="1">
      <c r="A485" s="1006">
        <v>367</v>
      </c>
      <c r="B485" s="1007" t="s">
        <v>1877</v>
      </c>
      <c r="C485" s="1008"/>
      <c r="D485" s="1008" t="s">
        <v>3789</v>
      </c>
      <c r="E485" s="1007" t="s">
        <v>1878</v>
      </c>
      <c r="F485" s="1010" t="s">
        <v>347</v>
      </c>
      <c r="G485" s="989">
        <f>208000-41200</f>
        <v>166800</v>
      </c>
      <c r="H485" s="937"/>
      <c r="I485" s="1046"/>
      <c r="J485" s="1046"/>
      <c r="K485" s="1047"/>
      <c r="L485" s="1046"/>
      <c r="M485" s="1094">
        <f>-6000-35200+41200</f>
        <v>0</v>
      </c>
      <c r="N485" s="989">
        <f>G485+M485</f>
        <v>166800</v>
      </c>
      <c r="O485" s="989">
        <v>0</v>
      </c>
      <c r="P485" s="989">
        <v>166800</v>
      </c>
      <c r="Q485" s="989">
        <f t="shared" si="48"/>
        <v>166800</v>
      </c>
      <c r="R485" s="989">
        <f t="shared" si="52"/>
        <v>100</v>
      </c>
      <c r="S485" s="1011">
        <v>0</v>
      </c>
      <c r="T485" s="989">
        <f t="shared" si="49"/>
        <v>0</v>
      </c>
      <c r="U485" s="989">
        <f t="shared" si="50"/>
        <v>166800</v>
      </c>
      <c r="V485" s="989">
        <f t="shared" si="51"/>
        <v>100</v>
      </c>
      <c r="W485" s="989"/>
      <c r="X485" s="989">
        <f t="shared" si="47"/>
        <v>0</v>
      </c>
      <c r="Y485" s="1012"/>
    </row>
    <row r="486" spans="1:25" ht="63" customHeight="1">
      <c r="A486" s="1006">
        <v>368</v>
      </c>
      <c r="B486" s="1007" t="s">
        <v>1879</v>
      </c>
      <c r="C486" s="1008"/>
      <c r="D486" s="1008" t="s">
        <v>3790</v>
      </c>
      <c r="E486" s="1007" t="s">
        <v>3264</v>
      </c>
      <c r="F486" s="1010" t="s">
        <v>347</v>
      </c>
      <c r="G486" s="989">
        <f>208000-45000</f>
        <v>163000</v>
      </c>
      <c r="H486" s="937"/>
      <c r="I486" s="1046"/>
      <c r="J486" s="1046"/>
      <c r="K486" s="1047"/>
      <c r="L486" s="1046"/>
      <c r="M486" s="1094">
        <f>-45000+45000</f>
        <v>0</v>
      </c>
      <c r="N486" s="989">
        <f>G486+M486</f>
        <v>163000</v>
      </c>
      <c r="O486" s="989">
        <v>0</v>
      </c>
      <c r="P486" s="989">
        <v>163000</v>
      </c>
      <c r="Q486" s="989">
        <f t="shared" si="48"/>
        <v>163000</v>
      </c>
      <c r="R486" s="989">
        <f t="shared" si="52"/>
        <v>100</v>
      </c>
      <c r="S486" s="1011">
        <v>0</v>
      </c>
      <c r="T486" s="989">
        <f t="shared" si="49"/>
        <v>0</v>
      </c>
      <c r="U486" s="989">
        <f t="shared" si="50"/>
        <v>163000</v>
      </c>
      <c r="V486" s="989">
        <f t="shared" si="51"/>
        <v>100</v>
      </c>
      <c r="W486" s="989"/>
      <c r="X486" s="989">
        <f t="shared" si="47"/>
        <v>0</v>
      </c>
      <c r="Y486" s="1012"/>
    </row>
    <row r="487" spans="1:25" ht="63" customHeight="1">
      <c r="A487" s="1006">
        <v>369</v>
      </c>
      <c r="B487" s="1007" t="s">
        <v>1880</v>
      </c>
      <c r="C487" s="1008"/>
      <c r="D487" s="1008" t="s">
        <v>3791</v>
      </c>
      <c r="E487" s="1007" t="s">
        <v>1881</v>
      </c>
      <c r="F487" s="1010" t="s">
        <v>378</v>
      </c>
      <c r="G487" s="989">
        <f>312000-46067</f>
        <v>265933</v>
      </c>
      <c r="H487" s="937"/>
      <c r="I487" s="1046"/>
      <c r="J487" s="1046"/>
      <c r="K487" s="1047"/>
      <c r="L487" s="1046"/>
      <c r="M487" s="1094">
        <f>-46067+46067</f>
        <v>0</v>
      </c>
      <c r="N487" s="989">
        <f>G487+M487</f>
        <v>265933</v>
      </c>
      <c r="O487" s="989">
        <v>0</v>
      </c>
      <c r="P487" s="989">
        <v>265933</v>
      </c>
      <c r="Q487" s="989">
        <f t="shared" si="48"/>
        <v>265933</v>
      </c>
      <c r="R487" s="989">
        <f t="shared" si="52"/>
        <v>100</v>
      </c>
      <c r="S487" s="1011">
        <v>0</v>
      </c>
      <c r="T487" s="989">
        <f t="shared" si="49"/>
        <v>0</v>
      </c>
      <c r="U487" s="989">
        <f t="shared" si="50"/>
        <v>265933</v>
      </c>
      <c r="V487" s="989">
        <f t="shared" si="51"/>
        <v>100</v>
      </c>
      <c r="W487" s="989"/>
      <c r="X487" s="989">
        <f t="shared" si="47"/>
        <v>0</v>
      </c>
      <c r="Y487" s="1012"/>
    </row>
    <row r="488" spans="1:25" ht="63" customHeight="1">
      <c r="A488" s="1006">
        <v>370</v>
      </c>
      <c r="B488" s="1007" t="s">
        <v>1882</v>
      </c>
      <c r="C488" s="1008"/>
      <c r="D488" s="1008" t="s">
        <v>3792</v>
      </c>
      <c r="E488" s="1007" t="s">
        <v>1883</v>
      </c>
      <c r="F488" s="1010" t="s">
        <v>378</v>
      </c>
      <c r="G488" s="989">
        <f>624000-7230.86</f>
        <v>616769.14</v>
      </c>
      <c r="H488" s="937"/>
      <c r="I488" s="1046"/>
      <c r="J488" s="1046"/>
      <c r="K488" s="1047"/>
      <c r="L488" s="1046"/>
      <c r="M488" s="1094">
        <f>-7230.86+7230.86</f>
        <v>0</v>
      </c>
      <c r="N488" s="989">
        <f>G488+M488</f>
        <v>616769.14</v>
      </c>
      <c r="O488" s="989">
        <v>0</v>
      </c>
      <c r="P488" s="989">
        <v>616769.14</v>
      </c>
      <c r="Q488" s="989">
        <f t="shared" si="48"/>
        <v>616769.14</v>
      </c>
      <c r="R488" s="989">
        <f t="shared" si="52"/>
        <v>100</v>
      </c>
      <c r="S488" s="1011">
        <v>0</v>
      </c>
      <c r="T488" s="989">
        <f t="shared" si="49"/>
        <v>0</v>
      </c>
      <c r="U488" s="989">
        <f t="shared" si="50"/>
        <v>616769.14</v>
      </c>
      <c r="V488" s="989">
        <f t="shared" si="51"/>
        <v>100</v>
      </c>
      <c r="W488" s="989"/>
      <c r="X488" s="989">
        <f t="shared" si="47"/>
        <v>0</v>
      </c>
      <c r="Y488" s="1012"/>
    </row>
    <row r="489" spans="1:25" ht="63" customHeight="1">
      <c r="A489" s="1006">
        <v>371</v>
      </c>
      <c r="B489" s="1007" t="s">
        <v>1884</v>
      </c>
      <c r="C489" s="1008"/>
      <c r="D489" s="1008" t="s">
        <v>3793</v>
      </c>
      <c r="E489" s="1007" t="s">
        <v>3265</v>
      </c>
      <c r="F489" s="1010" t="s">
        <v>544</v>
      </c>
      <c r="G489" s="989">
        <v>208000</v>
      </c>
      <c r="H489" s="937"/>
      <c r="I489" s="1046"/>
      <c r="J489" s="1046"/>
      <c r="K489" s="1047"/>
      <c r="L489" s="1046"/>
      <c r="M489" s="1094"/>
      <c r="N489" s="989">
        <v>208000</v>
      </c>
      <c r="O489" s="989">
        <v>0</v>
      </c>
      <c r="P489" s="989">
        <v>208000</v>
      </c>
      <c r="Q489" s="989">
        <f t="shared" si="48"/>
        <v>208000</v>
      </c>
      <c r="R489" s="989">
        <f t="shared" si="52"/>
        <v>100</v>
      </c>
      <c r="S489" s="1011">
        <v>0</v>
      </c>
      <c r="T489" s="989">
        <f t="shared" si="49"/>
        <v>0</v>
      </c>
      <c r="U489" s="989">
        <f t="shared" si="50"/>
        <v>208000</v>
      </c>
      <c r="V489" s="989">
        <f t="shared" si="51"/>
        <v>100</v>
      </c>
      <c r="W489" s="989"/>
      <c r="X489" s="989">
        <f t="shared" si="47"/>
        <v>0</v>
      </c>
      <c r="Y489" s="1012"/>
    </row>
    <row r="490" spans="1:25" ht="63" customHeight="1">
      <c r="A490" s="1006">
        <v>372</v>
      </c>
      <c r="B490" s="1007" t="s">
        <v>1885</v>
      </c>
      <c r="C490" s="1008"/>
      <c r="D490" s="1008" t="s">
        <v>3794</v>
      </c>
      <c r="E490" s="1007" t="s">
        <v>1886</v>
      </c>
      <c r="F490" s="1010" t="s">
        <v>544</v>
      </c>
      <c r="G490" s="989">
        <f>104000-12929.36</f>
        <v>91070.64</v>
      </c>
      <c r="H490" s="937"/>
      <c r="I490" s="1046"/>
      <c r="J490" s="1046"/>
      <c r="K490" s="1047"/>
      <c r="L490" s="1046"/>
      <c r="M490" s="1094">
        <f>-12929.36+12929.36</f>
        <v>0</v>
      </c>
      <c r="N490" s="989">
        <f>G490+M490</f>
        <v>91070.64</v>
      </c>
      <c r="O490" s="989">
        <v>0</v>
      </c>
      <c r="P490" s="989">
        <v>91070.64</v>
      </c>
      <c r="Q490" s="989">
        <f t="shared" si="48"/>
        <v>91070.64</v>
      </c>
      <c r="R490" s="989">
        <f t="shared" si="52"/>
        <v>100</v>
      </c>
      <c r="S490" s="1011">
        <v>0</v>
      </c>
      <c r="T490" s="989">
        <f t="shared" si="49"/>
        <v>0</v>
      </c>
      <c r="U490" s="989">
        <f t="shared" si="50"/>
        <v>91070.64</v>
      </c>
      <c r="V490" s="989">
        <f t="shared" si="51"/>
        <v>100</v>
      </c>
      <c r="W490" s="989"/>
      <c r="X490" s="989">
        <f t="shared" si="47"/>
        <v>0</v>
      </c>
      <c r="Y490" s="1012"/>
    </row>
    <row r="491" spans="1:25" ht="63" customHeight="1">
      <c r="A491" s="1006">
        <v>373</v>
      </c>
      <c r="B491" s="1007" t="s">
        <v>1887</v>
      </c>
      <c r="C491" s="1008"/>
      <c r="D491" s="1008" t="s">
        <v>3795</v>
      </c>
      <c r="E491" s="1007" t="s">
        <v>1888</v>
      </c>
      <c r="F491" s="1010" t="s">
        <v>544</v>
      </c>
      <c r="G491" s="989">
        <f>520000-21638.56</f>
        <v>498361.44</v>
      </c>
      <c r="H491" s="937"/>
      <c r="I491" s="1046"/>
      <c r="J491" s="1046"/>
      <c r="K491" s="1047"/>
      <c r="L491" s="1046"/>
      <c r="M491" s="1094">
        <f>-21638.56+21638.56</f>
        <v>0</v>
      </c>
      <c r="N491" s="989">
        <f>G491+M491</f>
        <v>498361.44</v>
      </c>
      <c r="O491" s="989">
        <v>82361.440000000002</v>
      </c>
      <c r="P491" s="989">
        <v>416000</v>
      </c>
      <c r="Q491" s="989">
        <f t="shared" si="48"/>
        <v>498361.44</v>
      </c>
      <c r="R491" s="989">
        <f t="shared" si="52"/>
        <v>100</v>
      </c>
      <c r="S491" s="1011">
        <v>0</v>
      </c>
      <c r="T491" s="989">
        <f t="shared" si="49"/>
        <v>0</v>
      </c>
      <c r="U491" s="989">
        <f t="shared" si="50"/>
        <v>498361.44</v>
      </c>
      <c r="V491" s="989">
        <f t="shared" si="51"/>
        <v>100</v>
      </c>
      <c r="W491" s="989"/>
      <c r="X491" s="989">
        <f t="shared" si="47"/>
        <v>0</v>
      </c>
      <c r="Y491" s="1012"/>
    </row>
    <row r="492" spans="1:25" ht="63" customHeight="1">
      <c r="A492" s="1006">
        <v>374</v>
      </c>
      <c r="B492" s="1007" t="s">
        <v>1889</v>
      </c>
      <c r="C492" s="1008"/>
      <c r="D492" s="1008" t="s">
        <v>3796</v>
      </c>
      <c r="E492" s="1007" t="s">
        <v>1890</v>
      </c>
      <c r="F492" s="1010" t="s">
        <v>544</v>
      </c>
      <c r="G492" s="989">
        <v>104000</v>
      </c>
      <c r="H492" s="937"/>
      <c r="I492" s="1046"/>
      <c r="J492" s="1046"/>
      <c r="K492" s="1047"/>
      <c r="L492" s="1046"/>
      <c r="M492" s="1094"/>
      <c r="N492" s="989">
        <v>104000</v>
      </c>
      <c r="O492" s="989">
        <v>104000</v>
      </c>
      <c r="P492" s="989"/>
      <c r="Q492" s="989">
        <f t="shared" si="48"/>
        <v>104000</v>
      </c>
      <c r="R492" s="989">
        <f t="shared" si="52"/>
        <v>100</v>
      </c>
      <c r="S492" s="1011"/>
      <c r="T492" s="989">
        <f t="shared" si="49"/>
        <v>0</v>
      </c>
      <c r="U492" s="989">
        <f t="shared" si="50"/>
        <v>104000</v>
      </c>
      <c r="V492" s="989">
        <f t="shared" si="51"/>
        <v>100</v>
      </c>
      <c r="W492" s="989"/>
      <c r="X492" s="989">
        <f t="shared" si="47"/>
        <v>0</v>
      </c>
      <c r="Y492" s="1012"/>
    </row>
    <row r="493" spans="1:25" ht="63" customHeight="1">
      <c r="A493" s="1006">
        <v>375</v>
      </c>
      <c r="B493" s="1007" t="s">
        <v>1891</v>
      </c>
      <c r="C493" s="1008"/>
      <c r="D493" s="1008" t="s">
        <v>3797</v>
      </c>
      <c r="E493" s="1007" t="s">
        <v>2977</v>
      </c>
      <c r="F493" s="1010" t="s">
        <v>569</v>
      </c>
      <c r="G493" s="989">
        <f>312000-46647.23</f>
        <v>265352.77</v>
      </c>
      <c r="H493" s="937"/>
      <c r="I493" s="1046"/>
      <c r="J493" s="1046"/>
      <c r="K493" s="1047">
        <v>-24800</v>
      </c>
      <c r="L493" s="1046"/>
      <c r="M493" s="1094">
        <f>-46647.23+46647.23</f>
        <v>0</v>
      </c>
      <c r="N493" s="989">
        <f>G493+M493+K493</f>
        <v>240552.77000000002</v>
      </c>
      <c r="O493" s="989">
        <v>0</v>
      </c>
      <c r="P493" s="989">
        <v>240552.77</v>
      </c>
      <c r="Q493" s="989">
        <f t="shared" si="48"/>
        <v>240552.77</v>
      </c>
      <c r="R493" s="989">
        <f t="shared" si="52"/>
        <v>99.999999999999986</v>
      </c>
      <c r="S493" s="1011">
        <v>0</v>
      </c>
      <c r="T493" s="989">
        <f t="shared" si="49"/>
        <v>0</v>
      </c>
      <c r="U493" s="989">
        <f t="shared" si="50"/>
        <v>240552.77</v>
      </c>
      <c r="V493" s="989">
        <f t="shared" si="51"/>
        <v>99.999999999999986</v>
      </c>
      <c r="W493" s="989"/>
      <c r="X493" s="989">
        <f t="shared" si="47"/>
        <v>0</v>
      </c>
      <c r="Y493" s="1012"/>
    </row>
    <row r="494" spans="1:25" ht="63" customHeight="1">
      <c r="A494" s="1006">
        <v>376</v>
      </c>
      <c r="B494" s="1007" t="s">
        <v>1892</v>
      </c>
      <c r="C494" s="1008"/>
      <c r="D494" s="1008" t="s">
        <v>3798</v>
      </c>
      <c r="E494" s="1007" t="s">
        <v>1893</v>
      </c>
      <c r="F494" s="1010" t="s">
        <v>569</v>
      </c>
      <c r="G494" s="989">
        <f>416000-74000</f>
        <v>342000</v>
      </c>
      <c r="H494" s="937"/>
      <c r="I494" s="1046"/>
      <c r="J494" s="1046"/>
      <c r="K494" s="1047">
        <v>-36000</v>
      </c>
      <c r="L494" s="1046"/>
      <c r="M494" s="1094">
        <f>-74000+74000</f>
        <v>0</v>
      </c>
      <c r="N494" s="989">
        <f>G494+M494+K494</f>
        <v>306000</v>
      </c>
      <c r="O494" s="989">
        <v>0</v>
      </c>
      <c r="P494" s="989">
        <v>306000</v>
      </c>
      <c r="Q494" s="989">
        <f t="shared" si="48"/>
        <v>306000</v>
      </c>
      <c r="R494" s="989">
        <f t="shared" si="52"/>
        <v>100</v>
      </c>
      <c r="S494" s="1011">
        <v>0</v>
      </c>
      <c r="T494" s="989">
        <f t="shared" si="49"/>
        <v>0</v>
      </c>
      <c r="U494" s="989">
        <f t="shared" si="50"/>
        <v>306000</v>
      </c>
      <c r="V494" s="989">
        <f t="shared" si="51"/>
        <v>100</v>
      </c>
      <c r="W494" s="989"/>
      <c r="X494" s="989">
        <f t="shared" si="47"/>
        <v>0</v>
      </c>
      <c r="Y494" s="1012"/>
    </row>
    <row r="495" spans="1:25" ht="63" customHeight="1">
      <c r="A495" s="1006">
        <v>377</v>
      </c>
      <c r="B495" s="1007" t="s">
        <v>1894</v>
      </c>
      <c r="C495" s="1008"/>
      <c r="D495" s="1008" t="s">
        <v>3799</v>
      </c>
      <c r="E495" s="1007" t="s">
        <v>1895</v>
      </c>
      <c r="F495" s="1010" t="s">
        <v>569</v>
      </c>
      <c r="G495" s="989">
        <f>104000-8800</f>
        <v>95200</v>
      </c>
      <c r="H495" s="937"/>
      <c r="I495" s="1046"/>
      <c r="J495" s="1046"/>
      <c r="K495" s="1047">
        <v>-9000</v>
      </c>
      <c r="L495" s="1046"/>
      <c r="M495" s="1094">
        <f>-8800+8800</f>
        <v>0</v>
      </c>
      <c r="N495" s="989">
        <f>G495+K495+M495</f>
        <v>86200</v>
      </c>
      <c r="O495" s="989">
        <v>86200</v>
      </c>
      <c r="P495" s="989">
        <v>0</v>
      </c>
      <c r="Q495" s="989">
        <f t="shared" si="48"/>
        <v>86200</v>
      </c>
      <c r="R495" s="989">
        <f t="shared" si="52"/>
        <v>100</v>
      </c>
      <c r="S495" s="1011">
        <v>0</v>
      </c>
      <c r="T495" s="989">
        <f t="shared" si="49"/>
        <v>0</v>
      </c>
      <c r="U495" s="989">
        <f t="shared" si="50"/>
        <v>86200</v>
      </c>
      <c r="V495" s="989">
        <f t="shared" si="51"/>
        <v>100</v>
      </c>
      <c r="W495" s="989"/>
      <c r="X495" s="989">
        <f t="shared" si="47"/>
        <v>0</v>
      </c>
      <c r="Y495" s="1012"/>
    </row>
    <row r="496" spans="1:25" ht="63" customHeight="1">
      <c r="A496" s="1006">
        <v>378</v>
      </c>
      <c r="B496" s="1007" t="s">
        <v>1896</v>
      </c>
      <c r="C496" s="1008"/>
      <c r="D496" s="1008" t="s">
        <v>3800</v>
      </c>
      <c r="E496" s="1007" t="s">
        <v>1897</v>
      </c>
      <c r="F496" s="1010" t="s">
        <v>569</v>
      </c>
      <c r="G496" s="989">
        <f>728000-105160.2</f>
        <v>622839.80000000005</v>
      </c>
      <c r="H496" s="937"/>
      <c r="I496" s="1046"/>
      <c r="J496" s="1046"/>
      <c r="K496" s="1047">
        <v>-36600</v>
      </c>
      <c r="L496" s="1046"/>
      <c r="M496" s="1094">
        <f>-105160.2+105160.2</f>
        <v>0</v>
      </c>
      <c r="N496" s="989">
        <f>G496+K496+M496</f>
        <v>586239.80000000005</v>
      </c>
      <c r="O496" s="989">
        <v>204379.11</v>
      </c>
      <c r="P496" s="989">
        <v>381860.69</v>
      </c>
      <c r="Q496" s="989">
        <f t="shared" si="48"/>
        <v>586239.80000000005</v>
      </c>
      <c r="R496" s="989">
        <f t="shared" si="52"/>
        <v>100</v>
      </c>
      <c r="S496" s="1011">
        <v>0</v>
      </c>
      <c r="T496" s="989">
        <f t="shared" si="49"/>
        <v>0</v>
      </c>
      <c r="U496" s="989">
        <f t="shared" si="50"/>
        <v>586239.80000000005</v>
      </c>
      <c r="V496" s="989">
        <f t="shared" si="51"/>
        <v>100</v>
      </c>
      <c r="W496" s="989"/>
      <c r="X496" s="989">
        <f t="shared" si="47"/>
        <v>0</v>
      </c>
      <c r="Y496" s="1012"/>
    </row>
    <row r="497" spans="1:39" s="969" customFormat="1" ht="63" customHeight="1">
      <c r="A497" s="1006">
        <v>379</v>
      </c>
      <c r="B497" s="1007" t="s">
        <v>1898</v>
      </c>
      <c r="C497" s="1008"/>
      <c r="D497" s="1008" t="s">
        <v>3801</v>
      </c>
      <c r="E497" s="1007" t="s">
        <v>1899</v>
      </c>
      <c r="F497" s="1010" t="s">
        <v>569</v>
      </c>
      <c r="G497" s="989">
        <f>416000-74876.23</f>
        <v>341123.77</v>
      </c>
      <c r="H497" s="937"/>
      <c r="I497" s="1046"/>
      <c r="J497" s="1046"/>
      <c r="K497" s="1047">
        <v>-27000</v>
      </c>
      <c r="L497" s="1046"/>
      <c r="M497" s="1094">
        <f>-74876.23+74876.23</f>
        <v>0</v>
      </c>
      <c r="N497" s="989">
        <f>G497+M497+K497</f>
        <v>314123.77</v>
      </c>
      <c r="O497" s="989">
        <v>0</v>
      </c>
      <c r="P497" s="989">
        <v>314123.77</v>
      </c>
      <c r="Q497" s="989">
        <f t="shared" si="48"/>
        <v>314123.77</v>
      </c>
      <c r="R497" s="989">
        <f t="shared" si="52"/>
        <v>100</v>
      </c>
      <c r="S497" s="1011">
        <v>0</v>
      </c>
      <c r="T497" s="989">
        <f t="shared" si="49"/>
        <v>0</v>
      </c>
      <c r="U497" s="989">
        <f t="shared" si="50"/>
        <v>314123.77</v>
      </c>
      <c r="V497" s="989">
        <f t="shared" si="51"/>
        <v>100</v>
      </c>
      <c r="W497" s="989"/>
      <c r="X497" s="989">
        <f t="shared" si="47"/>
        <v>0</v>
      </c>
      <c r="Y497" s="1012"/>
      <c r="Z497" s="941"/>
      <c r="AA497" s="941"/>
      <c r="AB497" s="941"/>
      <c r="AC497" s="941"/>
      <c r="AD497" s="941"/>
      <c r="AE497" s="941"/>
      <c r="AF497" s="941"/>
      <c r="AG497" s="941"/>
      <c r="AH497" s="941"/>
      <c r="AI497" s="941"/>
      <c r="AJ497" s="941"/>
      <c r="AK497" s="941"/>
      <c r="AL497" s="941"/>
      <c r="AM497" s="941"/>
    </row>
    <row r="498" spans="1:39" s="969" customFormat="1" ht="63" customHeight="1">
      <c r="A498" s="1006">
        <v>380</v>
      </c>
      <c r="B498" s="1007" t="s">
        <v>1900</v>
      </c>
      <c r="C498" s="1008"/>
      <c r="D498" s="1008" t="s">
        <v>3802</v>
      </c>
      <c r="E498" s="1007" t="s">
        <v>1901</v>
      </c>
      <c r="F498" s="1010" t="s">
        <v>569</v>
      </c>
      <c r="G498" s="989">
        <f>312000-75421.69</f>
        <v>236578.31</v>
      </c>
      <c r="H498" s="937"/>
      <c r="I498" s="1046"/>
      <c r="J498" s="1046"/>
      <c r="K498" s="1047">
        <v>-27000</v>
      </c>
      <c r="L498" s="1046"/>
      <c r="M498" s="1094">
        <f>-75421.69+75421.69</f>
        <v>0</v>
      </c>
      <c r="N498" s="989">
        <f>G498+M498+K498</f>
        <v>209578.31</v>
      </c>
      <c r="O498" s="989">
        <v>0</v>
      </c>
      <c r="P498" s="989">
        <v>209578.31</v>
      </c>
      <c r="Q498" s="989">
        <f t="shared" si="48"/>
        <v>209578.31</v>
      </c>
      <c r="R498" s="989">
        <f t="shared" si="52"/>
        <v>100</v>
      </c>
      <c r="S498" s="1011">
        <v>0</v>
      </c>
      <c r="T498" s="989">
        <f t="shared" si="49"/>
        <v>0</v>
      </c>
      <c r="U498" s="989">
        <f t="shared" si="50"/>
        <v>209578.31</v>
      </c>
      <c r="V498" s="989">
        <f t="shared" si="51"/>
        <v>100</v>
      </c>
      <c r="W498" s="989"/>
      <c r="X498" s="989">
        <f t="shared" si="47"/>
        <v>0</v>
      </c>
      <c r="Y498" s="1012"/>
      <c r="Z498" s="941"/>
      <c r="AA498" s="941"/>
      <c r="AB498" s="941"/>
      <c r="AC498" s="941"/>
      <c r="AD498" s="941"/>
      <c r="AE498" s="941"/>
      <c r="AF498" s="941"/>
      <c r="AG498" s="941"/>
      <c r="AH498" s="941"/>
      <c r="AI498" s="941"/>
      <c r="AJ498" s="941"/>
      <c r="AK498" s="941"/>
      <c r="AL498" s="941"/>
      <c r="AM498" s="941"/>
    </row>
    <row r="499" spans="1:39" s="969" customFormat="1" ht="63" customHeight="1">
      <c r="A499" s="1006">
        <v>381</v>
      </c>
      <c r="B499" s="1007" t="s">
        <v>1902</v>
      </c>
      <c r="C499" s="1008"/>
      <c r="D499" s="1008" t="s">
        <v>3803</v>
      </c>
      <c r="E499" s="1007" t="s">
        <v>1903</v>
      </c>
      <c r="F499" s="1010" t="s">
        <v>546</v>
      </c>
      <c r="G499" s="989">
        <f>208000-10300</f>
        <v>197700</v>
      </c>
      <c r="H499" s="937"/>
      <c r="I499" s="1046"/>
      <c r="J499" s="1046"/>
      <c r="K499" s="1047"/>
      <c r="L499" s="1046"/>
      <c r="M499" s="1094">
        <f>-10300+10300</f>
        <v>0</v>
      </c>
      <c r="N499" s="989">
        <f>G499+M499</f>
        <v>197700</v>
      </c>
      <c r="O499" s="989">
        <v>0</v>
      </c>
      <c r="P499" s="989">
        <v>197700</v>
      </c>
      <c r="Q499" s="989">
        <f t="shared" si="48"/>
        <v>197700</v>
      </c>
      <c r="R499" s="989">
        <f t="shared" si="52"/>
        <v>100</v>
      </c>
      <c r="S499" s="1011">
        <v>0</v>
      </c>
      <c r="T499" s="989">
        <f t="shared" si="49"/>
        <v>0</v>
      </c>
      <c r="U499" s="989">
        <f t="shared" si="50"/>
        <v>197700</v>
      </c>
      <c r="V499" s="989">
        <f t="shared" si="51"/>
        <v>100</v>
      </c>
      <c r="W499" s="989"/>
      <c r="X499" s="989">
        <f t="shared" si="47"/>
        <v>0</v>
      </c>
      <c r="Y499" s="1012"/>
      <c r="Z499" s="941"/>
      <c r="AA499" s="941"/>
      <c r="AB499" s="941"/>
      <c r="AC499" s="941"/>
      <c r="AD499" s="941"/>
      <c r="AE499" s="941"/>
      <c r="AF499" s="941"/>
      <c r="AG499" s="941"/>
      <c r="AH499" s="941"/>
      <c r="AI499" s="941"/>
      <c r="AJ499" s="941"/>
      <c r="AK499" s="941"/>
      <c r="AL499" s="941"/>
      <c r="AM499" s="941"/>
    </row>
    <row r="500" spans="1:39" s="969" customFormat="1" ht="63" customHeight="1">
      <c r="A500" s="1006">
        <v>382</v>
      </c>
      <c r="B500" s="1007" t="s">
        <v>1904</v>
      </c>
      <c r="C500" s="1008"/>
      <c r="D500" s="1008" t="s">
        <v>3804</v>
      </c>
      <c r="E500" s="1007" t="s">
        <v>1905</v>
      </c>
      <c r="F500" s="1010" t="s">
        <v>546</v>
      </c>
      <c r="G500" s="989">
        <f>104000-22800</f>
        <v>81200</v>
      </c>
      <c r="H500" s="937"/>
      <c r="I500" s="1046"/>
      <c r="J500" s="1046"/>
      <c r="K500" s="1047">
        <v>-22800</v>
      </c>
      <c r="L500" s="1046"/>
      <c r="M500" s="1094">
        <f>-22800+22800</f>
        <v>0</v>
      </c>
      <c r="N500" s="989">
        <f>104000+M500+K500</f>
        <v>81200</v>
      </c>
      <c r="O500" s="989">
        <v>0</v>
      </c>
      <c r="P500" s="989">
        <v>81200</v>
      </c>
      <c r="Q500" s="989">
        <f t="shared" si="48"/>
        <v>81200</v>
      </c>
      <c r="R500" s="989">
        <f t="shared" si="52"/>
        <v>100</v>
      </c>
      <c r="S500" s="1011">
        <v>0</v>
      </c>
      <c r="T500" s="989">
        <f t="shared" si="49"/>
        <v>0</v>
      </c>
      <c r="U500" s="989">
        <f t="shared" si="50"/>
        <v>81200</v>
      </c>
      <c r="V500" s="989">
        <f t="shared" si="51"/>
        <v>100</v>
      </c>
      <c r="W500" s="989"/>
      <c r="X500" s="989">
        <f t="shared" si="47"/>
        <v>0</v>
      </c>
      <c r="Y500" s="1012"/>
      <c r="Z500" s="941"/>
      <c r="AA500" s="941"/>
      <c r="AB500" s="941"/>
      <c r="AC500" s="941"/>
      <c r="AD500" s="941"/>
      <c r="AE500" s="941"/>
      <c r="AF500" s="941"/>
      <c r="AG500" s="941"/>
      <c r="AH500" s="941"/>
      <c r="AI500" s="941"/>
      <c r="AJ500" s="941"/>
      <c r="AK500" s="941"/>
      <c r="AL500" s="941"/>
      <c r="AM500" s="941"/>
    </row>
    <row r="501" spans="1:39" s="969" customFormat="1" ht="63" customHeight="1">
      <c r="A501" s="1006">
        <v>383</v>
      </c>
      <c r="B501" s="1007" t="s">
        <v>1906</v>
      </c>
      <c r="C501" s="1008"/>
      <c r="D501" s="1008" t="s">
        <v>3805</v>
      </c>
      <c r="E501" s="1007" t="s">
        <v>1907</v>
      </c>
      <c r="F501" s="1010" t="s">
        <v>1186</v>
      </c>
      <c r="G501" s="989">
        <f>45200-9200</f>
        <v>36000</v>
      </c>
      <c r="H501" s="937"/>
      <c r="I501" s="1046"/>
      <c r="J501" s="1046"/>
      <c r="K501" s="1047"/>
      <c r="L501" s="1046"/>
      <c r="M501" s="1094">
        <f>-9200+9200</f>
        <v>0</v>
      </c>
      <c r="N501" s="989">
        <f>G501+M501</f>
        <v>36000</v>
      </c>
      <c r="O501" s="989">
        <v>0</v>
      </c>
      <c r="P501" s="989">
        <v>36000</v>
      </c>
      <c r="Q501" s="989">
        <f t="shared" si="48"/>
        <v>36000</v>
      </c>
      <c r="R501" s="989">
        <f t="shared" si="52"/>
        <v>100</v>
      </c>
      <c r="S501" s="1011">
        <v>0</v>
      </c>
      <c r="T501" s="989">
        <f t="shared" si="49"/>
        <v>0</v>
      </c>
      <c r="U501" s="989">
        <f t="shared" si="50"/>
        <v>36000</v>
      </c>
      <c r="V501" s="989">
        <f t="shared" si="51"/>
        <v>100</v>
      </c>
      <c r="W501" s="989"/>
      <c r="X501" s="989">
        <f t="shared" ref="X501:X564" si="53">N501-U501</f>
        <v>0</v>
      </c>
      <c r="Y501" s="1012"/>
      <c r="Z501" s="941"/>
      <c r="AA501" s="941"/>
      <c r="AB501" s="941"/>
      <c r="AC501" s="941"/>
      <c r="AD501" s="941"/>
      <c r="AE501" s="941"/>
      <c r="AF501" s="941"/>
      <c r="AG501" s="941"/>
      <c r="AH501" s="941"/>
      <c r="AI501" s="941"/>
      <c r="AJ501" s="941"/>
      <c r="AK501" s="941"/>
      <c r="AL501" s="941"/>
      <c r="AM501" s="941"/>
    </row>
    <row r="502" spans="1:39" s="969" customFormat="1" ht="63" customHeight="1">
      <c r="A502" s="1006">
        <v>384</v>
      </c>
      <c r="B502" s="1007" t="s">
        <v>1908</v>
      </c>
      <c r="C502" s="1008"/>
      <c r="D502" s="1008" t="s">
        <v>3806</v>
      </c>
      <c r="E502" s="1007" t="s">
        <v>1909</v>
      </c>
      <c r="F502" s="1010" t="s">
        <v>2978</v>
      </c>
      <c r="G502" s="989">
        <v>45200</v>
      </c>
      <c r="H502" s="937"/>
      <c r="I502" s="1046"/>
      <c r="J502" s="1046"/>
      <c r="K502" s="1047"/>
      <c r="L502" s="1046"/>
      <c r="M502" s="1094"/>
      <c r="N502" s="989">
        <v>45200</v>
      </c>
      <c r="O502" s="989">
        <v>0</v>
      </c>
      <c r="P502" s="989">
        <v>45200</v>
      </c>
      <c r="Q502" s="989">
        <f t="shared" si="48"/>
        <v>45200</v>
      </c>
      <c r="R502" s="989">
        <f t="shared" si="52"/>
        <v>100</v>
      </c>
      <c r="S502" s="1011">
        <v>0</v>
      </c>
      <c r="T502" s="989">
        <f t="shared" si="49"/>
        <v>0</v>
      </c>
      <c r="U502" s="989">
        <f t="shared" si="50"/>
        <v>45200</v>
      </c>
      <c r="V502" s="989">
        <f t="shared" si="51"/>
        <v>100</v>
      </c>
      <c r="W502" s="989"/>
      <c r="X502" s="989">
        <f t="shared" si="53"/>
        <v>0</v>
      </c>
      <c r="Y502" s="1012"/>
      <c r="Z502" s="941"/>
      <c r="AA502" s="941"/>
      <c r="AB502" s="941"/>
      <c r="AC502" s="941"/>
      <c r="AD502" s="941"/>
      <c r="AE502" s="941"/>
      <c r="AF502" s="941"/>
      <c r="AG502" s="941"/>
      <c r="AH502" s="941"/>
      <c r="AI502" s="941"/>
      <c r="AJ502" s="941"/>
      <c r="AK502" s="941"/>
      <c r="AL502" s="941"/>
      <c r="AM502" s="941"/>
    </row>
    <row r="503" spans="1:39" s="969" customFormat="1" ht="63" customHeight="1">
      <c r="A503" s="1006">
        <v>385</v>
      </c>
      <c r="B503" s="1007" t="s">
        <v>1910</v>
      </c>
      <c r="C503" s="1008"/>
      <c r="D503" s="1008" t="s">
        <v>3807</v>
      </c>
      <c r="E503" s="1007" t="s">
        <v>1911</v>
      </c>
      <c r="F503" s="1010" t="s">
        <v>574</v>
      </c>
      <c r="G503" s="989">
        <v>208000</v>
      </c>
      <c r="H503" s="937"/>
      <c r="I503" s="1046"/>
      <c r="J503" s="1046"/>
      <c r="K503" s="1047"/>
      <c r="L503" s="1046"/>
      <c r="M503" s="1094"/>
      <c r="N503" s="989">
        <v>208000</v>
      </c>
      <c r="O503" s="989">
        <v>0</v>
      </c>
      <c r="P503" s="989">
        <v>166440.72</v>
      </c>
      <c r="Q503" s="989">
        <f t="shared" ref="Q503:Q566" si="54">P503+O503</f>
        <v>166440.72</v>
      </c>
      <c r="R503" s="989">
        <f t="shared" si="52"/>
        <v>80.019576923076912</v>
      </c>
      <c r="S503" s="1011">
        <v>0</v>
      </c>
      <c r="T503" s="989">
        <f t="shared" ref="T503:T566" si="55">S503/N503*100</f>
        <v>0</v>
      </c>
      <c r="U503" s="989">
        <f t="shared" ref="U503:U566" si="56">S503+Q503</f>
        <v>166440.72</v>
      </c>
      <c r="V503" s="989">
        <f t="shared" ref="V503:V566" si="57">U503/N503*100</f>
        <v>80.019576923076912</v>
      </c>
      <c r="W503" s="989"/>
      <c r="X503" s="989">
        <f t="shared" si="53"/>
        <v>41559.279999999999</v>
      </c>
      <c r="Y503" s="1012"/>
      <c r="Z503" s="941"/>
      <c r="AA503" s="941"/>
      <c r="AB503" s="941"/>
      <c r="AC503" s="941"/>
      <c r="AD503" s="941"/>
      <c r="AE503" s="941"/>
      <c r="AF503" s="941"/>
      <c r="AG503" s="941"/>
      <c r="AH503" s="941"/>
      <c r="AI503" s="941"/>
      <c r="AJ503" s="941"/>
      <c r="AK503" s="941"/>
      <c r="AL503" s="941"/>
      <c r="AM503" s="941"/>
    </row>
    <row r="504" spans="1:39" s="969" customFormat="1" ht="63" customHeight="1">
      <c r="A504" s="1006">
        <v>386</v>
      </c>
      <c r="B504" s="1007" t="s">
        <v>1912</v>
      </c>
      <c r="C504" s="1008"/>
      <c r="D504" s="1008" t="s">
        <v>3808</v>
      </c>
      <c r="E504" s="1007" t="s">
        <v>1913</v>
      </c>
      <c r="F504" s="1010" t="s">
        <v>574</v>
      </c>
      <c r="G504" s="989">
        <f>312000-69000</f>
        <v>243000</v>
      </c>
      <c r="H504" s="937"/>
      <c r="I504" s="1046"/>
      <c r="J504" s="1046"/>
      <c r="K504" s="1047"/>
      <c r="L504" s="1046"/>
      <c r="M504" s="1094">
        <v>-90027.42</v>
      </c>
      <c r="N504" s="989">
        <f>G504+M504</f>
        <v>152972.58000000002</v>
      </c>
      <c r="O504" s="989">
        <v>0</v>
      </c>
      <c r="P504" s="989">
        <v>105172.58</v>
      </c>
      <c r="Q504" s="989">
        <f t="shared" si="54"/>
        <v>105172.58</v>
      </c>
      <c r="R504" s="989">
        <f t="shared" ref="R504:R567" si="58">Q504/N504*100</f>
        <v>68.752569905011725</v>
      </c>
      <c r="S504" s="1011">
        <v>47800</v>
      </c>
      <c r="T504" s="989">
        <f t="shared" si="55"/>
        <v>31.24743009498826</v>
      </c>
      <c r="U504" s="989">
        <f t="shared" si="56"/>
        <v>152972.58000000002</v>
      </c>
      <c r="V504" s="989">
        <f t="shared" si="57"/>
        <v>100</v>
      </c>
      <c r="W504" s="989"/>
      <c r="X504" s="989">
        <f t="shared" si="53"/>
        <v>0</v>
      </c>
      <c r="Y504" s="1012"/>
      <c r="Z504" s="941"/>
      <c r="AA504" s="941"/>
      <c r="AB504" s="941"/>
      <c r="AC504" s="941"/>
      <c r="AD504" s="941"/>
      <c r="AE504" s="941"/>
      <c r="AF504" s="941"/>
      <c r="AG504" s="941"/>
      <c r="AH504" s="941"/>
      <c r="AI504" s="941"/>
      <c r="AJ504" s="941"/>
      <c r="AK504" s="941"/>
      <c r="AL504" s="941"/>
      <c r="AM504" s="941"/>
    </row>
    <row r="505" spans="1:39" s="969" customFormat="1" ht="63" customHeight="1">
      <c r="A505" s="1006">
        <v>387</v>
      </c>
      <c r="B505" s="1007" t="s">
        <v>1914</v>
      </c>
      <c r="C505" s="1008"/>
      <c r="D505" s="1008" t="s">
        <v>3809</v>
      </c>
      <c r="E505" s="1007" t="s">
        <v>1915</v>
      </c>
      <c r="F505" s="1010" t="s">
        <v>2978</v>
      </c>
      <c r="G505" s="989">
        <f>90400-31000</f>
        <v>59400</v>
      </c>
      <c r="H505" s="937"/>
      <c r="I505" s="1046"/>
      <c r="J505" s="1046"/>
      <c r="K505" s="1047"/>
      <c r="L505" s="1046"/>
      <c r="M505" s="1094">
        <f>-31000+31000</f>
        <v>0</v>
      </c>
      <c r="N505" s="989">
        <f>G505+M505</f>
        <v>59400</v>
      </c>
      <c r="O505" s="989">
        <v>0</v>
      </c>
      <c r="P505" s="989">
        <v>59400</v>
      </c>
      <c r="Q505" s="989">
        <f t="shared" si="54"/>
        <v>59400</v>
      </c>
      <c r="R505" s="989">
        <f t="shared" si="58"/>
        <v>100</v>
      </c>
      <c r="S505" s="1011">
        <v>0</v>
      </c>
      <c r="T505" s="989">
        <f t="shared" si="55"/>
        <v>0</v>
      </c>
      <c r="U505" s="989">
        <f t="shared" si="56"/>
        <v>59400</v>
      </c>
      <c r="V505" s="989">
        <f t="shared" si="57"/>
        <v>100</v>
      </c>
      <c r="W505" s="989"/>
      <c r="X505" s="989">
        <f t="shared" si="53"/>
        <v>0</v>
      </c>
      <c r="Y505" s="1012"/>
      <c r="Z505" s="941"/>
      <c r="AA505" s="941"/>
      <c r="AB505" s="941"/>
      <c r="AC505" s="941"/>
      <c r="AD505" s="941"/>
      <c r="AE505" s="941"/>
      <c r="AF505" s="941"/>
      <c r="AG505" s="941"/>
      <c r="AH505" s="941"/>
      <c r="AI505" s="941"/>
      <c r="AJ505" s="941"/>
      <c r="AK505" s="941"/>
      <c r="AL505" s="941"/>
      <c r="AM505" s="941"/>
    </row>
    <row r="506" spans="1:39" s="969" customFormat="1" ht="63" customHeight="1">
      <c r="A506" s="1006">
        <v>388</v>
      </c>
      <c r="B506" s="1007" t="s">
        <v>1916</v>
      </c>
      <c r="C506" s="1008"/>
      <c r="D506" s="1008" t="s">
        <v>3810</v>
      </c>
      <c r="E506" s="1007" t="s">
        <v>1917</v>
      </c>
      <c r="F506" s="1010" t="s">
        <v>2978</v>
      </c>
      <c r="G506" s="989">
        <f>180800-15610</f>
        <v>165190</v>
      </c>
      <c r="H506" s="937"/>
      <c r="I506" s="1046"/>
      <c r="J506" s="1046"/>
      <c r="K506" s="1047"/>
      <c r="L506" s="1046"/>
      <c r="M506" s="1094">
        <f>-15610+15610</f>
        <v>0</v>
      </c>
      <c r="N506" s="989">
        <f>G506+M506</f>
        <v>165190</v>
      </c>
      <c r="O506" s="989">
        <v>0</v>
      </c>
      <c r="P506" s="989">
        <v>160890</v>
      </c>
      <c r="Q506" s="989">
        <f t="shared" si="54"/>
        <v>160890</v>
      </c>
      <c r="R506" s="989">
        <f t="shared" si="58"/>
        <v>97.396936860584788</v>
      </c>
      <c r="S506" s="1011">
        <v>0</v>
      </c>
      <c r="T506" s="989">
        <f t="shared" si="55"/>
        <v>0</v>
      </c>
      <c r="U506" s="989">
        <f t="shared" si="56"/>
        <v>160890</v>
      </c>
      <c r="V506" s="989">
        <f t="shared" si="57"/>
        <v>97.396936860584788</v>
      </c>
      <c r="W506" s="989"/>
      <c r="X506" s="989">
        <f t="shared" si="53"/>
        <v>4300</v>
      </c>
      <c r="Y506" s="1012"/>
      <c r="Z506" s="941"/>
      <c r="AA506" s="941"/>
      <c r="AB506" s="941"/>
      <c r="AC506" s="941"/>
      <c r="AD506" s="941"/>
      <c r="AE506" s="941"/>
      <c r="AF506" s="941"/>
      <c r="AG506" s="941"/>
      <c r="AH506" s="941"/>
      <c r="AI506" s="941"/>
      <c r="AJ506" s="941"/>
      <c r="AK506" s="941"/>
      <c r="AL506" s="941"/>
      <c r="AM506" s="941"/>
    </row>
    <row r="507" spans="1:39" s="969" customFormat="1" ht="63" customHeight="1">
      <c r="A507" s="1006">
        <v>389</v>
      </c>
      <c r="B507" s="1007" t="s">
        <v>1918</v>
      </c>
      <c r="C507" s="1008"/>
      <c r="D507" s="1008" t="s">
        <v>3811</v>
      </c>
      <c r="E507" s="1007" t="s">
        <v>1919</v>
      </c>
      <c r="F507" s="1010" t="s">
        <v>574</v>
      </c>
      <c r="G507" s="989">
        <f>312000-152350</f>
        <v>159650</v>
      </c>
      <c r="H507" s="937"/>
      <c r="I507" s="1046"/>
      <c r="J507" s="1046"/>
      <c r="K507" s="1047"/>
      <c r="L507" s="1046"/>
      <c r="M507" s="1094">
        <v>-18176.21</v>
      </c>
      <c r="N507" s="989">
        <f>G507+M507</f>
        <v>141473.79</v>
      </c>
      <c r="O507" s="989">
        <v>0</v>
      </c>
      <c r="P507" s="989">
        <v>141473.79</v>
      </c>
      <c r="Q507" s="989">
        <f t="shared" si="54"/>
        <v>141473.79</v>
      </c>
      <c r="R507" s="989">
        <f t="shared" si="58"/>
        <v>100</v>
      </c>
      <c r="S507" s="1011">
        <v>0</v>
      </c>
      <c r="T507" s="989">
        <f t="shared" si="55"/>
        <v>0</v>
      </c>
      <c r="U507" s="989">
        <f t="shared" si="56"/>
        <v>141473.79</v>
      </c>
      <c r="V507" s="989">
        <f t="shared" si="57"/>
        <v>100</v>
      </c>
      <c r="W507" s="989"/>
      <c r="X507" s="989">
        <f t="shared" si="53"/>
        <v>0</v>
      </c>
      <c r="Y507" s="1012"/>
      <c r="Z507" s="941"/>
      <c r="AA507" s="941"/>
      <c r="AB507" s="941"/>
      <c r="AC507" s="941"/>
      <c r="AD507" s="941"/>
      <c r="AE507" s="941"/>
      <c r="AF507" s="941"/>
      <c r="AG507" s="941"/>
      <c r="AH507" s="941"/>
      <c r="AI507" s="941"/>
      <c r="AJ507" s="941"/>
      <c r="AK507" s="941"/>
      <c r="AL507" s="941"/>
      <c r="AM507" s="941"/>
    </row>
    <row r="508" spans="1:39" s="969" customFormat="1" ht="63" customHeight="1">
      <c r="A508" s="1006">
        <v>390</v>
      </c>
      <c r="B508" s="1007" t="s">
        <v>1920</v>
      </c>
      <c r="C508" s="1008"/>
      <c r="D508" s="1008" t="s">
        <v>3812</v>
      </c>
      <c r="E508" s="1007" t="s">
        <v>1921</v>
      </c>
      <c r="F508" s="1010" t="s">
        <v>2978</v>
      </c>
      <c r="G508" s="989">
        <f>45200-5747</f>
        <v>39453</v>
      </c>
      <c r="H508" s="937"/>
      <c r="I508" s="1046"/>
      <c r="J508" s="1046"/>
      <c r="K508" s="1047"/>
      <c r="L508" s="1046"/>
      <c r="M508" s="1094">
        <f>-5747+5747</f>
        <v>0</v>
      </c>
      <c r="N508" s="989">
        <f>G508+M508</f>
        <v>39453</v>
      </c>
      <c r="O508" s="989">
        <v>0</v>
      </c>
      <c r="P508" s="989">
        <v>39453</v>
      </c>
      <c r="Q508" s="989">
        <f t="shared" si="54"/>
        <v>39453</v>
      </c>
      <c r="R508" s="989">
        <f t="shared" si="58"/>
        <v>100</v>
      </c>
      <c r="S508" s="1011">
        <v>0</v>
      </c>
      <c r="T508" s="989">
        <f t="shared" si="55"/>
        <v>0</v>
      </c>
      <c r="U508" s="989">
        <f t="shared" si="56"/>
        <v>39453</v>
      </c>
      <c r="V508" s="989">
        <f t="shared" si="57"/>
        <v>100</v>
      </c>
      <c r="W508" s="989"/>
      <c r="X508" s="989">
        <f t="shared" si="53"/>
        <v>0</v>
      </c>
      <c r="Y508" s="1012"/>
      <c r="Z508" s="941"/>
      <c r="AA508" s="941"/>
      <c r="AB508" s="941"/>
      <c r="AC508" s="941"/>
      <c r="AD508" s="941"/>
      <c r="AE508" s="941"/>
      <c r="AF508" s="941"/>
      <c r="AG508" s="941"/>
      <c r="AH508" s="941"/>
      <c r="AI508" s="941"/>
      <c r="AJ508" s="941"/>
      <c r="AK508" s="941"/>
      <c r="AL508" s="941"/>
      <c r="AM508" s="941"/>
    </row>
    <row r="509" spans="1:39" s="969" customFormat="1" ht="63" customHeight="1">
      <c r="A509" s="1006">
        <v>391</v>
      </c>
      <c r="B509" s="1007" t="s">
        <v>1922</v>
      </c>
      <c r="C509" s="1008"/>
      <c r="D509" s="1008" t="s">
        <v>3813</v>
      </c>
      <c r="E509" s="1007" t="s">
        <v>1923</v>
      </c>
      <c r="F509" s="1010" t="s">
        <v>793</v>
      </c>
      <c r="G509" s="989">
        <f>936000-90700</f>
        <v>845300</v>
      </c>
      <c r="H509" s="937"/>
      <c r="I509" s="1046"/>
      <c r="J509" s="1046"/>
      <c r="K509" s="1047">
        <v>-81000</v>
      </c>
      <c r="L509" s="1046"/>
      <c r="M509" s="1094">
        <f>-90700+90700</f>
        <v>0</v>
      </c>
      <c r="N509" s="989">
        <f>G509+M509+K509</f>
        <v>764300</v>
      </c>
      <c r="O509" s="989">
        <v>341800</v>
      </c>
      <c r="P509" s="989">
        <v>422500</v>
      </c>
      <c r="Q509" s="989">
        <f t="shared" si="54"/>
        <v>764300</v>
      </c>
      <c r="R509" s="989">
        <f t="shared" si="58"/>
        <v>100</v>
      </c>
      <c r="S509" s="1011">
        <v>0</v>
      </c>
      <c r="T509" s="989">
        <f t="shared" si="55"/>
        <v>0</v>
      </c>
      <c r="U509" s="989">
        <f t="shared" si="56"/>
        <v>764300</v>
      </c>
      <c r="V509" s="989">
        <f t="shared" si="57"/>
        <v>100</v>
      </c>
      <c r="W509" s="989"/>
      <c r="X509" s="989">
        <f t="shared" si="53"/>
        <v>0</v>
      </c>
      <c r="Y509" s="1012"/>
      <c r="Z509" s="941"/>
      <c r="AA509" s="941"/>
      <c r="AB509" s="941"/>
      <c r="AC509" s="941"/>
      <c r="AD509" s="941"/>
      <c r="AE509" s="941"/>
      <c r="AF509" s="941"/>
      <c r="AG509" s="941"/>
      <c r="AH509" s="941"/>
      <c r="AI509" s="941"/>
      <c r="AJ509" s="941"/>
      <c r="AK509" s="941"/>
      <c r="AL509" s="941"/>
      <c r="AM509" s="941"/>
    </row>
    <row r="510" spans="1:39" s="969" customFormat="1" ht="63" customHeight="1">
      <c r="A510" s="1006">
        <v>392</v>
      </c>
      <c r="B510" s="1007" t="s">
        <v>1924</v>
      </c>
      <c r="C510" s="1008"/>
      <c r="D510" s="1008" t="s">
        <v>3814</v>
      </c>
      <c r="E510" s="1007" t="s">
        <v>3167</v>
      </c>
      <c r="F510" s="1010" t="s">
        <v>358</v>
      </c>
      <c r="G510" s="989">
        <f>271200-70722.03</f>
        <v>200477.97</v>
      </c>
      <c r="H510" s="937"/>
      <c r="I510" s="1046"/>
      <c r="J510" s="1046"/>
      <c r="K510" s="1047"/>
      <c r="L510" s="1046"/>
      <c r="M510" s="1094">
        <f>-70722.03+70722.03</f>
        <v>0</v>
      </c>
      <c r="N510" s="989">
        <f>G510+M510</f>
        <v>200477.97</v>
      </c>
      <c r="O510" s="989">
        <v>0</v>
      </c>
      <c r="P510" s="989">
        <v>200477.97</v>
      </c>
      <c r="Q510" s="989">
        <f t="shared" si="54"/>
        <v>200477.97</v>
      </c>
      <c r="R510" s="989">
        <f t="shared" si="58"/>
        <v>100</v>
      </c>
      <c r="S510" s="1011">
        <v>0</v>
      </c>
      <c r="T510" s="989">
        <f t="shared" si="55"/>
        <v>0</v>
      </c>
      <c r="U510" s="989">
        <f t="shared" si="56"/>
        <v>200477.97</v>
      </c>
      <c r="V510" s="989">
        <f t="shared" si="57"/>
        <v>100</v>
      </c>
      <c r="W510" s="989"/>
      <c r="X510" s="989">
        <f t="shared" si="53"/>
        <v>0</v>
      </c>
      <c r="Y510" s="1012"/>
      <c r="Z510" s="941"/>
      <c r="AA510" s="941"/>
      <c r="AB510" s="941"/>
      <c r="AC510" s="941"/>
      <c r="AD510" s="941"/>
      <c r="AE510" s="941"/>
      <c r="AF510" s="941"/>
      <c r="AG510" s="941"/>
      <c r="AH510" s="941"/>
      <c r="AI510" s="941"/>
      <c r="AJ510" s="941"/>
      <c r="AK510" s="941"/>
      <c r="AL510" s="941"/>
      <c r="AM510" s="941"/>
    </row>
    <row r="511" spans="1:39" s="969" customFormat="1" ht="63" customHeight="1">
      <c r="A511" s="1006">
        <v>393</v>
      </c>
      <c r="B511" s="1007" t="s">
        <v>1925</v>
      </c>
      <c r="C511" s="1008"/>
      <c r="D511" s="1008" t="s">
        <v>3815</v>
      </c>
      <c r="E511" s="1007" t="s">
        <v>1926</v>
      </c>
      <c r="F511" s="1010" t="s">
        <v>793</v>
      </c>
      <c r="G511" s="989">
        <v>728000</v>
      </c>
      <c r="H511" s="937"/>
      <c r="I511" s="1046"/>
      <c r="J511" s="1046"/>
      <c r="K511" s="1047">
        <v>-40769</v>
      </c>
      <c r="L511" s="1046"/>
      <c r="M511" s="1094">
        <v>-53691.08</v>
      </c>
      <c r="N511" s="989">
        <f>728000+K511+M511</f>
        <v>633539.92000000004</v>
      </c>
      <c r="O511" s="989">
        <v>102800</v>
      </c>
      <c r="P511" s="989">
        <v>530739.92000000004</v>
      </c>
      <c r="Q511" s="989">
        <f t="shared" si="54"/>
        <v>633539.92000000004</v>
      </c>
      <c r="R511" s="989">
        <f t="shared" si="58"/>
        <v>100</v>
      </c>
      <c r="S511" s="1011">
        <v>0</v>
      </c>
      <c r="T511" s="989">
        <f t="shared" si="55"/>
        <v>0</v>
      </c>
      <c r="U511" s="989">
        <f t="shared" si="56"/>
        <v>633539.92000000004</v>
      </c>
      <c r="V511" s="989">
        <f t="shared" si="57"/>
        <v>100</v>
      </c>
      <c r="W511" s="989"/>
      <c r="X511" s="989">
        <f t="shared" si="53"/>
        <v>0</v>
      </c>
      <c r="Y511" s="1012"/>
      <c r="Z511" s="941"/>
      <c r="AA511" s="941"/>
      <c r="AB511" s="941"/>
      <c r="AC511" s="941"/>
      <c r="AD511" s="941"/>
      <c r="AE511" s="941"/>
      <c r="AF511" s="941"/>
      <c r="AG511" s="941"/>
      <c r="AH511" s="941"/>
      <c r="AI511" s="941"/>
      <c r="AJ511" s="941"/>
      <c r="AK511" s="941"/>
      <c r="AL511" s="941"/>
      <c r="AM511" s="941"/>
    </row>
    <row r="512" spans="1:39" s="969" customFormat="1" ht="63" customHeight="1">
      <c r="A512" s="1006">
        <v>394</v>
      </c>
      <c r="B512" s="1007" t="s">
        <v>1927</v>
      </c>
      <c r="C512" s="1008"/>
      <c r="D512" s="1008" t="s">
        <v>3816</v>
      </c>
      <c r="E512" s="1007" t="s">
        <v>3168</v>
      </c>
      <c r="F512" s="1010" t="s">
        <v>358</v>
      </c>
      <c r="G512" s="989">
        <v>135600</v>
      </c>
      <c r="H512" s="937"/>
      <c r="I512" s="1046"/>
      <c r="J512" s="1046"/>
      <c r="K512" s="1047"/>
      <c r="L512" s="1046"/>
      <c r="M512" s="1094"/>
      <c r="N512" s="989">
        <v>135600</v>
      </c>
      <c r="O512" s="989">
        <v>0</v>
      </c>
      <c r="P512" s="989">
        <v>135600</v>
      </c>
      <c r="Q512" s="989">
        <f t="shared" si="54"/>
        <v>135600</v>
      </c>
      <c r="R512" s="989">
        <f t="shared" si="58"/>
        <v>100</v>
      </c>
      <c r="S512" s="1011">
        <v>0</v>
      </c>
      <c r="T512" s="989">
        <f t="shared" si="55"/>
        <v>0</v>
      </c>
      <c r="U512" s="989">
        <f t="shared" si="56"/>
        <v>135600</v>
      </c>
      <c r="V512" s="989">
        <f t="shared" si="57"/>
        <v>100</v>
      </c>
      <c r="W512" s="989"/>
      <c r="X512" s="989">
        <f t="shared" si="53"/>
        <v>0</v>
      </c>
      <c r="Y512" s="1012"/>
      <c r="Z512" s="941"/>
      <c r="AA512" s="941"/>
      <c r="AB512" s="941"/>
      <c r="AC512" s="941"/>
      <c r="AD512" s="941"/>
      <c r="AE512" s="941"/>
      <c r="AF512" s="941"/>
      <c r="AG512" s="941"/>
      <c r="AH512" s="941"/>
      <c r="AI512" s="941"/>
      <c r="AJ512" s="941"/>
      <c r="AK512" s="941"/>
      <c r="AL512" s="941"/>
      <c r="AM512" s="941"/>
    </row>
    <row r="513" spans="1:25" ht="63" customHeight="1">
      <c r="A513" s="1006">
        <v>395</v>
      </c>
      <c r="B513" s="1007" t="s">
        <v>1928</v>
      </c>
      <c r="C513" s="1008"/>
      <c r="D513" s="1008" t="s">
        <v>3817</v>
      </c>
      <c r="E513" s="1007" t="s">
        <v>1929</v>
      </c>
      <c r="F513" s="1010" t="s">
        <v>793</v>
      </c>
      <c r="G513" s="989">
        <v>1456000</v>
      </c>
      <c r="H513" s="937"/>
      <c r="I513" s="1046"/>
      <c r="J513" s="1046"/>
      <c r="K513" s="1047">
        <f>-121000-354658</f>
        <v>-475658</v>
      </c>
      <c r="L513" s="1046"/>
      <c r="M513" s="1094"/>
      <c r="N513" s="989">
        <f>1456000+M513+K513</f>
        <v>980342</v>
      </c>
      <c r="O513" s="989">
        <v>980342</v>
      </c>
      <c r="P513" s="989">
        <v>0</v>
      </c>
      <c r="Q513" s="989">
        <f t="shared" si="54"/>
        <v>980342</v>
      </c>
      <c r="R513" s="989">
        <f t="shared" si="58"/>
        <v>100</v>
      </c>
      <c r="S513" s="1011">
        <v>0</v>
      </c>
      <c r="T513" s="989">
        <f t="shared" si="55"/>
        <v>0</v>
      </c>
      <c r="U513" s="989">
        <f t="shared" si="56"/>
        <v>980342</v>
      </c>
      <c r="V513" s="989">
        <f t="shared" si="57"/>
        <v>100</v>
      </c>
      <c r="W513" s="989"/>
      <c r="X513" s="989">
        <f t="shared" si="53"/>
        <v>0</v>
      </c>
      <c r="Y513" s="1012"/>
    </row>
    <row r="514" spans="1:25" ht="63" customHeight="1">
      <c r="A514" s="1006">
        <v>396</v>
      </c>
      <c r="B514" s="1007" t="s">
        <v>1930</v>
      </c>
      <c r="C514" s="1008"/>
      <c r="D514" s="1008" t="s">
        <v>3818</v>
      </c>
      <c r="E514" s="1007" t="s">
        <v>1931</v>
      </c>
      <c r="F514" s="1010" t="s">
        <v>358</v>
      </c>
      <c r="G514" s="989">
        <f>135600-27905</f>
        <v>107695</v>
      </c>
      <c r="H514" s="937"/>
      <c r="I514" s="1046"/>
      <c r="J514" s="1046"/>
      <c r="K514" s="1047"/>
      <c r="L514" s="1046"/>
      <c r="M514" s="1094">
        <f>-27905+27905</f>
        <v>0</v>
      </c>
      <c r="N514" s="989">
        <f>G514+M514</f>
        <v>107695</v>
      </c>
      <c r="O514" s="989">
        <v>0</v>
      </c>
      <c r="P514" s="989">
        <v>107695</v>
      </c>
      <c r="Q514" s="989">
        <f t="shared" si="54"/>
        <v>107695</v>
      </c>
      <c r="R514" s="989">
        <f t="shared" si="58"/>
        <v>100</v>
      </c>
      <c r="S514" s="1011">
        <v>0</v>
      </c>
      <c r="T514" s="989">
        <f t="shared" si="55"/>
        <v>0</v>
      </c>
      <c r="U514" s="989">
        <f t="shared" si="56"/>
        <v>107695</v>
      </c>
      <c r="V514" s="989">
        <f t="shared" si="57"/>
        <v>100</v>
      </c>
      <c r="W514" s="989"/>
      <c r="X514" s="989">
        <f t="shared" si="53"/>
        <v>0</v>
      </c>
      <c r="Y514" s="1012"/>
    </row>
    <row r="515" spans="1:25" ht="63" customHeight="1">
      <c r="A515" s="1006">
        <v>397</v>
      </c>
      <c r="B515" s="1007" t="s">
        <v>1932</v>
      </c>
      <c r="C515" s="1008"/>
      <c r="D515" s="1008" t="s">
        <v>3819</v>
      </c>
      <c r="E515" s="1007" t="s">
        <v>1933</v>
      </c>
      <c r="F515" s="1010" t="s">
        <v>793</v>
      </c>
      <c r="G515" s="989">
        <v>208000</v>
      </c>
      <c r="H515" s="937"/>
      <c r="I515" s="1046"/>
      <c r="J515" s="1046"/>
      <c r="K515" s="1047"/>
      <c r="L515" s="1046"/>
      <c r="M515" s="1094"/>
      <c r="N515" s="989">
        <v>208000</v>
      </c>
      <c r="O515" s="989">
        <v>0</v>
      </c>
      <c r="P515" s="989">
        <v>208000</v>
      </c>
      <c r="Q515" s="989">
        <f t="shared" si="54"/>
        <v>208000</v>
      </c>
      <c r="R515" s="989">
        <f t="shared" si="58"/>
        <v>100</v>
      </c>
      <c r="S515" s="1011">
        <v>0</v>
      </c>
      <c r="T515" s="989">
        <f t="shared" si="55"/>
        <v>0</v>
      </c>
      <c r="U515" s="989">
        <f t="shared" si="56"/>
        <v>208000</v>
      </c>
      <c r="V515" s="989">
        <f t="shared" si="57"/>
        <v>100</v>
      </c>
      <c r="W515" s="989"/>
      <c r="X515" s="989">
        <f t="shared" si="53"/>
        <v>0</v>
      </c>
      <c r="Y515" s="1012"/>
    </row>
    <row r="516" spans="1:25" ht="63" customHeight="1">
      <c r="A516" s="1006">
        <v>398</v>
      </c>
      <c r="B516" s="1007" t="s">
        <v>1934</v>
      </c>
      <c r="C516" s="1008"/>
      <c r="D516" s="1008" t="s">
        <v>3820</v>
      </c>
      <c r="E516" s="1007" t="s">
        <v>3169</v>
      </c>
      <c r="F516" s="1010" t="s">
        <v>358</v>
      </c>
      <c r="G516" s="989">
        <f>135600-32201.35</f>
        <v>103398.65</v>
      </c>
      <c r="H516" s="937"/>
      <c r="I516" s="1046"/>
      <c r="J516" s="1046"/>
      <c r="K516" s="1047"/>
      <c r="L516" s="1046"/>
      <c r="M516" s="1094">
        <f>-32201.35+32201.35</f>
        <v>0</v>
      </c>
      <c r="N516" s="989">
        <f>G516+M516</f>
        <v>103398.65</v>
      </c>
      <c r="O516" s="989">
        <v>0</v>
      </c>
      <c r="P516" s="989">
        <v>103398.65</v>
      </c>
      <c r="Q516" s="989">
        <f t="shared" si="54"/>
        <v>103398.65</v>
      </c>
      <c r="R516" s="989">
        <f t="shared" si="58"/>
        <v>100</v>
      </c>
      <c r="S516" s="1011">
        <v>0</v>
      </c>
      <c r="T516" s="989">
        <f t="shared" si="55"/>
        <v>0</v>
      </c>
      <c r="U516" s="989">
        <f t="shared" si="56"/>
        <v>103398.65</v>
      </c>
      <c r="V516" s="989">
        <f t="shared" si="57"/>
        <v>100</v>
      </c>
      <c r="W516" s="989"/>
      <c r="X516" s="989">
        <f t="shared" si="53"/>
        <v>0</v>
      </c>
      <c r="Y516" s="1012"/>
    </row>
    <row r="517" spans="1:25" ht="63" customHeight="1">
      <c r="A517" s="1006">
        <v>399</v>
      </c>
      <c r="B517" s="1007" t="s">
        <v>1935</v>
      </c>
      <c r="C517" s="1008"/>
      <c r="D517" s="1008" t="s">
        <v>3821</v>
      </c>
      <c r="E517" s="1007" t="s">
        <v>1936</v>
      </c>
      <c r="F517" s="1010" t="s">
        <v>793</v>
      </c>
      <c r="G517" s="989">
        <f>624000-175241.65</f>
        <v>448758.35</v>
      </c>
      <c r="H517" s="937"/>
      <c r="I517" s="1046"/>
      <c r="J517" s="1046"/>
      <c r="K517" s="1047">
        <v>-54000</v>
      </c>
      <c r="L517" s="1046"/>
      <c r="M517" s="1094">
        <f>-175241.65+175241.65</f>
        <v>0</v>
      </c>
      <c r="N517" s="989">
        <f>G517+M517+K517</f>
        <v>394758.35</v>
      </c>
      <c r="O517" s="989">
        <v>394758.35</v>
      </c>
      <c r="P517" s="989">
        <v>0</v>
      </c>
      <c r="Q517" s="989">
        <f t="shared" si="54"/>
        <v>394758.35</v>
      </c>
      <c r="R517" s="989">
        <f t="shared" si="58"/>
        <v>100</v>
      </c>
      <c r="S517" s="1011">
        <v>0</v>
      </c>
      <c r="T517" s="989">
        <f t="shared" si="55"/>
        <v>0</v>
      </c>
      <c r="U517" s="989">
        <f t="shared" si="56"/>
        <v>394758.35</v>
      </c>
      <c r="V517" s="989">
        <f t="shared" si="57"/>
        <v>100</v>
      </c>
      <c r="W517" s="989"/>
      <c r="X517" s="989">
        <f t="shared" si="53"/>
        <v>0</v>
      </c>
      <c r="Y517" s="1012"/>
    </row>
    <row r="518" spans="1:25" ht="63" customHeight="1">
      <c r="A518" s="1006">
        <v>400</v>
      </c>
      <c r="B518" s="1007" t="s">
        <v>1937</v>
      </c>
      <c r="C518" s="1008"/>
      <c r="D518" s="1008" t="s">
        <v>3822</v>
      </c>
      <c r="E518" s="1007" t="s">
        <v>1938</v>
      </c>
      <c r="F518" s="1010" t="s">
        <v>358</v>
      </c>
      <c r="G518" s="989">
        <f>90400-1629</f>
        <v>88771</v>
      </c>
      <c r="H518" s="937"/>
      <c r="I518" s="1046"/>
      <c r="J518" s="1046"/>
      <c r="K518" s="1047"/>
      <c r="L518" s="1046"/>
      <c r="M518" s="1094">
        <f>-1629+1629</f>
        <v>0</v>
      </c>
      <c r="N518" s="989">
        <f>G518+M518</f>
        <v>88771</v>
      </c>
      <c r="O518" s="989">
        <v>0</v>
      </c>
      <c r="P518" s="989">
        <v>88771</v>
      </c>
      <c r="Q518" s="989">
        <f t="shared" si="54"/>
        <v>88771</v>
      </c>
      <c r="R518" s="989">
        <f t="shared" si="58"/>
        <v>100</v>
      </c>
      <c r="S518" s="1011">
        <v>0</v>
      </c>
      <c r="T518" s="989">
        <f t="shared" si="55"/>
        <v>0</v>
      </c>
      <c r="U518" s="989">
        <f t="shared" si="56"/>
        <v>88771</v>
      </c>
      <c r="V518" s="989">
        <f t="shared" si="57"/>
        <v>100</v>
      </c>
      <c r="W518" s="989"/>
      <c r="X518" s="989">
        <f t="shared" si="53"/>
        <v>0</v>
      </c>
      <c r="Y518" s="1012"/>
    </row>
    <row r="519" spans="1:25" ht="63" customHeight="1">
      <c r="A519" s="1006">
        <v>401</v>
      </c>
      <c r="B519" s="1007" t="s">
        <v>1939</v>
      </c>
      <c r="C519" s="1008"/>
      <c r="D519" s="1008" t="s">
        <v>3823</v>
      </c>
      <c r="E519" s="1007" t="s">
        <v>1940</v>
      </c>
      <c r="F519" s="1010" t="s">
        <v>793</v>
      </c>
      <c r="G519" s="989">
        <v>1040000</v>
      </c>
      <c r="H519" s="937"/>
      <c r="I519" s="1046"/>
      <c r="J519" s="1046"/>
      <c r="K519" s="1047"/>
      <c r="L519" s="1046"/>
      <c r="M519" s="1094"/>
      <c r="N519" s="989">
        <v>1040000</v>
      </c>
      <c r="O519" s="989">
        <v>0</v>
      </c>
      <c r="P519" s="989">
        <v>1040000</v>
      </c>
      <c r="Q519" s="989">
        <f t="shared" si="54"/>
        <v>1040000</v>
      </c>
      <c r="R519" s="989">
        <f t="shared" si="58"/>
        <v>100</v>
      </c>
      <c r="S519" s="1011">
        <v>0</v>
      </c>
      <c r="T519" s="989">
        <f t="shared" si="55"/>
        <v>0</v>
      </c>
      <c r="U519" s="989">
        <f t="shared" si="56"/>
        <v>1040000</v>
      </c>
      <c r="V519" s="989">
        <f t="shared" si="57"/>
        <v>100</v>
      </c>
      <c r="W519" s="989"/>
      <c r="X519" s="989">
        <f t="shared" si="53"/>
        <v>0</v>
      </c>
      <c r="Y519" s="1012"/>
    </row>
    <row r="520" spans="1:25" ht="63" customHeight="1">
      <c r="A520" s="1006">
        <v>402</v>
      </c>
      <c r="B520" s="1007" t="s">
        <v>1941</v>
      </c>
      <c r="C520" s="1008"/>
      <c r="D520" s="1008" t="s">
        <v>3824</v>
      </c>
      <c r="E520" s="1007" t="s">
        <v>3170</v>
      </c>
      <c r="F520" s="1010" t="s">
        <v>358</v>
      </c>
      <c r="G520" s="989">
        <v>90400</v>
      </c>
      <c r="H520" s="937"/>
      <c r="I520" s="1046"/>
      <c r="J520" s="1046"/>
      <c r="K520" s="1047"/>
      <c r="L520" s="1046"/>
      <c r="M520" s="1094"/>
      <c r="N520" s="989">
        <v>90400</v>
      </c>
      <c r="O520" s="989">
        <v>0</v>
      </c>
      <c r="P520" s="989">
        <v>90400</v>
      </c>
      <c r="Q520" s="989">
        <f t="shared" si="54"/>
        <v>90400</v>
      </c>
      <c r="R520" s="989">
        <f t="shared" si="58"/>
        <v>100</v>
      </c>
      <c r="S520" s="1011">
        <v>0</v>
      </c>
      <c r="T520" s="989">
        <f t="shared" si="55"/>
        <v>0</v>
      </c>
      <c r="U520" s="989">
        <f t="shared" si="56"/>
        <v>90400</v>
      </c>
      <c r="V520" s="989">
        <f t="shared" si="57"/>
        <v>100</v>
      </c>
      <c r="W520" s="989"/>
      <c r="X520" s="989">
        <f t="shared" si="53"/>
        <v>0</v>
      </c>
      <c r="Y520" s="1012"/>
    </row>
    <row r="521" spans="1:25" ht="63" customHeight="1">
      <c r="A521" s="1006">
        <v>403</v>
      </c>
      <c r="B521" s="1007" t="s">
        <v>1942</v>
      </c>
      <c r="C521" s="1008"/>
      <c r="D521" s="1008" t="s">
        <v>3825</v>
      </c>
      <c r="E521" s="1007" t="s">
        <v>1943</v>
      </c>
      <c r="F521" s="1010" t="s">
        <v>793</v>
      </c>
      <c r="G521" s="989">
        <v>1040000</v>
      </c>
      <c r="H521" s="937"/>
      <c r="I521" s="1046"/>
      <c r="J521" s="1046"/>
      <c r="K521" s="1047">
        <v>-6840</v>
      </c>
      <c r="L521" s="1046"/>
      <c r="M521" s="1094"/>
      <c r="N521" s="989">
        <f>1040000+K521</f>
        <v>1033160</v>
      </c>
      <c r="O521" s="989">
        <v>832000</v>
      </c>
      <c r="P521" s="989">
        <v>201160</v>
      </c>
      <c r="Q521" s="989">
        <f t="shared" si="54"/>
        <v>1033160</v>
      </c>
      <c r="R521" s="989">
        <f t="shared" si="58"/>
        <v>100</v>
      </c>
      <c r="S521" s="1011">
        <v>0</v>
      </c>
      <c r="T521" s="989">
        <f t="shared" si="55"/>
        <v>0</v>
      </c>
      <c r="U521" s="989">
        <f t="shared" si="56"/>
        <v>1033160</v>
      </c>
      <c r="V521" s="989">
        <f t="shared" si="57"/>
        <v>100</v>
      </c>
      <c r="W521" s="989"/>
      <c r="X521" s="989">
        <f t="shared" si="53"/>
        <v>0</v>
      </c>
      <c r="Y521" s="1012"/>
    </row>
    <row r="522" spans="1:25" ht="63" customHeight="1">
      <c r="A522" s="1006">
        <v>404</v>
      </c>
      <c r="B522" s="1007" t="s">
        <v>4496</v>
      </c>
      <c r="C522" s="1008"/>
      <c r="D522" s="1008" t="s">
        <v>4497</v>
      </c>
      <c r="E522" s="1007" t="s">
        <v>4386</v>
      </c>
      <c r="F522" s="1010" t="s">
        <v>358</v>
      </c>
      <c r="G522" s="989">
        <v>0</v>
      </c>
      <c r="H522" s="937"/>
      <c r="I522" s="1046"/>
      <c r="J522" s="1046"/>
      <c r="K522" s="1047"/>
      <c r="L522" s="1046"/>
      <c r="M522" s="1094"/>
      <c r="N522" s="989">
        <v>0</v>
      </c>
      <c r="O522" s="989">
        <v>0</v>
      </c>
      <c r="P522" s="989"/>
      <c r="Q522" s="989">
        <f t="shared" si="54"/>
        <v>0</v>
      </c>
      <c r="R522" s="989" t="e">
        <f t="shared" si="58"/>
        <v>#DIV/0!</v>
      </c>
      <c r="S522" s="1011"/>
      <c r="T522" s="989">
        <v>0</v>
      </c>
      <c r="U522" s="989">
        <f t="shared" si="56"/>
        <v>0</v>
      </c>
      <c r="V522" s="989">
        <v>0</v>
      </c>
      <c r="W522" s="989"/>
      <c r="X522" s="989">
        <f t="shared" si="53"/>
        <v>0</v>
      </c>
      <c r="Y522" s="1012"/>
    </row>
    <row r="523" spans="1:25" ht="63" customHeight="1">
      <c r="A523" s="1006">
        <v>405</v>
      </c>
      <c r="B523" s="1007" t="s">
        <v>1944</v>
      </c>
      <c r="C523" s="1008"/>
      <c r="D523" s="1008" t="s">
        <v>3826</v>
      </c>
      <c r="E523" s="1007" t="s">
        <v>1945</v>
      </c>
      <c r="F523" s="1010" t="s">
        <v>793</v>
      </c>
      <c r="G523" s="989">
        <f>208000-11463.01</f>
        <v>196536.99</v>
      </c>
      <c r="H523" s="937"/>
      <c r="I523" s="1046"/>
      <c r="J523" s="1046"/>
      <c r="K523" s="1047">
        <v>-15000</v>
      </c>
      <c r="L523" s="1046"/>
      <c r="M523" s="1094">
        <f>-11463.01+11463.01</f>
        <v>0</v>
      </c>
      <c r="N523" s="989">
        <f>G523+M523+K523</f>
        <v>181536.99</v>
      </c>
      <c r="O523" s="989">
        <v>181536.99</v>
      </c>
      <c r="P523" s="989">
        <v>0</v>
      </c>
      <c r="Q523" s="989">
        <f t="shared" si="54"/>
        <v>181536.99</v>
      </c>
      <c r="R523" s="989">
        <f t="shared" si="58"/>
        <v>100</v>
      </c>
      <c r="S523" s="1011">
        <v>0</v>
      </c>
      <c r="T523" s="989">
        <f t="shared" si="55"/>
        <v>0</v>
      </c>
      <c r="U523" s="989">
        <f t="shared" si="56"/>
        <v>181536.99</v>
      </c>
      <c r="V523" s="989">
        <f t="shared" si="57"/>
        <v>100</v>
      </c>
      <c r="W523" s="989"/>
      <c r="X523" s="989">
        <f t="shared" si="53"/>
        <v>0</v>
      </c>
      <c r="Y523" s="1012"/>
    </row>
    <row r="524" spans="1:25" ht="63" customHeight="1">
      <c r="A524" s="1006">
        <v>406</v>
      </c>
      <c r="B524" s="1007" t="s">
        <v>1946</v>
      </c>
      <c r="C524" s="1008"/>
      <c r="D524" s="1008" t="s">
        <v>3827</v>
      </c>
      <c r="E524" s="1007" t="s">
        <v>1947</v>
      </c>
      <c r="F524" s="1010" t="s">
        <v>358</v>
      </c>
      <c r="G524" s="989">
        <f>45200-15200</f>
        <v>30000</v>
      </c>
      <c r="H524" s="937"/>
      <c r="I524" s="1046"/>
      <c r="J524" s="1046"/>
      <c r="K524" s="1047"/>
      <c r="L524" s="1046"/>
      <c r="M524" s="1094">
        <f>-15200+15200</f>
        <v>0</v>
      </c>
      <c r="N524" s="989">
        <f>G524+M524</f>
        <v>30000</v>
      </c>
      <c r="O524" s="989">
        <v>0</v>
      </c>
      <c r="P524" s="989">
        <v>30000</v>
      </c>
      <c r="Q524" s="989">
        <f t="shared" si="54"/>
        <v>30000</v>
      </c>
      <c r="R524" s="989">
        <f t="shared" si="58"/>
        <v>100</v>
      </c>
      <c r="S524" s="1011">
        <v>0</v>
      </c>
      <c r="T524" s="989">
        <f t="shared" si="55"/>
        <v>0</v>
      </c>
      <c r="U524" s="989">
        <f t="shared" si="56"/>
        <v>30000</v>
      </c>
      <c r="V524" s="989">
        <f t="shared" si="57"/>
        <v>100</v>
      </c>
      <c r="W524" s="989"/>
      <c r="X524" s="989">
        <f t="shared" si="53"/>
        <v>0</v>
      </c>
      <c r="Y524" s="1012"/>
    </row>
    <row r="525" spans="1:25" ht="63" customHeight="1">
      <c r="A525" s="1006">
        <v>407</v>
      </c>
      <c r="B525" s="1007" t="s">
        <v>1948</v>
      </c>
      <c r="C525" s="1008"/>
      <c r="D525" s="1008" t="s">
        <v>3828</v>
      </c>
      <c r="E525" s="1007" t="s">
        <v>1949</v>
      </c>
      <c r="F525" s="1010" t="s">
        <v>793</v>
      </c>
      <c r="G525" s="989">
        <v>832000</v>
      </c>
      <c r="H525" s="937"/>
      <c r="I525" s="1046"/>
      <c r="J525" s="1046"/>
      <c r="K525" s="1047"/>
      <c r="L525" s="1046"/>
      <c r="M525" s="1094">
        <v>-67197</v>
      </c>
      <c r="N525" s="989">
        <f>832000+M525</f>
        <v>764803</v>
      </c>
      <c r="O525" s="989">
        <v>0</v>
      </c>
      <c r="P525" s="989">
        <v>454303</v>
      </c>
      <c r="Q525" s="989">
        <f t="shared" si="54"/>
        <v>454303</v>
      </c>
      <c r="R525" s="989">
        <f t="shared" si="58"/>
        <v>59.401309879799115</v>
      </c>
      <c r="S525" s="1011">
        <v>310500</v>
      </c>
      <c r="T525" s="989">
        <f t="shared" si="55"/>
        <v>40.598690120200885</v>
      </c>
      <c r="U525" s="989">
        <f t="shared" si="56"/>
        <v>764803</v>
      </c>
      <c r="V525" s="989">
        <f t="shared" si="57"/>
        <v>100</v>
      </c>
      <c r="W525" s="989"/>
      <c r="X525" s="989">
        <f t="shared" si="53"/>
        <v>0</v>
      </c>
      <c r="Y525" s="1012"/>
    </row>
    <row r="526" spans="1:25" ht="63" customHeight="1">
      <c r="A526" s="1006">
        <v>408</v>
      </c>
      <c r="B526" s="1007" t="s">
        <v>1950</v>
      </c>
      <c r="C526" s="1008"/>
      <c r="D526" s="1008" t="s">
        <v>3829</v>
      </c>
      <c r="E526" s="1007" t="s">
        <v>1951</v>
      </c>
      <c r="F526" s="1010" t="s">
        <v>358</v>
      </c>
      <c r="G526" s="989">
        <f>90400-15681</f>
        <v>74719</v>
      </c>
      <c r="H526" s="937"/>
      <c r="I526" s="1046"/>
      <c r="J526" s="1046"/>
      <c r="K526" s="1047"/>
      <c r="L526" s="1046"/>
      <c r="M526" s="1094">
        <f>-15681+15681</f>
        <v>0</v>
      </c>
      <c r="N526" s="989">
        <f>G526+M526</f>
        <v>74719</v>
      </c>
      <c r="O526" s="989">
        <v>29519</v>
      </c>
      <c r="P526" s="989">
        <v>45200</v>
      </c>
      <c r="Q526" s="989">
        <f t="shared" si="54"/>
        <v>74719</v>
      </c>
      <c r="R526" s="989">
        <f t="shared" si="58"/>
        <v>100</v>
      </c>
      <c r="S526" s="1011">
        <v>0</v>
      </c>
      <c r="T526" s="989">
        <f t="shared" si="55"/>
        <v>0</v>
      </c>
      <c r="U526" s="989">
        <f t="shared" si="56"/>
        <v>74719</v>
      </c>
      <c r="V526" s="989">
        <f t="shared" si="57"/>
        <v>100</v>
      </c>
      <c r="W526" s="989"/>
      <c r="X526" s="989">
        <f t="shared" si="53"/>
        <v>0</v>
      </c>
      <c r="Y526" s="1012"/>
    </row>
    <row r="527" spans="1:25" ht="63" customHeight="1">
      <c r="A527" s="1006">
        <v>409</v>
      </c>
      <c r="B527" s="1007" t="s">
        <v>1952</v>
      </c>
      <c r="C527" s="1008"/>
      <c r="D527" s="1008" t="s">
        <v>3830</v>
      </c>
      <c r="E527" s="1007" t="s">
        <v>3171</v>
      </c>
      <c r="F527" s="1010" t="s">
        <v>358</v>
      </c>
      <c r="G527" s="989">
        <f>90400-31000</f>
        <v>59400</v>
      </c>
      <c r="H527" s="937"/>
      <c r="I527" s="1046"/>
      <c r="J527" s="1046"/>
      <c r="K527" s="1047"/>
      <c r="L527" s="1046"/>
      <c r="M527" s="1094">
        <f>-31000+31000</f>
        <v>0</v>
      </c>
      <c r="N527" s="989">
        <f>G527+M527</f>
        <v>59400</v>
      </c>
      <c r="O527" s="989">
        <v>0</v>
      </c>
      <c r="P527" s="989">
        <v>59400</v>
      </c>
      <c r="Q527" s="989">
        <f t="shared" si="54"/>
        <v>59400</v>
      </c>
      <c r="R527" s="989">
        <f t="shared" si="58"/>
        <v>100</v>
      </c>
      <c r="S527" s="1011">
        <v>0</v>
      </c>
      <c r="T527" s="989">
        <f t="shared" si="55"/>
        <v>0</v>
      </c>
      <c r="U527" s="989">
        <f t="shared" si="56"/>
        <v>59400</v>
      </c>
      <c r="V527" s="989">
        <f t="shared" si="57"/>
        <v>100</v>
      </c>
      <c r="W527" s="989"/>
      <c r="X527" s="989">
        <f t="shared" si="53"/>
        <v>0</v>
      </c>
      <c r="Y527" s="1012"/>
    </row>
    <row r="528" spans="1:25" ht="63" customHeight="1">
      <c r="A528" s="1006">
        <v>410</v>
      </c>
      <c r="B528" s="1007" t="s">
        <v>1953</v>
      </c>
      <c r="C528" s="1008"/>
      <c r="D528" s="1008" t="s">
        <v>3831</v>
      </c>
      <c r="E528" s="1007" t="s">
        <v>1954</v>
      </c>
      <c r="F528" s="1010" t="s">
        <v>793</v>
      </c>
      <c r="G528" s="989">
        <f>1248000-10561</f>
        <v>1237439</v>
      </c>
      <c r="H528" s="937"/>
      <c r="I528" s="1046"/>
      <c r="J528" s="1046"/>
      <c r="K528" s="1047">
        <v>-108000</v>
      </c>
      <c r="L528" s="1046"/>
      <c r="M528" s="1094">
        <f>-10561+10561</f>
        <v>0</v>
      </c>
      <c r="N528" s="989">
        <f>G528+M528+K528</f>
        <v>1129439</v>
      </c>
      <c r="O528" s="989">
        <v>1045000</v>
      </c>
      <c r="P528" s="989">
        <v>84439</v>
      </c>
      <c r="Q528" s="989">
        <f t="shared" si="54"/>
        <v>1129439</v>
      </c>
      <c r="R528" s="989">
        <f t="shared" si="58"/>
        <v>100</v>
      </c>
      <c r="S528" s="1011">
        <v>0</v>
      </c>
      <c r="T528" s="989">
        <f t="shared" si="55"/>
        <v>0</v>
      </c>
      <c r="U528" s="989">
        <f t="shared" si="56"/>
        <v>1129439</v>
      </c>
      <c r="V528" s="989">
        <f t="shared" si="57"/>
        <v>100</v>
      </c>
      <c r="W528" s="989"/>
      <c r="X528" s="989">
        <f t="shared" si="53"/>
        <v>0</v>
      </c>
      <c r="Y528" s="1012"/>
    </row>
    <row r="529" spans="1:39" s="969" customFormat="1" ht="63" customHeight="1">
      <c r="A529" s="1006">
        <v>411</v>
      </c>
      <c r="B529" s="1007" t="s">
        <v>1955</v>
      </c>
      <c r="C529" s="1008"/>
      <c r="D529" s="1008" t="s">
        <v>3832</v>
      </c>
      <c r="E529" s="1007" t="s">
        <v>1956</v>
      </c>
      <c r="F529" s="1010" t="s">
        <v>793</v>
      </c>
      <c r="G529" s="989">
        <v>624000</v>
      </c>
      <c r="H529" s="937"/>
      <c r="I529" s="1046"/>
      <c r="J529" s="1046"/>
      <c r="K529" s="1047">
        <v>-45000</v>
      </c>
      <c r="L529" s="1046"/>
      <c r="M529" s="1094">
        <v>-161962.13</v>
      </c>
      <c r="N529" s="989">
        <f>624000+K529+M529</f>
        <v>417037.87</v>
      </c>
      <c r="O529" s="989">
        <v>0</v>
      </c>
      <c r="P529" s="989">
        <v>417037.87</v>
      </c>
      <c r="Q529" s="989">
        <f t="shared" si="54"/>
        <v>417037.87</v>
      </c>
      <c r="R529" s="989">
        <f t="shared" si="58"/>
        <v>100</v>
      </c>
      <c r="S529" s="1011">
        <v>0</v>
      </c>
      <c r="T529" s="989">
        <f t="shared" si="55"/>
        <v>0</v>
      </c>
      <c r="U529" s="989">
        <f t="shared" si="56"/>
        <v>417037.87</v>
      </c>
      <c r="V529" s="989">
        <f t="shared" si="57"/>
        <v>100</v>
      </c>
      <c r="W529" s="989"/>
      <c r="X529" s="989">
        <f t="shared" si="53"/>
        <v>0</v>
      </c>
      <c r="Y529" s="1012"/>
      <c r="Z529" s="941"/>
      <c r="AA529" s="941"/>
      <c r="AB529" s="941"/>
      <c r="AC529" s="941"/>
      <c r="AD529" s="941"/>
      <c r="AE529" s="941"/>
      <c r="AF529" s="941"/>
      <c r="AG529" s="941"/>
      <c r="AH529" s="941"/>
      <c r="AI529" s="941"/>
      <c r="AJ529" s="941"/>
      <c r="AK529" s="941"/>
      <c r="AL529" s="941"/>
      <c r="AM529" s="941"/>
    </row>
    <row r="530" spans="1:39" s="969" customFormat="1" ht="63" customHeight="1">
      <c r="A530" s="1006">
        <v>412</v>
      </c>
      <c r="B530" s="1007" t="s">
        <v>1957</v>
      </c>
      <c r="C530" s="1008"/>
      <c r="D530" s="1008" t="s">
        <v>3833</v>
      </c>
      <c r="E530" s="1007" t="s">
        <v>1958</v>
      </c>
      <c r="F530" s="1010" t="s">
        <v>793</v>
      </c>
      <c r="G530" s="989">
        <v>2184000</v>
      </c>
      <c r="H530" s="937"/>
      <c r="I530" s="1046"/>
      <c r="J530" s="1046"/>
      <c r="K530" s="1047">
        <v>-25512</v>
      </c>
      <c r="L530" s="1046"/>
      <c r="M530" s="1094">
        <v>-27331</v>
      </c>
      <c r="N530" s="989">
        <f>2184000+K530+M530</f>
        <v>2131157</v>
      </c>
      <c r="O530" s="989">
        <v>520000</v>
      </c>
      <c r="P530" s="989">
        <v>1611157</v>
      </c>
      <c r="Q530" s="989">
        <f t="shared" si="54"/>
        <v>2131157</v>
      </c>
      <c r="R530" s="989">
        <f t="shared" si="58"/>
        <v>100</v>
      </c>
      <c r="S530" s="1011">
        <v>0</v>
      </c>
      <c r="T530" s="989">
        <f t="shared" si="55"/>
        <v>0</v>
      </c>
      <c r="U530" s="989">
        <f t="shared" si="56"/>
        <v>2131157</v>
      </c>
      <c r="V530" s="989">
        <f t="shared" si="57"/>
        <v>100</v>
      </c>
      <c r="W530" s="989"/>
      <c r="X530" s="989">
        <f t="shared" si="53"/>
        <v>0</v>
      </c>
      <c r="Y530" s="1012"/>
      <c r="Z530" s="941"/>
      <c r="AA530" s="941"/>
      <c r="AB530" s="941"/>
      <c r="AC530" s="941"/>
      <c r="AD530" s="941"/>
      <c r="AE530" s="941"/>
      <c r="AF530" s="941"/>
      <c r="AG530" s="941"/>
      <c r="AH530" s="941"/>
      <c r="AI530" s="941"/>
      <c r="AJ530" s="941"/>
      <c r="AK530" s="941"/>
      <c r="AL530" s="941"/>
      <c r="AM530" s="941"/>
    </row>
    <row r="531" spans="1:39" s="969" customFormat="1" ht="63" customHeight="1">
      <c r="A531" s="1006">
        <v>413</v>
      </c>
      <c r="B531" s="1007" t="s">
        <v>1959</v>
      </c>
      <c r="C531" s="1008"/>
      <c r="D531" s="1008" t="s">
        <v>3834</v>
      </c>
      <c r="E531" s="1007" t="s">
        <v>1960</v>
      </c>
      <c r="F531" s="1010" t="s">
        <v>548</v>
      </c>
      <c r="G531" s="989">
        <f>208000-111877.05</f>
        <v>96122.95</v>
      </c>
      <c r="H531" s="937"/>
      <c r="I531" s="1046"/>
      <c r="J531" s="1046"/>
      <c r="K531" s="1047"/>
      <c r="L531" s="1046"/>
      <c r="M531" s="1094">
        <f>-97360-14517.05+111877.05</f>
        <v>0</v>
      </c>
      <c r="N531" s="989">
        <f>G531+M531</f>
        <v>96122.95</v>
      </c>
      <c r="O531" s="989">
        <v>0</v>
      </c>
      <c r="P531" s="989">
        <v>96122.95</v>
      </c>
      <c r="Q531" s="989">
        <f t="shared" si="54"/>
        <v>96122.95</v>
      </c>
      <c r="R531" s="989">
        <f t="shared" si="58"/>
        <v>100</v>
      </c>
      <c r="S531" s="1011">
        <v>0</v>
      </c>
      <c r="T531" s="989">
        <f t="shared" si="55"/>
        <v>0</v>
      </c>
      <c r="U531" s="989">
        <f t="shared" si="56"/>
        <v>96122.95</v>
      </c>
      <c r="V531" s="989">
        <f t="shared" si="57"/>
        <v>100</v>
      </c>
      <c r="W531" s="989"/>
      <c r="X531" s="989">
        <f t="shared" si="53"/>
        <v>0</v>
      </c>
      <c r="Y531" s="1012"/>
      <c r="Z531" s="941"/>
      <c r="AA531" s="941"/>
      <c r="AB531" s="941"/>
      <c r="AC531" s="941"/>
      <c r="AD531" s="941"/>
      <c r="AE531" s="941"/>
      <c r="AF531" s="941"/>
      <c r="AG531" s="941"/>
      <c r="AH531" s="941"/>
      <c r="AI531" s="941"/>
      <c r="AJ531" s="941"/>
      <c r="AK531" s="941"/>
      <c r="AL531" s="941"/>
      <c r="AM531" s="941"/>
    </row>
    <row r="532" spans="1:39" s="969" customFormat="1" ht="63" customHeight="1">
      <c r="A532" s="1006">
        <v>414</v>
      </c>
      <c r="B532" s="1007" t="s">
        <v>1961</v>
      </c>
      <c r="C532" s="1008"/>
      <c r="D532" s="1008" t="s">
        <v>3835</v>
      </c>
      <c r="E532" s="1007" t="s">
        <v>1962</v>
      </c>
      <c r="F532" s="1010" t="s">
        <v>357</v>
      </c>
      <c r="G532" s="989">
        <f>90400-7628.19</f>
        <v>82771.81</v>
      </c>
      <c r="H532" s="937"/>
      <c r="I532" s="1046"/>
      <c r="J532" s="1046"/>
      <c r="K532" s="1047"/>
      <c r="L532" s="1046"/>
      <c r="M532" s="1094">
        <f>-7628.19+7628.19</f>
        <v>0</v>
      </c>
      <c r="N532" s="989">
        <f>G532+M532</f>
        <v>82771.81</v>
      </c>
      <c r="O532" s="989">
        <v>82771.81</v>
      </c>
      <c r="P532" s="989">
        <v>0</v>
      </c>
      <c r="Q532" s="989">
        <f t="shared" si="54"/>
        <v>82771.81</v>
      </c>
      <c r="R532" s="989">
        <f t="shared" si="58"/>
        <v>100</v>
      </c>
      <c r="S532" s="1011">
        <v>0</v>
      </c>
      <c r="T532" s="989">
        <f t="shared" si="55"/>
        <v>0</v>
      </c>
      <c r="U532" s="989">
        <f t="shared" si="56"/>
        <v>82771.81</v>
      </c>
      <c r="V532" s="989">
        <f t="shared" si="57"/>
        <v>100</v>
      </c>
      <c r="W532" s="989"/>
      <c r="X532" s="989">
        <f t="shared" si="53"/>
        <v>0</v>
      </c>
      <c r="Y532" s="1012"/>
      <c r="Z532" s="941"/>
      <c r="AA532" s="941"/>
      <c r="AB532" s="941"/>
      <c r="AC532" s="941"/>
      <c r="AD532" s="941"/>
      <c r="AE532" s="941"/>
      <c r="AF532" s="941"/>
      <c r="AG532" s="941"/>
      <c r="AH532" s="941"/>
      <c r="AI532" s="941"/>
      <c r="AJ532" s="941"/>
      <c r="AK532" s="941"/>
      <c r="AL532" s="941"/>
      <c r="AM532" s="941"/>
    </row>
    <row r="533" spans="1:39" s="969" customFormat="1" ht="63" customHeight="1">
      <c r="A533" s="1006">
        <v>415</v>
      </c>
      <c r="B533" s="1007" t="s">
        <v>1963</v>
      </c>
      <c r="C533" s="1008"/>
      <c r="D533" s="1008" t="s">
        <v>3836</v>
      </c>
      <c r="E533" s="1007" t="s">
        <v>3266</v>
      </c>
      <c r="F533" s="1010" t="s">
        <v>548</v>
      </c>
      <c r="G533" s="989">
        <f>624000-70300</f>
        <v>553700</v>
      </c>
      <c r="H533" s="937"/>
      <c r="I533" s="1046"/>
      <c r="J533" s="1046"/>
      <c r="K533" s="1047"/>
      <c r="L533" s="1046"/>
      <c r="M533" s="1094">
        <f>-70300+70300</f>
        <v>0</v>
      </c>
      <c r="N533" s="989">
        <f>G533+M533</f>
        <v>553700</v>
      </c>
      <c r="O533" s="989">
        <v>0</v>
      </c>
      <c r="P533" s="989">
        <v>553700</v>
      </c>
      <c r="Q533" s="989">
        <f t="shared" si="54"/>
        <v>553700</v>
      </c>
      <c r="R533" s="989">
        <f t="shared" si="58"/>
        <v>100</v>
      </c>
      <c r="S533" s="1011">
        <v>0</v>
      </c>
      <c r="T533" s="989">
        <f t="shared" si="55"/>
        <v>0</v>
      </c>
      <c r="U533" s="989">
        <f t="shared" si="56"/>
        <v>553700</v>
      </c>
      <c r="V533" s="989">
        <f t="shared" si="57"/>
        <v>100</v>
      </c>
      <c r="W533" s="989"/>
      <c r="X533" s="989">
        <f t="shared" si="53"/>
        <v>0</v>
      </c>
      <c r="Y533" s="1012"/>
      <c r="Z533" s="941"/>
      <c r="AA533" s="941"/>
      <c r="AB533" s="941"/>
      <c r="AC533" s="941"/>
      <c r="AD533" s="941"/>
      <c r="AE533" s="941"/>
      <c r="AF533" s="941"/>
      <c r="AG533" s="941"/>
      <c r="AH533" s="941"/>
      <c r="AI533" s="941"/>
      <c r="AJ533" s="941"/>
      <c r="AK533" s="941"/>
      <c r="AL533" s="941"/>
      <c r="AM533" s="941"/>
    </row>
    <row r="534" spans="1:39" s="969" customFormat="1" ht="63" customHeight="1">
      <c r="A534" s="1006">
        <v>416</v>
      </c>
      <c r="B534" s="1007" t="s">
        <v>1964</v>
      </c>
      <c r="C534" s="1008"/>
      <c r="D534" s="1008" t="s">
        <v>3837</v>
      </c>
      <c r="E534" s="1007" t="s">
        <v>1965</v>
      </c>
      <c r="F534" s="1010" t="s">
        <v>357</v>
      </c>
      <c r="G534" s="989">
        <f>180800-43060</f>
        <v>137740</v>
      </c>
      <c r="H534" s="937"/>
      <c r="I534" s="1046"/>
      <c r="J534" s="1046"/>
      <c r="K534" s="1047"/>
      <c r="L534" s="1046"/>
      <c r="M534" s="1094">
        <f>-43060+43060</f>
        <v>0</v>
      </c>
      <c r="N534" s="989">
        <f>G534+M534</f>
        <v>137740</v>
      </c>
      <c r="O534" s="989">
        <v>137740</v>
      </c>
      <c r="P534" s="989">
        <v>0</v>
      </c>
      <c r="Q534" s="989">
        <f t="shared" si="54"/>
        <v>137740</v>
      </c>
      <c r="R534" s="989">
        <f t="shared" si="58"/>
        <v>100</v>
      </c>
      <c r="S534" s="1011">
        <v>0</v>
      </c>
      <c r="T534" s="989">
        <f t="shared" si="55"/>
        <v>0</v>
      </c>
      <c r="U534" s="989">
        <f t="shared" si="56"/>
        <v>137740</v>
      </c>
      <c r="V534" s="989">
        <f t="shared" si="57"/>
        <v>100</v>
      </c>
      <c r="W534" s="989"/>
      <c r="X534" s="989">
        <f t="shared" si="53"/>
        <v>0</v>
      </c>
      <c r="Y534" s="1012"/>
      <c r="Z534" s="941"/>
      <c r="AA534" s="941"/>
      <c r="AB534" s="941"/>
      <c r="AC534" s="941"/>
      <c r="AD534" s="941"/>
      <c r="AE534" s="941"/>
      <c r="AF534" s="941"/>
      <c r="AG534" s="941"/>
      <c r="AH534" s="941"/>
      <c r="AI534" s="941"/>
      <c r="AJ534" s="941"/>
      <c r="AK534" s="941"/>
      <c r="AL534" s="941"/>
      <c r="AM534" s="941"/>
    </row>
    <row r="535" spans="1:39" s="969" customFormat="1" ht="63" customHeight="1">
      <c r="A535" s="1006">
        <v>417</v>
      </c>
      <c r="B535" s="1007" t="s">
        <v>1966</v>
      </c>
      <c r="C535" s="1008"/>
      <c r="D535" s="1008" t="s">
        <v>3838</v>
      </c>
      <c r="E535" s="1007" t="s">
        <v>1967</v>
      </c>
      <c r="F535" s="1010" t="s">
        <v>548</v>
      </c>
      <c r="G535" s="989">
        <f>728000</f>
        <v>728000</v>
      </c>
      <c r="H535" s="937"/>
      <c r="I535" s="1046"/>
      <c r="J535" s="1046"/>
      <c r="K535" s="1047"/>
      <c r="L535" s="1046"/>
      <c r="M535" s="1094">
        <v>-48512.94</v>
      </c>
      <c r="N535" s="989">
        <f>728000+M535</f>
        <v>679487.06</v>
      </c>
      <c r="O535" s="989">
        <v>0</v>
      </c>
      <c r="P535" s="989">
        <v>679487.06</v>
      </c>
      <c r="Q535" s="989">
        <f t="shared" si="54"/>
        <v>679487.06</v>
      </c>
      <c r="R535" s="989">
        <f t="shared" si="58"/>
        <v>100</v>
      </c>
      <c r="S535" s="1011">
        <v>0</v>
      </c>
      <c r="T535" s="989">
        <f t="shared" si="55"/>
        <v>0</v>
      </c>
      <c r="U535" s="989">
        <f t="shared" si="56"/>
        <v>679487.06</v>
      </c>
      <c r="V535" s="989">
        <f t="shared" si="57"/>
        <v>100</v>
      </c>
      <c r="W535" s="989"/>
      <c r="X535" s="989">
        <f t="shared" si="53"/>
        <v>0</v>
      </c>
      <c r="Y535" s="1012"/>
      <c r="Z535" s="941"/>
      <c r="AA535" s="941"/>
      <c r="AB535" s="941"/>
      <c r="AC535" s="941"/>
      <c r="AD535" s="941"/>
      <c r="AE535" s="941"/>
      <c r="AF535" s="941"/>
      <c r="AG535" s="941"/>
      <c r="AH535" s="941"/>
      <c r="AI535" s="941"/>
      <c r="AJ535" s="941"/>
      <c r="AK535" s="941"/>
      <c r="AL535" s="941"/>
      <c r="AM535" s="941"/>
    </row>
    <row r="536" spans="1:39" s="969" customFormat="1" ht="63" customHeight="1">
      <c r="A536" s="1006">
        <v>418</v>
      </c>
      <c r="B536" s="1007" t="s">
        <v>1968</v>
      </c>
      <c r="C536" s="1008"/>
      <c r="D536" s="1008" t="s">
        <v>3839</v>
      </c>
      <c r="E536" s="1007" t="s">
        <v>1969</v>
      </c>
      <c r="F536" s="1010" t="s">
        <v>555</v>
      </c>
      <c r="G536" s="989">
        <v>135600</v>
      </c>
      <c r="H536" s="937"/>
      <c r="I536" s="1046"/>
      <c r="J536" s="1046"/>
      <c r="K536" s="1047"/>
      <c r="L536" s="1046"/>
      <c r="M536" s="1094"/>
      <c r="N536" s="989">
        <v>135600</v>
      </c>
      <c r="O536" s="989">
        <v>0</v>
      </c>
      <c r="P536" s="989">
        <v>135600</v>
      </c>
      <c r="Q536" s="989">
        <f t="shared" si="54"/>
        <v>135600</v>
      </c>
      <c r="R536" s="989">
        <f t="shared" si="58"/>
        <v>100</v>
      </c>
      <c r="S536" s="1011">
        <v>0</v>
      </c>
      <c r="T536" s="989">
        <f t="shared" si="55"/>
        <v>0</v>
      </c>
      <c r="U536" s="989">
        <f t="shared" si="56"/>
        <v>135600</v>
      </c>
      <c r="V536" s="989">
        <f t="shared" si="57"/>
        <v>100</v>
      </c>
      <c r="W536" s="989"/>
      <c r="X536" s="989">
        <f t="shared" si="53"/>
        <v>0</v>
      </c>
      <c r="Y536" s="1012"/>
      <c r="Z536" s="941"/>
      <c r="AA536" s="941"/>
      <c r="AB536" s="941"/>
      <c r="AC536" s="941"/>
      <c r="AD536" s="941"/>
      <c r="AE536" s="941"/>
      <c r="AF536" s="941"/>
      <c r="AG536" s="941"/>
      <c r="AH536" s="941"/>
      <c r="AI536" s="941"/>
      <c r="AJ536" s="941"/>
      <c r="AK536" s="941"/>
      <c r="AL536" s="941"/>
      <c r="AM536" s="941"/>
    </row>
    <row r="537" spans="1:39" s="969" customFormat="1" ht="63" customHeight="1">
      <c r="A537" s="1006">
        <v>419</v>
      </c>
      <c r="B537" s="1007" t="s">
        <v>1970</v>
      </c>
      <c r="C537" s="1008"/>
      <c r="D537" s="1008" t="s">
        <v>3840</v>
      </c>
      <c r="E537" s="1007" t="s">
        <v>1971</v>
      </c>
      <c r="F537" s="1010" t="s">
        <v>548</v>
      </c>
      <c r="G537" s="989">
        <v>728000</v>
      </c>
      <c r="H537" s="937"/>
      <c r="I537" s="1046"/>
      <c r="J537" s="1046"/>
      <c r="K537" s="1047"/>
      <c r="L537" s="1046"/>
      <c r="M537" s="1094"/>
      <c r="N537" s="989">
        <v>728000</v>
      </c>
      <c r="O537" s="989">
        <v>0</v>
      </c>
      <c r="P537" s="989">
        <v>638587.31000000006</v>
      </c>
      <c r="Q537" s="989">
        <f t="shared" si="54"/>
        <v>638587.31000000006</v>
      </c>
      <c r="R537" s="989">
        <f t="shared" si="58"/>
        <v>87.718037087912094</v>
      </c>
      <c r="S537" s="1011">
        <v>0</v>
      </c>
      <c r="T537" s="989">
        <f t="shared" si="55"/>
        <v>0</v>
      </c>
      <c r="U537" s="989">
        <f t="shared" si="56"/>
        <v>638587.31000000006</v>
      </c>
      <c r="V537" s="989">
        <f t="shared" si="57"/>
        <v>87.718037087912094</v>
      </c>
      <c r="W537" s="989"/>
      <c r="X537" s="989">
        <f t="shared" si="53"/>
        <v>89412.689999999944</v>
      </c>
      <c r="Y537" s="1012"/>
      <c r="Z537" s="941"/>
      <c r="AA537" s="941"/>
      <c r="AB537" s="941"/>
      <c r="AC537" s="941"/>
      <c r="AD537" s="941"/>
      <c r="AE537" s="941"/>
      <c r="AF537" s="941"/>
      <c r="AG537" s="941"/>
      <c r="AH537" s="941"/>
      <c r="AI537" s="941"/>
      <c r="AJ537" s="941"/>
      <c r="AK537" s="941"/>
      <c r="AL537" s="941"/>
      <c r="AM537" s="941"/>
    </row>
    <row r="538" spans="1:39" s="969" customFormat="1" ht="63" customHeight="1">
      <c r="A538" s="1006">
        <v>420</v>
      </c>
      <c r="B538" s="1007" t="s">
        <v>1972</v>
      </c>
      <c r="C538" s="1008"/>
      <c r="D538" s="1008" t="s">
        <v>3841</v>
      </c>
      <c r="E538" s="1007" t="s">
        <v>1973</v>
      </c>
      <c r="F538" s="1010" t="s">
        <v>551</v>
      </c>
      <c r="G538" s="989">
        <f>135600-31492.88</f>
        <v>104107.12</v>
      </c>
      <c r="H538" s="937"/>
      <c r="I538" s="1046"/>
      <c r="J538" s="1046"/>
      <c r="K538" s="1047"/>
      <c r="L538" s="1046"/>
      <c r="M538" s="1094">
        <f>-29700-1792.88+31492.88</f>
        <v>0</v>
      </c>
      <c r="N538" s="989">
        <f>G538+M538</f>
        <v>104107.12</v>
      </c>
      <c r="O538" s="989">
        <v>70940</v>
      </c>
      <c r="P538" s="989">
        <v>33167.120000000003</v>
      </c>
      <c r="Q538" s="989">
        <f t="shared" si="54"/>
        <v>104107.12</v>
      </c>
      <c r="R538" s="989">
        <f t="shared" si="58"/>
        <v>100</v>
      </c>
      <c r="S538" s="1011">
        <v>0</v>
      </c>
      <c r="T538" s="989">
        <f t="shared" si="55"/>
        <v>0</v>
      </c>
      <c r="U538" s="989">
        <f t="shared" si="56"/>
        <v>104107.12</v>
      </c>
      <c r="V538" s="989">
        <f t="shared" si="57"/>
        <v>100</v>
      </c>
      <c r="W538" s="989"/>
      <c r="X538" s="989">
        <f t="shared" si="53"/>
        <v>0</v>
      </c>
      <c r="Y538" s="1012"/>
      <c r="Z538" s="941"/>
      <c r="AA538" s="941"/>
      <c r="AB538" s="941"/>
      <c r="AC538" s="941"/>
      <c r="AD538" s="941"/>
      <c r="AE538" s="941"/>
      <c r="AF538" s="941"/>
      <c r="AG538" s="941"/>
      <c r="AH538" s="941"/>
      <c r="AI538" s="941"/>
      <c r="AJ538" s="941"/>
      <c r="AK538" s="941"/>
      <c r="AL538" s="941"/>
      <c r="AM538" s="941"/>
    </row>
    <row r="539" spans="1:39" s="969" customFormat="1" ht="63" customHeight="1">
      <c r="A539" s="1006">
        <v>421</v>
      </c>
      <c r="B539" s="1007" t="s">
        <v>1974</v>
      </c>
      <c r="C539" s="1008"/>
      <c r="D539" s="1008" t="s">
        <v>3842</v>
      </c>
      <c r="E539" s="1007" t="s">
        <v>1975</v>
      </c>
      <c r="F539" s="1010" t="s">
        <v>548</v>
      </c>
      <c r="G539" s="989">
        <f>312000-3600</f>
        <v>308400</v>
      </c>
      <c r="H539" s="937"/>
      <c r="I539" s="1046"/>
      <c r="J539" s="1046"/>
      <c r="K539" s="1047"/>
      <c r="L539" s="1046"/>
      <c r="M539" s="1094">
        <v>-44100</v>
      </c>
      <c r="N539" s="989">
        <f>G539+M539</f>
        <v>264300</v>
      </c>
      <c r="O539" s="989">
        <v>0</v>
      </c>
      <c r="P539" s="989">
        <v>264300</v>
      </c>
      <c r="Q539" s="989">
        <f t="shared" si="54"/>
        <v>264300</v>
      </c>
      <c r="R539" s="989">
        <f t="shared" si="58"/>
        <v>100</v>
      </c>
      <c r="S539" s="1011">
        <v>0</v>
      </c>
      <c r="T539" s="989">
        <f t="shared" si="55"/>
        <v>0</v>
      </c>
      <c r="U539" s="989">
        <f t="shared" si="56"/>
        <v>264300</v>
      </c>
      <c r="V539" s="989">
        <f t="shared" si="57"/>
        <v>100</v>
      </c>
      <c r="W539" s="989"/>
      <c r="X539" s="989">
        <f t="shared" si="53"/>
        <v>0</v>
      </c>
      <c r="Y539" s="1012"/>
      <c r="Z539" s="941"/>
      <c r="AA539" s="941"/>
      <c r="AB539" s="941"/>
      <c r="AC539" s="941"/>
      <c r="AD539" s="941"/>
      <c r="AE539" s="941"/>
      <c r="AF539" s="941"/>
      <c r="AG539" s="941"/>
      <c r="AH539" s="941"/>
      <c r="AI539" s="941"/>
      <c r="AJ539" s="941"/>
      <c r="AK539" s="941"/>
      <c r="AL539" s="941"/>
      <c r="AM539" s="941"/>
    </row>
    <row r="540" spans="1:39" s="969" customFormat="1" ht="63" customHeight="1">
      <c r="A540" s="1006">
        <v>422</v>
      </c>
      <c r="B540" s="1007" t="s">
        <v>1976</v>
      </c>
      <c r="C540" s="1008"/>
      <c r="D540" s="1008" t="s">
        <v>3843</v>
      </c>
      <c r="E540" s="1007" t="s">
        <v>3267</v>
      </c>
      <c r="F540" s="1010" t="s">
        <v>551</v>
      </c>
      <c r="G540" s="989">
        <f>180800-11917.9</f>
        <v>168882.1</v>
      </c>
      <c r="H540" s="937"/>
      <c r="I540" s="1046"/>
      <c r="J540" s="1046"/>
      <c r="K540" s="1047"/>
      <c r="L540" s="1046"/>
      <c r="M540" s="1094">
        <f>-11917.9+11917.9</f>
        <v>0</v>
      </c>
      <c r="N540" s="989">
        <f>G540+M540</f>
        <v>168882.1</v>
      </c>
      <c r="O540" s="989">
        <v>168882.1</v>
      </c>
      <c r="P540" s="989">
        <v>0</v>
      </c>
      <c r="Q540" s="989">
        <f t="shared" si="54"/>
        <v>168882.1</v>
      </c>
      <c r="R540" s="989">
        <f t="shared" si="58"/>
        <v>100</v>
      </c>
      <c r="S540" s="1011">
        <v>0</v>
      </c>
      <c r="T540" s="989">
        <f t="shared" si="55"/>
        <v>0</v>
      </c>
      <c r="U540" s="989">
        <f t="shared" si="56"/>
        <v>168882.1</v>
      </c>
      <c r="V540" s="989">
        <f t="shared" si="57"/>
        <v>100</v>
      </c>
      <c r="W540" s="989"/>
      <c r="X540" s="989">
        <f t="shared" si="53"/>
        <v>0</v>
      </c>
      <c r="Y540" s="1012"/>
      <c r="Z540" s="941"/>
      <c r="AA540" s="941"/>
      <c r="AB540" s="941"/>
      <c r="AC540" s="941"/>
      <c r="AD540" s="941"/>
      <c r="AE540" s="941"/>
      <c r="AF540" s="941"/>
      <c r="AG540" s="941"/>
      <c r="AH540" s="941"/>
      <c r="AI540" s="941"/>
      <c r="AJ540" s="941"/>
      <c r="AK540" s="941"/>
      <c r="AL540" s="941"/>
      <c r="AM540" s="941"/>
    </row>
    <row r="541" spans="1:39" s="969" customFormat="1" ht="63" customHeight="1">
      <c r="A541" s="1006">
        <v>423</v>
      </c>
      <c r="B541" s="1007" t="s">
        <v>1977</v>
      </c>
      <c r="C541" s="1008"/>
      <c r="D541" s="1008" t="s">
        <v>3844</v>
      </c>
      <c r="E541" s="1007" t="s">
        <v>1978</v>
      </c>
      <c r="F541" s="1010" t="s">
        <v>548</v>
      </c>
      <c r="G541" s="989">
        <v>520000</v>
      </c>
      <c r="H541" s="937"/>
      <c r="I541" s="1046"/>
      <c r="J541" s="1046"/>
      <c r="K541" s="1047"/>
      <c r="L541" s="1046"/>
      <c r="M541" s="1094">
        <v>-24062.720000000001</v>
      </c>
      <c r="N541" s="989">
        <f>520000+M541+K541</f>
        <v>495937.28000000003</v>
      </c>
      <c r="O541" s="989">
        <v>0</v>
      </c>
      <c r="P541" s="989">
        <v>463267.69</v>
      </c>
      <c r="Q541" s="989">
        <f t="shared" si="54"/>
        <v>463267.69</v>
      </c>
      <c r="R541" s="989">
        <f t="shared" si="58"/>
        <v>93.412556119999692</v>
      </c>
      <c r="S541" s="1011">
        <v>0</v>
      </c>
      <c r="T541" s="989">
        <f t="shared" si="55"/>
        <v>0</v>
      </c>
      <c r="U541" s="989">
        <f t="shared" si="56"/>
        <v>463267.69</v>
      </c>
      <c r="V541" s="989">
        <f t="shared" si="57"/>
        <v>93.412556119999692</v>
      </c>
      <c r="W541" s="989"/>
      <c r="X541" s="989">
        <f t="shared" si="53"/>
        <v>32669.590000000026</v>
      </c>
      <c r="Y541" s="1012"/>
      <c r="Z541" s="941"/>
      <c r="AA541" s="941"/>
      <c r="AB541" s="941"/>
      <c r="AC541" s="941"/>
      <c r="AD541" s="941"/>
      <c r="AE541" s="941"/>
      <c r="AF541" s="941"/>
      <c r="AG541" s="941"/>
      <c r="AH541" s="941"/>
      <c r="AI541" s="941"/>
      <c r="AJ541" s="941"/>
      <c r="AK541" s="941"/>
      <c r="AL541" s="941"/>
      <c r="AM541" s="941"/>
    </row>
    <row r="542" spans="1:39" s="969" customFormat="1" ht="63" customHeight="1">
      <c r="A542" s="1006">
        <v>424</v>
      </c>
      <c r="B542" s="1007" t="s">
        <v>1979</v>
      </c>
      <c r="C542" s="1008"/>
      <c r="D542" s="1008" t="s">
        <v>3845</v>
      </c>
      <c r="E542" s="1007" t="s">
        <v>1980</v>
      </c>
      <c r="F542" s="1010" t="s">
        <v>551</v>
      </c>
      <c r="G542" s="989">
        <f>90400-14691</f>
        <v>75709</v>
      </c>
      <c r="H542" s="937"/>
      <c r="I542" s="1046"/>
      <c r="J542" s="1046"/>
      <c r="K542" s="1047"/>
      <c r="L542" s="1046"/>
      <c r="M542" s="1094">
        <f>-14691+14691</f>
        <v>0</v>
      </c>
      <c r="N542" s="989">
        <f>G542+M542</f>
        <v>75709</v>
      </c>
      <c r="O542" s="989">
        <v>75709</v>
      </c>
      <c r="P542" s="989">
        <v>0</v>
      </c>
      <c r="Q542" s="989">
        <f t="shared" si="54"/>
        <v>75709</v>
      </c>
      <c r="R542" s="989">
        <f t="shared" si="58"/>
        <v>100</v>
      </c>
      <c r="S542" s="1011">
        <v>0</v>
      </c>
      <c r="T542" s="989">
        <f t="shared" si="55"/>
        <v>0</v>
      </c>
      <c r="U542" s="989">
        <f t="shared" si="56"/>
        <v>75709</v>
      </c>
      <c r="V542" s="989">
        <f t="shared" si="57"/>
        <v>100</v>
      </c>
      <c r="W542" s="989"/>
      <c r="X542" s="989">
        <f t="shared" si="53"/>
        <v>0</v>
      </c>
      <c r="Y542" s="1012"/>
      <c r="Z542" s="941"/>
      <c r="AA542" s="941"/>
      <c r="AB542" s="941"/>
      <c r="AC542" s="941"/>
      <c r="AD542" s="941"/>
      <c r="AE542" s="941"/>
      <c r="AF542" s="941"/>
      <c r="AG542" s="941"/>
      <c r="AH542" s="941"/>
      <c r="AI542" s="941"/>
      <c r="AJ542" s="941"/>
      <c r="AK542" s="941"/>
      <c r="AL542" s="941"/>
      <c r="AM542" s="941"/>
    </row>
    <row r="543" spans="1:39" s="969" customFormat="1" ht="63" customHeight="1">
      <c r="A543" s="1006">
        <v>425</v>
      </c>
      <c r="B543" s="1007" t="s">
        <v>1981</v>
      </c>
      <c r="C543" s="1008"/>
      <c r="D543" s="1008" t="s">
        <v>3846</v>
      </c>
      <c r="E543" s="1007" t="s">
        <v>1982</v>
      </c>
      <c r="F543" s="1010" t="s">
        <v>551</v>
      </c>
      <c r="G543" s="989">
        <v>45200</v>
      </c>
      <c r="H543" s="937"/>
      <c r="I543" s="1046"/>
      <c r="J543" s="1046"/>
      <c r="K543" s="1047"/>
      <c r="L543" s="1046"/>
      <c r="M543" s="1094"/>
      <c r="N543" s="989">
        <v>45200</v>
      </c>
      <c r="O543" s="989">
        <v>45200</v>
      </c>
      <c r="P543" s="989"/>
      <c r="Q543" s="989">
        <f t="shared" si="54"/>
        <v>45200</v>
      </c>
      <c r="R543" s="989">
        <f t="shared" si="58"/>
        <v>100</v>
      </c>
      <c r="S543" s="1011"/>
      <c r="T543" s="989">
        <f t="shared" si="55"/>
        <v>0</v>
      </c>
      <c r="U543" s="989">
        <f t="shared" si="56"/>
        <v>45200</v>
      </c>
      <c r="V543" s="989">
        <f t="shared" si="57"/>
        <v>100</v>
      </c>
      <c r="W543" s="989"/>
      <c r="X543" s="989">
        <f t="shared" si="53"/>
        <v>0</v>
      </c>
      <c r="Y543" s="1012"/>
      <c r="Z543" s="941"/>
      <c r="AA543" s="941"/>
      <c r="AB543" s="941"/>
      <c r="AC543" s="941"/>
      <c r="AD543" s="941"/>
      <c r="AE543" s="941"/>
      <c r="AF543" s="941"/>
      <c r="AG543" s="941"/>
      <c r="AH543" s="941"/>
      <c r="AI543" s="941"/>
      <c r="AJ543" s="941"/>
      <c r="AK543" s="941"/>
      <c r="AL543" s="941"/>
      <c r="AM543" s="941"/>
    </row>
    <row r="544" spans="1:39" s="969" customFormat="1" ht="63" customHeight="1">
      <c r="A544" s="1006">
        <v>426</v>
      </c>
      <c r="B544" s="1007" t="s">
        <v>1983</v>
      </c>
      <c r="C544" s="1008"/>
      <c r="D544" s="1008" t="s">
        <v>3847</v>
      </c>
      <c r="E544" s="1007" t="s">
        <v>3268</v>
      </c>
      <c r="F544" s="1010" t="s">
        <v>548</v>
      </c>
      <c r="G544" s="989">
        <v>208000</v>
      </c>
      <c r="H544" s="937"/>
      <c r="I544" s="1046"/>
      <c r="J544" s="1046"/>
      <c r="K544" s="1047"/>
      <c r="L544" s="1046"/>
      <c r="M544" s="1094"/>
      <c r="N544" s="989">
        <v>208000</v>
      </c>
      <c r="O544" s="989">
        <v>0</v>
      </c>
      <c r="P544" s="989">
        <v>208000</v>
      </c>
      <c r="Q544" s="989">
        <f t="shared" si="54"/>
        <v>208000</v>
      </c>
      <c r="R544" s="989">
        <f t="shared" si="58"/>
        <v>100</v>
      </c>
      <c r="S544" s="1011">
        <v>0</v>
      </c>
      <c r="T544" s="989">
        <f t="shared" si="55"/>
        <v>0</v>
      </c>
      <c r="U544" s="989">
        <f t="shared" si="56"/>
        <v>208000</v>
      </c>
      <c r="V544" s="989">
        <f t="shared" si="57"/>
        <v>100</v>
      </c>
      <c r="W544" s="989"/>
      <c r="X544" s="989">
        <f t="shared" si="53"/>
        <v>0</v>
      </c>
      <c r="Y544" s="1012"/>
      <c r="Z544" s="941"/>
      <c r="AA544" s="941"/>
      <c r="AB544" s="941"/>
      <c r="AC544" s="941"/>
      <c r="AD544" s="941"/>
      <c r="AE544" s="941"/>
      <c r="AF544" s="941"/>
      <c r="AG544" s="941"/>
      <c r="AH544" s="941"/>
      <c r="AI544" s="941"/>
      <c r="AJ544" s="941"/>
      <c r="AK544" s="941"/>
      <c r="AL544" s="941"/>
      <c r="AM544" s="941"/>
    </row>
    <row r="545" spans="1:25" ht="63" customHeight="1">
      <c r="A545" s="1006">
        <v>427</v>
      </c>
      <c r="B545" s="1007" t="s">
        <v>1984</v>
      </c>
      <c r="C545" s="1008"/>
      <c r="D545" s="1008" t="s">
        <v>3848</v>
      </c>
      <c r="E545" s="1007" t="s">
        <v>1985</v>
      </c>
      <c r="F545" s="1010" t="s">
        <v>551</v>
      </c>
      <c r="G545" s="989">
        <f>45200-3830</f>
        <v>41370</v>
      </c>
      <c r="H545" s="937"/>
      <c r="I545" s="1046"/>
      <c r="J545" s="1046"/>
      <c r="K545" s="1047"/>
      <c r="L545" s="1046"/>
      <c r="M545" s="1094">
        <f>-3830+3830</f>
        <v>0</v>
      </c>
      <c r="N545" s="989">
        <f>G545+M545</f>
        <v>41370</v>
      </c>
      <c r="O545" s="989">
        <v>41370</v>
      </c>
      <c r="P545" s="989">
        <v>0</v>
      </c>
      <c r="Q545" s="989">
        <f t="shared" si="54"/>
        <v>41370</v>
      </c>
      <c r="R545" s="989">
        <f t="shared" si="58"/>
        <v>100</v>
      </c>
      <c r="S545" s="1011">
        <v>0</v>
      </c>
      <c r="T545" s="989">
        <f t="shared" si="55"/>
        <v>0</v>
      </c>
      <c r="U545" s="989">
        <f t="shared" si="56"/>
        <v>41370</v>
      </c>
      <c r="V545" s="989">
        <f t="shared" si="57"/>
        <v>100</v>
      </c>
      <c r="W545" s="989"/>
      <c r="X545" s="989">
        <f t="shared" si="53"/>
        <v>0</v>
      </c>
      <c r="Y545" s="1012"/>
    </row>
    <row r="546" spans="1:25" ht="63" customHeight="1">
      <c r="A546" s="1006">
        <v>428</v>
      </c>
      <c r="B546" s="1007" t="s">
        <v>1986</v>
      </c>
      <c r="C546" s="1008"/>
      <c r="D546" s="1008" t="s">
        <v>3849</v>
      </c>
      <c r="E546" s="1007" t="s">
        <v>1987</v>
      </c>
      <c r="F546" s="1010" t="s">
        <v>548</v>
      </c>
      <c r="G546" s="989">
        <v>728000</v>
      </c>
      <c r="H546" s="937"/>
      <c r="I546" s="1046"/>
      <c r="J546" s="1046"/>
      <c r="K546" s="1047"/>
      <c r="L546" s="1046"/>
      <c r="M546" s="1094"/>
      <c r="N546" s="989">
        <v>728000</v>
      </c>
      <c r="O546" s="989">
        <v>0</v>
      </c>
      <c r="P546" s="989">
        <v>715520</v>
      </c>
      <c r="Q546" s="989">
        <f t="shared" si="54"/>
        <v>715520</v>
      </c>
      <c r="R546" s="989">
        <f t="shared" si="58"/>
        <v>98.285714285714292</v>
      </c>
      <c r="S546" s="1011">
        <v>0</v>
      </c>
      <c r="T546" s="989">
        <f t="shared" si="55"/>
        <v>0</v>
      </c>
      <c r="U546" s="989">
        <f t="shared" si="56"/>
        <v>715520</v>
      </c>
      <c r="V546" s="989">
        <f t="shared" si="57"/>
        <v>98.285714285714292</v>
      </c>
      <c r="W546" s="989"/>
      <c r="X546" s="989">
        <f t="shared" si="53"/>
        <v>12480</v>
      </c>
      <c r="Y546" s="1012"/>
    </row>
    <row r="547" spans="1:25" ht="63" customHeight="1">
      <c r="A547" s="1006">
        <v>429</v>
      </c>
      <c r="B547" s="1007" t="s">
        <v>1988</v>
      </c>
      <c r="C547" s="1008"/>
      <c r="D547" s="1008" t="s">
        <v>3850</v>
      </c>
      <c r="E547" s="1007" t="s">
        <v>3269</v>
      </c>
      <c r="F547" s="1010" t="s">
        <v>551</v>
      </c>
      <c r="G547" s="989">
        <v>90400</v>
      </c>
      <c r="H547" s="937"/>
      <c r="I547" s="1046"/>
      <c r="J547" s="1046"/>
      <c r="K547" s="1047"/>
      <c r="L547" s="1046"/>
      <c r="M547" s="1094"/>
      <c r="N547" s="989">
        <v>90400</v>
      </c>
      <c r="O547" s="989">
        <v>90400</v>
      </c>
      <c r="P547" s="989"/>
      <c r="Q547" s="989">
        <f t="shared" si="54"/>
        <v>90400</v>
      </c>
      <c r="R547" s="989">
        <f t="shared" si="58"/>
        <v>100</v>
      </c>
      <c r="S547" s="1011"/>
      <c r="T547" s="989">
        <f t="shared" si="55"/>
        <v>0</v>
      </c>
      <c r="U547" s="989">
        <f t="shared" si="56"/>
        <v>90400</v>
      </c>
      <c r="V547" s="989">
        <f t="shared" si="57"/>
        <v>100</v>
      </c>
      <c r="W547" s="989"/>
      <c r="X547" s="989">
        <f t="shared" si="53"/>
        <v>0</v>
      </c>
      <c r="Y547" s="1012"/>
    </row>
    <row r="548" spans="1:25" ht="63" customHeight="1">
      <c r="A548" s="1006">
        <v>430</v>
      </c>
      <c r="B548" s="1007" t="s">
        <v>1989</v>
      </c>
      <c r="C548" s="1008"/>
      <c r="D548" s="1008" t="s">
        <v>3851</v>
      </c>
      <c r="E548" s="1007" t="s">
        <v>1990</v>
      </c>
      <c r="F548" s="1010" t="s">
        <v>551</v>
      </c>
      <c r="G548" s="989">
        <f>45200-5200</f>
        <v>40000</v>
      </c>
      <c r="H548" s="937"/>
      <c r="I548" s="1046"/>
      <c r="J548" s="1046"/>
      <c r="K548" s="1047"/>
      <c r="L548" s="1046"/>
      <c r="M548" s="1094">
        <f>-5200+5200</f>
        <v>0</v>
      </c>
      <c r="N548" s="989">
        <f>G548+M548</f>
        <v>40000</v>
      </c>
      <c r="O548" s="989">
        <v>40000</v>
      </c>
      <c r="P548" s="989">
        <v>0</v>
      </c>
      <c r="Q548" s="989">
        <f t="shared" si="54"/>
        <v>40000</v>
      </c>
      <c r="R548" s="989">
        <f t="shared" si="58"/>
        <v>100</v>
      </c>
      <c r="S548" s="1011">
        <v>0</v>
      </c>
      <c r="T548" s="989">
        <f t="shared" si="55"/>
        <v>0</v>
      </c>
      <c r="U548" s="989">
        <f t="shared" si="56"/>
        <v>40000</v>
      </c>
      <c r="V548" s="989">
        <f t="shared" si="57"/>
        <v>100</v>
      </c>
      <c r="W548" s="989"/>
      <c r="X548" s="989">
        <f t="shared" si="53"/>
        <v>0</v>
      </c>
      <c r="Y548" s="1012"/>
    </row>
    <row r="549" spans="1:25" ht="63" customHeight="1">
      <c r="A549" s="1006">
        <v>431</v>
      </c>
      <c r="B549" s="1007" t="s">
        <v>1991</v>
      </c>
      <c r="C549" s="1008"/>
      <c r="D549" s="1008" t="s">
        <v>3852</v>
      </c>
      <c r="E549" s="1007" t="s">
        <v>1992</v>
      </c>
      <c r="F549" s="1010" t="s">
        <v>551</v>
      </c>
      <c r="G549" s="989">
        <f>45200-4392</f>
        <v>40808</v>
      </c>
      <c r="H549" s="937"/>
      <c r="I549" s="1046"/>
      <c r="J549" s="1046"/>
      <c r="K549" s="1047"/>
      <c r="L549" s="1046"/>
      <c r="M549" s="1094">
        <f>-4392+4392</f>
        <v>0</v>
      </c>
      <c r="N549" s="989">
        <f>G549+M549</f>
        <v>40808</v>
      </c>
      <c r="O549" s="989">
        <v>40808</v>
      </c>
      <c r="P549" s="989">
        <v>0</v>
      </c>
      <c r="Q549" s="989">
        <f t="shared" si="54"/>
        <v>40808</v>
      </c>
      <c r="R549" s="989">
        <f t="shared" si="58"/>
        <v>100</v>
      </c>
      <c r="S549" s="1011">
        <v>0</v>
      </c>
      <c r="T549" s="989">
        <f t="shared" si="55"/>
        <v>0</v>
      </c>
      <c r="U549" s="989">
        <f t="shared" si="56"/>
        <v>40808</v>
      </c>
      <c r="V549" s="989">
        <f t="shared" si="57"/>
        <v>100</v>
      </c>
      <c r="W549" s="989"/>
      <c r="X549" s="989">
        <f t="shared" si="53"/>
        <v>0</v>
      </c>
      <c r="Y549" s="1012"/>
    </row>
    <row r="550" spans="1:25" ht="63" customHeight="1">
      <c r="A550" s="1006">
        <v>432</v>
      </c>
      <c r="B550" s="1007" t="s">
        <v>1993</v>
      </c>
      <c r="C550" s="1008"/>
      <c r="D550" s="1008" t="s">
        <v>3853</v>
      </c>
      <c r="E550" s="1007" t="s">
        <v>1994</v>
      </c>
      <c r="F550" s="1010" t="s">
        <v>548</v>
      </c>
      <c r="G550" s="989">
        <v>416000</v>
      </c>
      <c r="H550" s="937"/>
      <c r="I550" s="1046"/>
      <c r="J550" s="1046"/>
      <c r="K550" s="1047"/>
      <c r="L550" s="1046"/>
      <c r="M550" s="1094">
        <v>-59635</v>
      </c>
      <c r="N550" s="989">
        <f>416000+M550</f>
        <v>356365</v>
      </c>
      <c r="O550" s="989">
        <v>0</v>
      </c>
      <c r="P550" s="989">
        <v>356365</v>
      </c>
      <c r="Q550" s="989">
        <f t="shared" si="54"/>
        <v>356365</v>
      </c>
      <c r="R550" s="989">
        <f t="shared" si="58"/>
        <v>100</v>
      </c>
      <c r="S550" s="1011">
        <v>0</v>
      </c>
      <c r="T550" s="989">
        <f t="shared" si="55"/>
        <v>0</v>
      </c>
      <c r="U550" s="989">
        <f t="shared" si="56"/>
        <v>356365</v>
      </c>
      <c r="V550" s="989">
        <f t="shared" si="57"/>
        <v>100</v>
      </c>
      <c r="W550" s="989"/>
      <c r="X550" s="989">
        <f t="shared" si="53"/>
        <v>0</v>
      </c>
      <c r="Y550" s="1012"/>
    </row>
    <row r="551" spans="1:25" ht="63" customHeight="1">
      <c r="A551" s="1006">
        <v>433</v>
      </c>
      <c r="B551" s="1007" t="s">
        <v>1995</v>
      </c>
      <c r="C551" s="1008"/>
      <c r="D551" s="1008" t="s">
        <v>3854</v>
      </c>
      <c r="E551" s="1007" t="s">
        <v>1996</v>
      </c>
      <c r="F551" s="1010" t="s">
        <v>551</v>
      </c>
      <c r="G551" s="989">
        <v>135600</v>
      </c>
      <c r="H551" s="937"/>
      <c r="I551" s="1046"/>
      <c r="J551" s="1046"/>
      <c r="K551" s="1047"/>
      <c r="L551" s="1046"/>
      <c r="M551" s="1094"/>
      <c r="N551" s="989">
        <v>135600</v>
      </c>
      <c r="O551" s="989">
        <v>135600</v>
      </c>
      <c r="P551" s="989"/>
      <c r="Q551" s="989">
        <f t="shared" si="54"/>
        <v>135600</v>
      </c>
      <c r="R551" s="989">
        <f t="shared" si="58"/>
        <v>100</v>
      </c>
      <c r="S551" s="1011"/>
      <c r="T551" s="989">
        <f t="shared" si="55"/>
        <v>0</v>
      </c>
      <c r="U551" s="989">
        <f t="shared" si="56"/>
        <v>135600</v>
      </c>
      <c r="V551" s="989">
        <f t="shared" si="57"/>
        <v>100</v>
      </c>
      <c r="W551" s="989"/>
      <c r="X551" s="989">
        <f t="shared" si="53"/>
        <v>0</v>
      </c>
      <c r="Y551" s="1012"/>
    </row>
    <row r="552" spans="1:25" ht="63" customHeight="1">
      <c r="A552" s="1006">
        <v>434</v>
      </c>
      <c r="B552" s="1007" t="s">
        <v>1997</v>
      </c>
      <c r="C552" s="1008"/>
      <c r="D552" s="1008" t="s">
        <v>3855</v>
      </c>
      <c r="E552" s="1007" t="s">
        <v>3270</v>
      </c>
      <c r="F552" s="1010" t="s">
        <v>551</v>
      </c>
      <c r="G552" s="989">
        <f>45200-4856</f>
        <v>40344</v>
      </c>
      <c r="H552" s="937"/>
      <c r="I552" s="1046"/>
      <c r="J552" s="1046"/>
      <c r="K552" s="1047"/>
      <c r="L552" s="1046"/>
      <c r="M552" s="1094">
        <f>-4856+4856</f>
        <v>0</v>
      </c>
      <c r="N552" s="989">
        <f>G552+M552</f>
        <v>40344</v>
      </c>
      <c r="O552" s="989">
        <v>40344</v>
      </c>
      <c r="P552" s="989">
        <v>0</v>
      </c>
      <c r="Q552" s="989">
        <f t="shared" si="54"/>
        <v>40344</v>
      </c>
      <c r="R552" s="989">
        <f t="shared" si="58"/>
        <v>100</v>
      </c>
      <c r="S552" s="1011">
        <v>0</v>
      </c>
      <c r="T552" s="989">
        <f t="shared" si="55"/>
        <v>0</v>
      </c>
      <c r="U552" s="989">
        <f t="shared" si="56"/>
        <v>40344</v>
      </c>
      <c r="V552" s="989">
        <f t="shared" si="57"/>
        <v>100</v>
      </c>
      <c r="W552" s="989"/>
      <c r="X552" s="989">
        <f t="shared" si="53"/>
        <v>0</v>
      </c>
      <c r="Y552" s="1012"/>
    </row>
    <row r="553" spans="1:25" ht="63" customHeight="1">
      <c r="A553" s="1006">
        <v>435</v>
      </c>
      <c r="B553" s="1007" t="s">
        <v>1998</v>
      </c>
      <c r="C553" s="1008"/>
      <c r="D553" s="1008" t="s">
        <v>3856</v>
      </c>
      <c r="E553" s="1007" t="s">
        <v>3271</v>
      </c>
      <c r="F553" s="1010" t="s">
        <v>548</v>
      </c>
      <c r="G553" s="989">
        <f>728000-22015</f>
        <v>705985</v>
      </c>
      <c r="H553" s="937"/>
      <c r="I553" s="1046"/>
      <c r="J553" s="1046"/>
      <c r="K553" s="1047"/>
      <c r="L553" s="1046"/>
      <c r="M553" s="1094">
        <f>-22015+22015</f>
        <v>0</v>
      </c>
      <c r="N553" s="989">
        <f>G553+M553</f>
        <v>705985</v>
      </c>
      <c r="O553" s="989">
        <v>0</v>
      </c>
      <c r="P553" s="989">
        <v>705985</v>
      </c>
      <c r="Q553" s="989">
        <f t="shared" si="54"/>
        <v>705985</v>
      </c>
      <c r="R553" s="989">
        <f t="shared" si="58"/>
        <v>100</v>
      </c>
      <c r="S553" s="1011">
        <v>0</v>
      </c>
      <c r="T553" s="989">
        <f t="shared" si="55"/>
        <v>0</v>
      </c>
      <c r="U553" s="989">
        <f t="shared" si="56"/>
        <v>705985</v>
      </c>
      <c r="V553" s="989">
        <f t="shared" si="57"/>
        <v>100</v>
      </c>
      <c r="W553" s="989"/>
      <c r="X553" s="989">
        <f t="shared" si="53"/>
        <v>0</v>
      </c>
      <c r="Y553" s="1012"/>
    </row>
    <row r="554" spans="1:25" ht="63" customHeight="1">
      <c r="A554" s="1006">
        <v>436</v>
      </c>
      <c r="B554" s="1007" t="s">
        <v>1999</v>
      </c>
      <c r="C554" s="1008"/>
      <c r="D554" s="1008" t="s">
        <v>3857</v>
      </c>
      <c r="E554" s="1007" t="s">
        <v>2000</v>
      </c>
      <c r="F554" s="1010" t="s">
        <v>551</v>
      </c>
      <c r="G554" s="989">
        <v>45200</v>
      </c>
      <c r="H554" s="937"/>
      <c r="I554" s="1046"/>
      <c r="J554" s="1046"/>
      <c r="K554" s="1047"/>
      <c r="L554" s="1046"/>
      <c r="M554" s="1094"/>
      <c r="N554" s="989">
        <v>45200</v>
      </c>
      <c r="O554" s="989">
        <v>45200</v>
      </c>
      <c r="P554" s="989"/>
      <c r="Q554" s="989">
        <f t="shared" si="54"/>
        <v>45200</v>
      </c>
      <c r="R554" s="989">
        <f t="shared" si="58"/>
        <v>100</v>
      </c>
      <c r="S554" s="1011"/>
      <c r="T554" s="989">
        <f t="shared" si="55"/>
        <v>0</v>
      </c>
      <c r="U554" s="989">
        <f t="shared" si="56"/>
        <v>45200</v>
      </c>
      <c r="V554" s="989">
        <f t="shared" si="57"/>
        <v>100</v>
      </c>
      <c r="W554" s="989"/>
      <c r="X554" s="989">
        <f t="shared" si="53"/>
        <v>0</v>
      </c>
      <c r="Y554" s="1012"/>
    </row>
    <row r="555" spans="1:25" ht="63" customHeight="1">
      <c r="A555" s="1006">
        <v>437</v>
      </c>
      <c r="B555" s="1007" t="s">
        <v>2001</v>
      </c>
      <c r="C555" s="1008"/>
      <c r="D555" s="1008" t="s">
        <v>3858</v>
      </c>
      <c r="E555" s="1007" t="s">
        <v>3272</v>
      </c>
      <c r="F555" s="1010" t="s">
        <v>548</v>
      </c>
      <c r="G555" s="989">
        <f>312000-40101.69</f>
        <v>271898.31</v>
      </c>
      <c r="H555" s="937"/>
      <c r="I555" s="1046"/>
      <c r="J555" s="1046"/>
      <c r="K555" s="1047"/>
      <c r="L555" s="1046"/>
      <c r="M555" s="1094">
        <f>-40101.69+40101.69</f>
        <v>0</v>
      </c>
      <c r="N555" s="989">
        <f>G555+M555</f>
        <v>271898.31</v>
      </c>
      <c r="O555" s="989">
        <v>0</v>
      </c>
      <c r="P555" s="989">
        <v>271898.31</v>
      </c>
      <c r="Q555" s="989">
        <f t="shared" si="54"/>
        <v>271898.31</v>
      </c>
      <c r="R555" s="989">
        <f t="shared" si="58"/>
        <v>100</v>
      </c>
      <c r="S555" s="1011">
        <v>0</v>
      </c>
      <c r="T555" s="989">
        <f t="shared" si="55"/>
        <v>0</v>
      </c>
      <c r="U555" s="989">
        <f t="shared" si="56"/>
        <v>271898.31</v>
      </c>
      <c r="V555" s="989">
        <f t="shared" si="57"/>
        <v>100</v>
      </c>
      <c r="W555" s="989"/>
      <c r="X555" s="989">
        <f t="shared" si="53"/>
        <v>0</v>
      </c>
      <c r="Y555" s="1012"/>
    </row>
    <row r="556" spans="1:25" ht="63" customHeight="1">
      <c r="A556" s="1006">
        <v>438</v>
      </c>
      <c r="B556" s="1007" t="s">
        <v>2002</v>
      </c>
      <c r="C556" s="1008"/>
      <c r="D556" s="1008" t="s">
        <v>3859</v>
      </c>
      <c r="E556" s="1007" t="s">
        <v>2003</v>
      </c>
      <c r="F556" s="1010" t="s">
        <v>560</v>
      </c>
      <c r="G556" s="989">
        <v>135600</v>
      </c>
      <c r="H556" s="937"/>
      <c r="I556" s="1046"/>
      <c r="J556" s="1046"/>
      <c r="K556" s="1047"/>
      <c r="L556" s="1046"/>
      <c r="M556" s="1094"/>
      <c r="N556" s="989">
        <v>135600</v>
      </c>
      <c r="O556" s="989">
        <v>0</v>
      </c>
      <c r="P556" s="989">
        <v>135600</v>
      </c>
      <c r="Q556" s="989">
        <f t="shared" si="54"/>
        <v>135600</v>
      </c>
      <c r="R556" s="989">
        <f t="shared" si="58"/>
        <v>100</v>
      </c>
      <c r="S556" s="1011">
        <v>0</v>
      </c>
      <c r="T556" s="989">
        <f t="shared" si="55"/>
        <v>0</v>
      </c>
      <c r="U556" s="989">
        <f t="shared" si="56"/>
        <v>135600</v>
      </c>
      <c r="V556" s="989">
        <f t="shared" si="57"/>
        <v>100</v>
      </c>
      <c r="W556" s="989"/>
      <c r="X556" s="989">
        <f t="shared" si="53"/>
        <v>0</v>
      </c>
      <c r="Y556" s="1012"/>
    </row>
    <row r="557" spans="1:25" ht="63" customHeight="1">
      <c r="A557" s="1006">
        <v>439</v>
      </c>
      <c r="B557" s="1007" t="s">
        <v>2004</v>
      </c>
      <c r="C557" s="1008"/>
      <c r="D557" s="1008" t="s">
        <v>3860</v>
      </c>
      <c r="E557" s="1007" t="s">
        <v>2005</v>
      </c>
      <c r="F557" s="1010" t="s">
        <v>548</v>
      </c>
      <c r="G557" s="989">
        <f>2808000-108000</f>
        <v>2700000</v>
      </c>
      <c r="H557" s="937"/>
      <c r="I557" s="1046"/>
      <c r="J557" s="1046"/>
      <c r="K557" s="1047"/>
      <c r="L557" s="1046"/>
      <c r="M557" s="1094">
        <v>-260858</v>
      </c>
      <c r="N557" s="989">
        <f>G557+M557</f>
        <v>2439142</v>
      </c>
      <c r="O557" s="989">
        <v>0</v>
      </c>
      <c r="P557" s="989">
        <v>2439142</v>
      </c>
      <c r="Q557" s="989">
        <f t="shared" si="54"/>
        <v>2439142</v>
      </c>
      <c r="R557" s="989">
        <f t="shared" si="58"/>
        <v>100</v>
      </c>
      <c r="S557" s="1011">
        <v>0</v>
      </c>
      <c r="T557" s="989">
        <f t="shared" si="55"/>
        <v>0</v>
      </c>
      <c r="U557" s="989">
        <f t="shared" si="56"/>
        <v>2439142</v>
      </c>
      <c r="V557" s="989">
        <f t="shared" si="57"/>
        <v>100</v>
      </c>
      <c r="W557" s="989"/>
      <c r="X557" s="989">
        <f t="shared" si="53"/>
        <v>0</v>
      </c>
      <c r="Y557" s="1012"/>
    </row>
    <row r="558" spans="1:25" s="950" customFormat="1" ht="63" customHeight="1">
      <c r="A558" s="1006">
        <v>440</v>
      </c>
      <c r="B558" s="1007" t="s">
        <v>4498</v>
      </c>
      <c r="C558" s="1008"/>
      <c r="D558" s="1008" t="s">
        <v>4499</v>
      </c>
      <c r="E558" s="1007" t="s">
        <v>4387</v>
      </c>
      <c r="F558" s="1010" t="s">
        <v>560</v>
      </c>
      <c r="G558" s="989">
        <v>0</v>
      </c>
      <c r="H558" s="937"/>
      <c r="I558" s="1046"/>
      <c r="J558" s="1046"/>
      <c r="K558" s="1047"/>
      <c r="L558" s="1046"/>
      <c r="M558" s="1094"/>
      <c r="N558" s="989">
        <v>0</v>
      </c>
      <c r="O558" s="989"/>
      <c r="P558" s="989"/>
      <c r="Q558" s="989">
        <f t="shared" si="54"/>
        <v>0</v>
      </c>
      <c r="R558" s="989" t="e">
        <f t="shared" si="58"/>
        <v>#DIV/0!</v>
      </c>
      <c r="S558" s="1011"/>
      <c r="T558" s="989">
        <v>0</v>
      </c>
      <c r="U558" s="989">
        <f t="shared" si="56"/>
        <v>0</v>
      </c>
      <c r="V558" s="989">
        <v>0</v>
      </c>
      <c r="W558" s="989"/>
      <c r="X558" s="989">
        <f t="shared" si="53"/>
        <v>0</v>
      </c>
      <c r="Y558" s="1012"/>
    </row>
    <row r="559" spans="1:25" ht="63" customHeight="1">
      <c r="A559" s="1006">
        <v>441</v>
      </c>
      <c r="B559" s="1007" t="s">
        <v>2006</v>
      </c>
      <c r="C559" s="1008"/>
      <c r="D559" s="1008" t="s">
        <v>3861</v>
      </c>
      <c r="E559" s="1007" t="s">
        <v>2007</v>
      </c>
      <c r="F559" s="1010" t="s">
        <v>560</v>
      </c>
      <c r="G559" s="989">
        <v>45200</v>
      </c>
      <c r="H559" s="937"/>
      <c r="I559" s="1046"/>
      <c r="J559" s="1046"/>
      <c r="K559" s="1047">
        <v>-9000</v>
      </c>
      <c r="L559" s="1046"/>
      <c r="M559" s="1094">
        <v>-15406</v>
      </c>
      <c r="N559" s="989">
        <f>45200+K559+M559</f>
        <v>20794</v>
      </c>
      <c r="O559" s="989">
        <v>0</v>
      </c>
      <c r="P559" s="989">
        <v>20794</v>
      </c>
      <c r="Q559" s="989">
        <f t="shared" si="54"/>
        <v>20794</v>
      </c>
      <c r="R559" s="989">
        <f t="shared" si="58"/>
        <v>100</v>
      </c>
      <c r="S559" s="1011">
        <v>0</v>
      </c>
      <c r="T559" s="989">
        <f t="shared" si="55"/>
        <v>0</v>
      </c>
      <c r="U559" s="989">
        <f t="shared" si="56"/>
        <v>20794</v>
      </c>
      <c r="V559" s="989">
        <f t="shared" si="57"/>
        <v>100</v>
      </c>
      <c r="W559" s="989"/>
      <c r="X559" s="989">
        <f t="shared" si="53"/>
        <v>0</v>
      </c>
      <c r="Y559" s="1012"/>
    </row>
    <row r="560" spans="1:25" ht="63" customHeight="1">
      <c r="A560" s="1006">
        <v>442</v>
      </c>
      <c r="B560" s="1007" t="s">
        <v>2008</v>
      </c>
      <c r="C560" s="1008"/>
      <c r="D560" s="1008" t="s">
        <v>3862</v>
      </c>
      <c r="E560" s="1007" t="s">
        <v>2009</v>
      </c>
      <c r="F560" s="1010" t="s">
        <v>548</v>
      </c>
      <c r="G560" s="989">
        <f>416000-48400</f>
        <v>367600</v>
      </c>
      <c r="H560" s="937"/>
      <c r="I560" s="1046"/>
      <c r="J560" s="1046"/>
      <c r="K560" s="1047"/>
      <c r="L560" s="1046"/>
      <c r="M560" s="1094">
        <f>-48400+48400</f>
        <v>0</v>
      </c>
      <c r="N560" s="989">
        <f>G560+M560</f>
        <v>367600</v>
      </c>
      <c r="O560" s="989">
        <v>0</v>
      </c>
      <c r="P560" s="989">
        <v>367600</v>
      </c>
      <c r="Q560" s="989">
        <f t="shared" si="54"/>
        <v>367600</v>
      </c>
      <c r="R560" s="989">
        <f t="shared" si="58"/>
        <v>100</v>
      </c>
      <c r="S560" s="1011">
        <v>0</v>
      </c>
      <c r="T560" s="989">
        <f t="shared" si="55"/>
        <v>0</v>
      </c>
      <c r="U560" s="989">
        <f t="shared" si="56"/>
        <v>367600</v>
      </c>
      <c r="V560" s="989">
        <f t="shared" si="57"/>
        <v>100</v>
      </c>
      <c r="W560" s="989"/>
      <c r="X560" s="989">
        <f t="shared" si="53"/>
        <v>0</v>
      </c>
      <c r="Y560" s="1012"/>
    </row>
    <row r="561" spans="1:39" s="969" customFormat="1" ht="63" customHeight="1">
      <c r="A561" s="1006">
        <v>443</v>
      </c>
      <c r="B561" s="1007" t="s">
        <v>2010</v>
      </c>
      <c r="C561" s="1008"/>
      <c r="D561" s="1008" t="s">
        <v>3863</v>
      </c>
      <c r="E561" s="1007" t="s">
        <v>2011</v>
      </c>
      <c r="F561" s="1010" t="s">
        <v>560</v>
      </c>
      <c r="G561" s="989">
        <f>45200-5</f>
        <v>45195</v>
      </c>
      <c r="H561" s="937"/>
      <c r="I561" s="1046"/>
      <c r="J561" s="1046"/>
      <c r="K561" s="1047">
        <v>-7300</v>
      </c>
      <c r="L561" s="1046"/>
      <c r="M561" s="1094">
        <f>-5+5</f>
        <v>0</v>
      </c>
      <c r="N561" s="989">
        <f>37900+M561-5</f>
        <v>37895</v>
      </c>
      <c r="O561" s="989">
        <v>37895</v>
      </c>
      <c r="P561" s="989">
        <v>0</v>
      </c>
      <c r="Q561" s="989">
        <f t="shared" si="54"/>
        <v>37895</v>
      </c>
      <c r="R561" s="989">
        <f t="shared" si="58"/>
        <v>100</v>
      </c>
      <c r="S561" s="1011">
        <v>0</v>
      </c>
      <c r="T561" s="989">
        <f t="shared" si="55"/>
        <v>0</v>
      </c>
      <c r="U561" s="989">
        <f t="shared" si="56"/>
        <v>37895</v>
      </c>
      <c r="V561" s="989">
        <f t="shared" si="57"/>
        <v>100</v>
      </c>
      <c r="W561" s="989"/>
      <c r="X561" s="989">
        <f t="shared" si="53"/>
        <v>0</v>
      </c>
      <c r="Y561" s="1012"/>
      <c r="Z561" s="941"/>
      <c r="AA561" s="941"/>
      <c r="AB561" s="941"/>
      <c r="AC561" s="941"/>
      <c r="AD561" s="941"/>
      <c r="AE561" s="941"/>
      <c r="AF561" s="941"/>
      <c r="AG561" s="941"/>
      <c r="AH561" s="941"/>
      <c r="AI561" s="941"/>
      <c r="AJ561" s="941"/>
      <c r="AK561" s="941"/>
      <c r="AL561" s="941"/>
      <c r="AM561" s="941"/>
    </row>
    <row r="562" spans="1:39" s="969" customFormat="1" ht="63" customHeight="1">
      <c r="A562" s="1006">
        <v>444</v>
      </c>
      <c r="B562" s="1007" t="s">
        <v>2012</v>
      </c>
      <c r="C562" s="1008"/>
      <c r="D562" s="1008" t="s">
        <v>3864</v>
      </c>
      <c r="E562" s="1007" t="s">
        <v>2013</v>
      </c>
      <c r="F562" s="1010" t="s">
        <v>548</v>
      </c>
      <c r="G562" s="989">
        <f>416000-52235</f>
        <v>363765</v>
      </c>
      <c r="H562" s="937"/>
      <c r="I562" s="1046"/>
      <c r="J562" s="1046"/>
      <c r="K562" s="1047"/>
      <c r="L562" s="1046"/>
      <c r="M562" s="1094">
        <f>-7935-7900-36400+52235</f>
        <v>0</v>
      </c>
      <c r="N562" s="989">
        <f>G562+M562</f>
        <v>363765</v>
      </c>
      <c r="O562" s="989">
        <v>96065</v>
      </c>
      <c r="P562" s="989">
        <v>267700</v>
      </c>
      <c r="Q562" s="989">
        <f t="shared" si="54"/>
        <v>363765</v>
      </c>
      <c r="R562" s="989">
        <f t="shared" si="58"/>
        <v>100</v>
      </c>
      <c r="S562" s="1011">
        <v>0</v>
      </c>
      <c r="T562" s="989">
        <f t="shared" si="55"/>
        <v>0</v>
      </c>
      <c r="U562" s="989">
        <f t="shared" si="56"/>
        <v>363765</v>
      </c>
      <c r="V562" s="989">
        <f t="shared" si="57"/>
        <v>100</v>
      </c>
      <c r="W562" s="989"/>
      <c r="X562" s="989">
        <f t="shared" si="53"/>
        <v>0</v>
      </c>
      <c r="Y562" s="1012"/>
      <c r="Z562" s="941"/>
      <c r="AA562" s="941"/>
      <c r="AB562" s="941"/>
      <c r="AC562" s="941"/>
      <c r="AD562" s="941"/>
      <c r="AE562" s="941"/>
      <c r="AF562" s="941"/>
      <c r="AG562" s="941"/>
      <c r="AH562" s="941"/>
      <c r="AI562" s="941"/>
      <c r="AJ562" s="941"/>
      <c r="AK562" s="941"/>
      <c r="AL562" s="941"/>
      <c r="AM562" s="941"/>
    </row>
    <row r="563" spans="1:39" s="969" customFormat="1" ht="63" customHeight="1">
      <c r="A563" s="1006">
        <v>445</v>
      </c>
      <c r="B563" s="1007" t="s">
        <v>2014</v>
      </c>
      <c r="C563" s="1008"/>
      <c r="D563" s="1008" t="s">
        <v>3865</v>
      </c>
      <c r="E563" s="1007" t="s">
        <v>2015</v>
      </c>
      <c r="F563" s="1010" t="s">
        <v>548</v>
      </c>
      <c r="G563" s="989">
        <v>1040000</v>
      </c>
      <c r="H563" s="937"/>
      <c r="I563" s="1046"/>
      <c r="J563" s="1046"/>
      <c r="K563" s="1047"/>
      <c r="L563" s="1046"/>
      <c r="M563" s="1094"/>
      <c r="N563" s="989">
        <v>1040000</v>
      </c>
      <c r="O563" s="989">
        <v>0</v>
      </c>
      <c r="P563" s="989">
        <v>1005166</v>
      </c>
      <c r="Q563" s="989">
        <f t="shared" si="54"/>
        <v>1005166</v>
      </c>
      <c r="R563" s="989">
        <f t="shared" si="58"/>
        <v>96.650576923076926</v>
      </c>
      <c r="S563" s="1011">
        <v>0</v>
      </c>
      <c r="T563" s="989">
        <f t="shared" si="55"/>
        <v>0</v>
      </c>
      <c r="U563" s="989">
        <f t="shared" si="56"/>
        <v>1005166</v>
      </c>
      <c r="V563" s="989">
        <f t="shared" si="57"/>
        <v>96.650576923076926</v>
      </c>
      <c r="W563" s="989"/>
      <c r="X563" s="989">
        <f t="shared" si="53"/>
        <v>34834</v>
      </c>
      <c r="Y563" s="1012"/>
      <c r="Z563" s="941"/>
      <c r="AA563" s="941"/>
      <c r="AB563" s="941"/>
      <c r="AC563" s="941"/>
      <c r="AD563" s="941"/>
      <c r="AE563" s="941"/>
      <c r="AF563" s="941"/>
      <c r="AG563" s="941"/>
      <c r="AH563" s="941"/>
      <c r="AI563" s="941"/>
      <c r="AJ563" s="941"/>
      <c r="AK563" s="941"/>
      <c r="AL563" s="941"/>
      <c r="AM563" s="941"/>
    </row>
    <row r="564" spans="1:39" s="969" customFormat="1" ht="63" customHeight="1">
      <c r="A564" s="1006">
        <v>446</v>
      </c>
      <c r="B564" s="1007" t="s">
        <v>2016</v>
      </c>
      <c r="C564" s="1008"/>
      <c r="D564" s="1008" t="s">
        <v>3866</v>
      </c>
      <c r="E564" s="1007" t="s">
        <v>2017</v>
      </c>
      <c r="F564" s="1010" t="s">
        <v>548</v>
      </c>
      <c r="G564" s="989">
        <f>728000-26975.09</f>
        <v>701024.91</v>
      </c>
      <c r="H564" s="937"/>
      <c r="I564" s="1046"/>
      <c r="J564" s="1046"/>
      <c r="K564" s="1047"/>
      <c r="L564" s="1046"/>
      <c r="M564" s="1094">
        <f>-26975.09+26975.09</f>
        <v>0</v>
      </c>
      <c r="N564" s="989">
        <f>G564+M564</f>
        <v>701024.91</v>
      </c>
      <c r="O564" s="989">
        <v>0</v>
      </c>
      <c r="P564" s="989">
        <v>701024.91</v>
      </c>
      <c r="Q564" s="989">
        <f t="shared" si="54"/>
        <v>701024.91</v>
      </c>
      <c r="R564" s="989">
        <f t="shared" si="58"/>
        <v>100</v>
      </c>
      <c r="S564" s="1011">
        <v>0</v>
      </c>
      <c r="T564" s="989">
        <f t="shared" si="55"/>
        <v>0</v>
      </c>
      <c r="U564" s="989">
        <f t="shared" si="56"/>
        <v>701024.91</v>
      </c>
      <c r="V564" s="989">
        <f t="shared" si="57"/>
        <v>100</v>
      </c>
      <c r="W564" s="989"/>
      <c r="X564" s="989">
        <f t="shared" si="53"/>
        <v>0</v>
      </c>
      <c r="Y564" s="1012"/>
      <c r="Z564" s="941"/>
      <c r="AA564" s="941"/>
      <c r="AB564" s="941"/>
      <c r="AC564" s="941"/>
      <c r="AD564" s="941"/>
      <c r="AE564" s="941"/>
      <c r="AF564" s="941"/>
      <c r="AG564" s="941"/>
      <c r="AH564" s="941"/>
      <c r="AI564" s="941"/>
      <c r="AJ564" s="941"/>
      <c r="AK564" s="941"/>
      <c r="AL564" s="941"/>
      <c r="AM564" s="941"/>
    </row>
    <row r="565" spans="1:39" s="969" customFormat="1" ht="63" customHeight="1">
      <c r="A565" s="1006">
        <v>447</v>
      </c>
      <c r="B565" s="1007" t="s">
        <v>2018</v>
      </c>
      <c r="C565" s="1008"/>
      <c r="D565" s="1008" t="s">
        <v>3867</v>
      </c>
      <c r="E565" s="1007" t="s">
        <v>2019</v>
      </c>
      <c r="F565" s="1010" t="s">
        <v>560</v>
      </c>
      <c r="G565" s="989">
        <v>45200</v>
      </c>
      <c r="H565" s="937"/>
      <c r="I565" s="1046"/>
      <c r="J565" s="1046"/>
      <c r="K565" s="1047">
        <v>-9000</v>
      </c>
      <c r="L565" s="1046"/>
      <c r="M565" s="1094">
        <v>-4836.2299999999996</v>
      </c>
      <c r="N565" s="989">
        <f>45200+M565+K565</f>
        <v>31363.770000000004</v>
      </c>
      <c r="O565" s="989">
        <v>0</v>
      </c>
      <c r="P565" s="989">
        <v>31363.77</v>
      </c>
      <c r="Q565" s="989">
        <f t="shared" si="54"/>
        <v>31363.77</v>
      </c>
      <c r="R565" s="989">
        <f t="shared" si="58"/>
        <v>99.999999999999986</v>
      </c>
      <c r="S565" s="1011">
        <v>0</v>
      </c>
      <c r="T565" s="989">
        <f t="shared" si="55"/>
        <v>0</v>
      </c>
      <c r="U565" s="989">
        <f t="shared" si="56"/>
        <v>31363.77</v>
      </c>
      <c r="V565" s="989">
        <f t="shared" si="57"/>
        <v>99.999999999999986</v>
      </c>
      <c r="W565" s="989"/>
      <c r="X565" s="989">
        <f t="shared" ref="X565:X628" si="59">N565-U565</f>
        <v>0</v>
      </c>
      <c r="Y565" s="1012"/>
      <c r="Z565" s="941"/>
      <c r="AA565" s="941"/>
      <c r="AB565" s="941"/>
      <c r="AC565" s="941"/>
      <c r="AD565" s="941"/>
      <c r="AE565" s="941"/>
      <c r="AF565" s="941"/>
      <c r="AG565" s="941"/>
      <c r="AH565" s="941"/>
      <c r="AI565" s="941"/>
      <c r="AJ565" s="941"/>
      <c r="AK565" s="941"/>
      <c r="AL565" s="941"/>
      <c r="AM565" s="941"/>
    </row>
    <row r="566" spans="1:39" s="969" customFormat="1" ht="63" customHeight="1">
      <c r="A566" s="1006">
        <v>448</v>
      </c>
      <c r="B566" s="1007" t="s">
        <v>2020</v>
      </c>
      <c r="C566" s="1008"/>
      <c r="D566" s="1008" t="s">
        <v>3868</v>
      </c>
      <c r="E566" s="1007" t="s">
        <v>2021</v>
      </c>
      <c r="F566" s="1010" t="s">
        <v>560</v>
      </c>
      <c r="G566" s="989">
        <f>180800-82</f>
        <v>180718</v>
      </c>
      <c r="H566" s="937"/>
      <c r="I566" s="1046"/>
      <c r="J566" s="1046"/>
      <c r="K566" s="1047"/>
      <c r="L566" s="1046"/>
      <c r="M566" s="1094">
        <f>-82+82</f>
        <v>0</v>
      </c>
      <c r="N566" s="989">
        <f>G566+M566</f>
        <v>180718</v>
      </c>
      <c r="O566" s="989">
        <v>0</v>
      </c>
      <c r="P566" s="989">
        <v>180718</v>
      </c>
      <c r="Q566" s="989">
        <f t="shared" si="54"/>
        <v>180718</v>
      </c>
      <c r="R566" s="989">
        <f t="shared" si="58"/>
        <v>100</v>
      </c>
      <c r="S566" s="1011">
        <v>0</v>
      </c>
      <c r="T566" s="989">
        <f t="shared" si="55"/>
        <v>0</v>
      </c>
      <c r="U566" s="989">
        <f t="shared" si="56"/>
        <v>180718</v>
      </c>
      <c r="V566" s="989">
        <f t="shared" si="57"/>
        <v>100</v>
      </c>
      <c r="W566" s="989"/>
      <c r="X566" s="989">
        <f t="shared" si="59"/>
        <v>0</v>
      </c>
      <c r="Y566" s="1012"/>
      <c r="Z566" s="941"/>
      <c r="AA566" s="941"/>
      <c r="AB566" s="941"/>
      <c r="AC566" s="941"/>
      <c r="AD566" s="941"/>
      <c r="AE566" s="941"/>
      <c r="AF566" s="941"/>
      <c r="AG566" s="941"/>
      <c r="AH566" s="941"/>
      <c r="AI566" s="941"/>
      <c r="AJ566" s="941"/>
      <c r="AK566" s="941"/>
      <c r="AL566" s="941"/>
      <c r="AM566" s="941"/>
    </row>
    <row r="567" spans="1:39" s="969" customFormat="1" ht="63" customHeight="1">
      <c r="A567" s="1006">
        <v>449</v>
      </c>
      <c r="B567" s="1007" t="s">
        <v>2022</v>
      </c>
      <c r="C567" s="1008"/>
      <c r="D567" s="1008" t="s">
        <v>3869</v>
      </c>
      <c r="E567" s="1007" t="s">
        <v>2023</v>
      </c>
      <c r="F567" s="1010" t="s">
        <v>548</v>
      </c>
      <c r="G567" s="989">
        <f>624000+149139</f>
        <v>773139</v>
      </c>
      <c r="H567" s="937"/>
      <c r="I567" s="1046"/>
      <c r="J567" s="1046"/>
      <c r="K567" s="1047"/>
      <c r="L567" s="1046"/>
      <c r="M567" s="1094">
        <v>-298278</v>
      </c>
      <c r="N567" s="989">
        <f>G567+M567</f>
        <v>474861</v>
      </c>
      <c r="O567" s="989">
        <v>0</v>
      </c>
      <c r="P567" s="989">
        <v>466553.84</v>
      </c>
      <c r="Q567" s="989">
        <f t="shared" ref="Q567:Q630" si="60">P567+O567</f>
        <v>466553.84</v>
      </c>
      <c r="R567" s="989">
        <f t="shared" si="58"/>
        <v>98.250612284436926</v>
      </c>
      <c r="S567" s="1011">
        <v>0</v>
      </c>
      <c r="T567" s="989">
        <f t="shared" ref="T567:T625" si="61">S567/N567*100</f>
        <v>0</v>
      </c>
      <c r="U567" s="989">
        <f t="shared" ref="U567:U630" si="62">S567+Q567</f>
        <v>466553.84</v>
      </c>
      <c r="V567" s="989">
        <f t="shared" ref="V567:V625" si="63">U567/N567*100</f>
        <v>98.250612284436926</v>
      </c>
      <c r="W567" s="989"/>
      <c r="X567" s="989">
        <f t="shared" si="59"/>
        <v>8307.1599999999744</v>
      </c>
      <c r="Y567" s="1012"/>
      <c r="Z567" s="941"/>
      <c r="AA567" s="941"/>
      <c r="AB567" s="941"/>
      <c r="AC567" s="941"/>
      <c r="AD567" s="941"/>
      <c r="AE567" s="941"/>
      <c r="AF567" s="941"/>
      <c r="AG567" s="941"/>
      <c r="AH567" s="941"/>
      <c r="AI567" s="941"/>
      <c r="AJ567" s="941"/>
      <c r="AK567" s="941"/>
      <c r="AL567" s="941"/>
      <c r="AM567" s="941"/>
    </row>
    <row r="568" spans="1:39" s="969" customFormat="1" ht="63" customHeight="1">
      <c r="A568" s="1006">
        <v>450</v>
      </c>
      <c r="B568" s="1007" t="s">
        <v>2024</v>
      </c>
      <c r="C568" s="1008"/>
      <c r="D568" s="1008" t="s">
        <v>3870</v>
      </c>
      <c r="E568" s="1007" t="s">
        <v>4347</v>
      </c>
      <c r="F568" s="1010" t="s">
        <v>560</v>
      </c>
      <c r="G568" s="989">
        <f>406800-61581.54</f>
        <v>345218.46</v>
      </c>
      <c r="H568" s="937"/>
      <c r="I568" s="1046"/>
      <c r="J568" s="1046"/>
      <c r="K568" s="1047">
        <v>-52700</v>
      </c>
      <c r="L568" s="1046"/>
      <c r="M568" s="1094">
        <f>-61581.54+61581.54</f>
        <v>0</v>
      </c>
      <c r="N568" s="989">
        <f>345218.46+K568+M568</f>
        <v>292518.46000000002</v>
      </c>
      <c r="O568" s="989">
        <v>292518.46000000002</v>
      </c>
      <c r="P568" s="989">
        <v>0</v>
      </c>
      <c r="Q568" s="989">
        <f t="shared" si="60"/>
        <v>292518.46000000002</v>
      </c>
      <c r="R568" s="989">
        <f t="shared" ref="R568:R631" si="64">Q568/N568*100</f>
        <v>100</v>
      </c>
      <c r="S568" s="1011">
        <v>0</v>
      </c>
      <c r="T568" s="989">
        <f t="shared" si="61"/>
        <v>0</v>
      </c>
      <c r="U568" s="989">
        <f t="shared" si="62"/>
        <v>292518.46000000002</v>
      </c>
      <c r="V568" s="989">
        <f t="shared" si="63"/>
        <v>100</v>
      </c>
      <c r="W568" s="989"/>
      <c r="X568" s="989">
        <f t="shared" si="59"/>
        <v>0</v>
      </c>
      <c r="Y568" s="1012"/>
      <c r="Z568" s="941"/>
      <c r="AA568" s="941"/>
      <c r="AB568" s="941"/>
      <c r="AC568" s="941"/>
      <c r="AD568" s="941"/>
      <c r="AE568" s="941"/>
      <c r="AF568" s="941"/>
      <c r="AG568" s="941"/>
      <c r="AH568" s="941"/>
      <c r="AI568" s="941"/>
      <c r="AJ568" s="941"/>
      <c r="AK568" s="941"/>
      <c r="AL568" s="941"/>
      <c r="AM568" s="941"/>
    </row>
    <row r="569" spans="1:39" s="969" customFormat="1" ht="63" customHeight="1">
      <c r="A569" s="1006">
        <v>451</v>
      </c>
      <c r="B569" s="1007" t="s">
        <v>2025</v>
      </c>
      <c r="C569" s="1008"/>
      <c r="D569" s="1008" t="s">
        <v>3871</v>
      </c>
      <c r="E569" s="1007" t="s">
        <v>3273</v>
      </c>
      <c r="F569" s="1010" t="s">
        <v>548</v>
      </c>
      <c r="G569" s="989">
        <f>832000-134679</f>
        <v>697321</v>
      </c>
      <c r="H569" s="937"/>
      <c r="I569" s="1046"/>
      <c r="J569" s="1046"/>
      <c r="K569" s="1047"/>
      <c r="L569" s="1046"/>
      <c r="M569" s="1094">
        <f>-134679+134679</f>
        <v>0</v>
      </c>
      <c r="N569" s="989">
        <f>G569+M569</f>
        <v>697321</v>
      </c>
      <c r="O569" s="989">
        <v>0</v>
      </c>
      <c r="P569" s="989">
        <v>697321</v>
      </c>
      <c r="Q569" s="989">
        <f t="shared" si="60"/>
        <v>697321</v>
      </c>
      <c r="R569" s="989">
        <f t="shared" si="64"/>
        <v>100</v>
      </c>
      <c r="S569" s="1011">
        <v>0</v>
      </c>
      <c r="T569" s="989">
        <f t="shared" si="61"/>
        <v>0</v>
      </c>
      <c r="U569" s="989">
        <f t="shared" si="62"/>
        <v>697321</v>
      </c>
      <c r="V569" s="989">
        <f t="shared" si="63"/>
        <v>100</v>
      </c>
      <c r="W569" s="989"/>
      <c r="X569" s="989">
        <f t="shared" si="59"/>
        <v>0</v>
      </c>
      <c r="Y569" s="1012"/>
      <c r="Z569" s="941"/>
      <c r="AA569" s="941"/>
      <c r="AB569" s="941"/>
      <c r="AC569" s="941"/>
      <c r="AD569" s="941"/>
      <c r="AE569" s="941"/>
      <c r="AF569" s="941"/>
      <c r="AG569" s="941"/>
      <c r="AH569" s="941"/>
      <c r="AI569" s="941"/>
      <c r="AJ569" s="941"/>
      <c r="AK569" s="941"/>
      <c r="AL569" s="941"/>
      <c r="AM569" s="941"/>
    </row>
    <row r="570" spans="1:39" s="969" customFormat="1" ht="63" customHeight="1">
      <c r="A570" s="1006">
        <v>452</v>
      </c>
      <c r="B570" s="1007" t="s">
        <v>2026</v>
      </c>
      <c r="C570" s="1008"/>
      <c r="D570" s="1008" t="s">
        <v>3872</v>
      </c>
      <c r="E570" s="1007" t="s">
        <v>2027</v>
      </c>
      <c r="F570" s="1010" t="s">
        <v>560</v>
      </c>
      <c r="G570" s="989">
        <f>723200-39901</f>
        <v>683299</v>
      </c>
      <c r="H570" s="937"/>
      <c r="I570" s="1046"/>
      <c r="J570" s="1046"/>
      <c r="K570" s="1047">
        <v>-109208</v>
      </c>
      <c r="L570" s="1046"/>
      <c r="M570" s="1094">
        <f>-39901+39901</f>
        <v>0</v>
      </c>
      <c r="N570" s="989">
        <f>G570+M570+K570</f>
        <v>574091</v>
      </c>
      <c r="O570" s="989">
        <v>574091</v>
      </c>
      <c r="P570" s="989">
        <v>0</v>
      </c>
      <c r="Q570" s="989">
        <f t="shared" si="60"/>
        <v>574091</v>
      </c>
      <c r="R570" s="989">
        <f t="shared" si="64"/>
        <v>100</v>
      </c>
      <c r="S570" s="1011">
        <v>0</v>
      </c>
      <c r="T570" s="989">
        <f t="shared" si="61"/>
        <v>0</v>
      </c>
      <c r="U570" s="989">
        <f t="shared" si="62"/>
        <v>574091</v>
      </c>
      <c r="V570" s="989">
        <f t="shared" si="63"/>
        <v>100</v>
      </c>
      <c r="W570" s="989"/>
      <c r="X570" s="989">
        <f t="shared" si="59"/>
        <v>0</v>
      </c>
      <c r="Y570" s="1012"/>
      <c r="Z570" s="941"/>
      <c r="AA570" s="941"/>
      <c r="AB570" s="941"/>
      <c r="AC570" s="941"/>
      <c r="AD570" s="941"/>
      <c r="AE570" s="941"/>
      <c r="AF570" s="941"/>
      <c r="AG570" s="941"/>
      <c r="AH570" s="941"/>
      <c r="AI570" s="941"/>
      <c r="AJ570" s="941"/>
      <c r="AK570" s="941"/>
      <c r="AL570" s="941"/>
      <c r="AM570" s="941"/>
    </row>
    <row r="571" spans="1:39" s="969" customFormat="1" ht="63" customHeight="1">
      <c r="A571" s="1006">
        <v>453</v>
      </c>
      <c r="B571" s="1007" t="s">
        <v>2028</v>
      </c>
      <c r="C571" s="1008"/>
      <c r="D571" s="1008" t="s">
        <v>3873</v>
      </c>
      <c r="E571" s="1007" t="s">
        <v>2029</v>
      </c>
      <c r="F571" s="1010" t="s">
        <v>548</v>
      </c>
      <c r="G571" s="989">
        <f>416000-11100</f>
        <v>404900</v>
      </c>
      <c r="H571" s="937"/>
      <c r="I571" s="1046"/>
      <c r="J571" s="1046"/>
      <c r="K571" s="1047"/>
      <c r="L571" s="1046"/>
      <c r="M571" s="1094">
        <v>-81732</v>
      </c>
      <c r="N571" s="989">
        <f>G571+M571</f>
        <v>323168</v>
      </c>
      <c r="O571" s="989">
        <v>0</v>
      </c>
      <c r="P571" s="989">
        <v>323168</v>
      </c>
      <c r="Q571" s="989">
        <f t="shared" si="60"/>
        <v>323168</v>
      </c>
      <c r="R571" s="989">
        <f t="shared" si="64"/>
        <v>100</v>
      </c>
      <c r="S571" s="1011">
        <v>0</v>
      </c>
      <c r="T571" s="989">
        <f t="shared" si="61"/>
        <v>0</v>
      </c>
      <c r="U571" s="989">
        <f t="shared" si="62"/>
        <v>323168</v>
      </c>
      <c r="V571" s="989">
        <f t="shared" si="63"/>
        <v>100</v>
      </c>
      <c r="W571" s="989"/>
      <c r="X571" s="989">
        <f t="shared" si="59"/>
        <v>0</v>
      </c>
      <c r="Y571" s="1012"/>
      <c r="Z571" s="941"/>
      <c r="AA571" s="941"/>
      <c r="AB571" s="941"/>
      <c r="AC571" s="941"/>
      <c r="AD571" s="941"/>
      <c r="AE571" s="941"/>
      <c r="AF571" s="941"/>
      <c r="AG571" s="941"/>
      <c r="AH571" s="941"/>
      <c r="AI571" s="941"/>
      <c r="AJ571" s="941"/>
      <c r="AK571" s="941"/>
      <c r="AL571" s="941"/>
      <c r="AM571" s="941"/>
    </row>
    <row r="572" spans="1:39" s="969" customFormat="1" ht="63" customHeight="1">
      <c r="A572" s="1006">
        <v>454</v>
      </c>
      <c r="B572" s="1007" t="s">
        <v>2030</v>
      </c>
      <c r="C572" s="1008"/>
      <c r="D572" s="1008" t="s">
        <v>3874</v>
      </c>
      <c r="E572" s="1007" t="s">
        <v>2031</v>
      </c>
      <c r="F572" s="1010" t="s">
        <v>560</v>
      </c>
      <c r="G572" s="989">
        <v>135600</v>
      </c>
      <c r="H572" s="937"/>
      <c r="I572" s="1046"/>
      <c r="J572" s="1046"/>
      <c r="K572" s="1047">
        <v>-1842</v>
      </c>
      <c r="L572" s="1046"/>
      <c r="M572" s="1094"/>
      <c r="N572" s="989">
        <f>135600+K572+M572</f>
        <v>133758</v>
      </c>
      <c r="O572" s="989">
        <v>0</v>
      </c>
      <c r="P572" s="989">
        <v>133758</v>
      </c>
      <c r="Q572" s="989">
        <f t="shared" si="60"/>
        <v>133758</v>
      </c>
      <c r="R572" s="989">
        <f t="shared" si="64"/>
        <v>100</v>
      </c>
      <c r="S572" s="1011">
        <v>0</v>
      </c>
      <c r="T572" s="989">
        <f t="shared" si="61"/>
        <v>0</v>
      </c>
      <c r="U572" s="989">
        <f t="shared" si="62"/>
        <v>133758</v>
      </c>
      <c r="V572" s="989">
        <f t="shared" si="63"/>
        <v>100</v>
      </c>
      <c r="W572" s="989"/>
      <c r="X572" s="989">
        <f t="shared" si="59"/>
        <v>0</v>
      </c>
      <c r="Y572" s="1012"/>
      <c r="Z572" s="941"/>
      <c r="AA572" s="941"/>
      <c r="AB572" s="941"/>
      <c r="AC572" s="941"/>
      <c r="AD572" s="941"/>
      <c r="AE572" s="941"/>
      <c r="AF572" s="941"/>
      <c r="AG572" s="941"/>
      <c r="AH572" s="941"/>
      <c r="AI572" s="941"/>
      <c r="AJ572" s="941"/>
      <c r="AK572" s="941"/>
      <c r="AL572" s="941"/>
      <c r="AM572" s="941"/>
    </row>
    <row r="573" spans="1:39" s="969" customFormat="1" ht="63" customHeight="1">
      <c r="A573" s="1006">
        <v>455</v>
      </c>
      <c r="B573" s="1007" t="s">
        <v>2032</v>
      </c>
      <c r="C573" s="1008"/>
      <c r="D573" s="1008" t="s">
        <v>3875</v>
      </c>
      <c r="E573" s="1007" t="s">
        <v>3274</v>
      </c>
      <c r="F573" s="1010" t="s">
        <v>548</v>
      </c>
      <c r="G573" s="989">
        <v>208000</v>
      </c>
      <c r="H573" s="937"/>
      <c r="I573" s="1046"/>
      <c r="J573" s="1046"/>
      <c r="K573" s="1047"/>
      <c r="L573" s="1046"/>
      <c r="M573" s="1094">
        <v>-129582.2</v>
      </c>
      <c r="N573" s="989">
        <f>208000+M573</f>
        <v>78417.8</v>
      </c>
      <c r="O573" s="989">
        <v>0</v>
      </c>
      <c r="P573" s="989">
        <v>78417.8</v>
      </c>
      <c r="Q573" s="989">
        <f t="shared" si="60"/>
        <v>78417.8</v>
      </c>
      <c r="R573" s="989">
        <f t="shared" si="64"/>
        <v>100</v>
      </c>
      <c r="S573" s="1011">
        <v>0</v>
      </c>
      <c r="T573" s="989">
        <f t="shared" si="61"/>
        <v>0</v>
      </c>
      <c r="U573" s="989">
        <f t="shared" si="62"/>
        <v>78417.8</v>
      </c>
      <c r="V573" s="989">
        <f t="shared" si="63"/>
        <v>100</v>
      </c>
      <c r="W573" s="989"/>
      <c r="X573" s="989">
        <f t="shared" si="59"/>
        <v>0</v>
      </c>
      <c r="Y573" s="1012"/>
      <c r="Z573" s="941"/>
      <c r="AA573" s="941"/>
      <c r="AB573" s="941"/>
      <c r="AC573" s="941"/>
      <c r="AD573" s="941"/>
      <c r="AE573" s="941"/>
      <c r="AF573" s="941"/>
      <c r="AG573" s="941"/>
      <c r="AH573" s="941"/>
      <c r="AI573" s="941"/>
      <c r="AJ573" s="941"/>
      <c r="AK573" s="941"/>
      <c r="AL573" s="941"/>
      <c r="AM573" s="941"/>
    </row>
    <row r="574" spans="1:39" s="969" customFormat="1" ht="63" customHeight="1">
      <c r="A574" s="1006">
        <v>456</v>
      </c>
      <c r="B574" s="1007" t="s">
        <v>2033</v>
      </c>
      <c r="C574" s="1008"/>
      <c r="D574" s="1008" t="s">
        <v>3876</v>
      </c>
      <c r="E574" s="1007" t="s">
        <v>2034</v>
      </c>
      <c r="F574" s="1010" t="s">
        <v>560</v>
      </c>
      <c r="G574" s="989">
        <f>587600-14925.33</f>
        <v>572674.67000000004</v>
      </c>
      <c r="H574" s="937"/>
      <c r="I574" s="1046"/>
      <c r="J574" s="1046"/>
      <c r="K574" s="1047">
        <v>-47042</v>
      </c>
      <c r="L574" s="1046"/>
      <c r="M574" s="1094">
        <f>-14925.33+14925.33</f>
        <v>0</v>
      </c>
      <c r="N574" s="989">
        <f>G574+M574+K574</f>
        <v>525632.67000000004</v>
      </c>
      <c r="O574" s="989">
        <v>0</v>
      </c>
      <c r="P574" s="989">
        <v>525632.67000000004</v>
      </c>
      <c r="Q574" s="989">
        <f t="shared" si="60"/>
        <v>525632.67000000004</v>
      </c>
      <c r="R574" s="989">
        <f t="shared" si="64"/>
        <v>100</v>
      </c>
      <c r="S574" s="1011">
        <v>0</v>
      </c>
      <c r="T574" s="989">
        <f t="shared" si="61"/>
        <v>0</v>
      </c>
      <c r="U574" s="989">
        <f t="shared" si="62"/>
        <v>525632.67000000004</v>
      </c>
      <c r="V574" s="989">
        <f t="shared" si="63"/>
        <v>100</v>
      </c>
      <c r="W574" s="989"/>
      <c r="X574" s="989">
        <f t="shared" si="59"/>
        <v>0</v>
      </c>
      <c r="Y574" s="1012"/>
      <c r="Z574" s="941"/>
      <c r="AA574" s="941"/>
      <c r="AB574" s="941"/>
      <c r="AC574" s="941"/>
      <c r="AD574" s="941"/>
      <c r="AE574" s="941"/>
      <c r="AF574" s="941"/>
      <c r="AG574" s="941"/>
      <c r="AH574" s="941"/>
      <c r="AI574" s="941"/>
      <c r="AJ574" s="941"/>
      <c r="AK574" s="941"/>
      <c r="AL574" s="941"/>
      <c r="AM574" s="941"/>
    </row>
    <row r="575" spans="1:39" s="969" customFormat="1" ht="63" customHeight="1">
      <c r="A575" s="1006">
        <v>457</v>
      </c>
      <c r="B575" s="1007" t="s">
        <v>2035</v>
      </c>
      <c r="C575" s="1008"/>
      <c r="D575" s="1008" t="s">
        <v>3877</v>
      </c>
      <c r="E575" s="1007" t="s">
        <v>2036</v>
      </c>
      <c r="F575" s="1010" t="s">
        <v>548</v>
      </c>
      <c r="G575" s="989">
        <v>728000</v>
      </c>
      <c r="H575" s="937"/>
      <c r="I575" s="1046"/>
      <c r="J575" s="1046"/>
      <c r="K575" s="1047">
        <v>-310200</v>
      </c>
      <c r="L575" s="1046"/>
      <c r="M575" s="1094">
        <v>-4500</v>
      </c>
      <c r="N575" s="989">
        <f>728000+M575+K575</f>
        <v>413300</v>
      </c>
      <c r="O575" s="989">
        <v>0</v>
      </c>
      <c r="P575" s="989">
        <v>413300</v>
      </c>
      <c r="Q575" s="989">
        <f t="shared" si="60"/>
        <v>413300</v>
      </c>
      <c r="R575" s="989">
        <f t="shared" si="64"/>
        <v>100</v>
      </c>
      <c r="S575" s="1011">
        <v>0</v>
      </c>
      <c r="T575" s="989">
        <f t="shared" si="61"/>
        <v>0</v>
      </c>
      <c r="U575" s="989">
        <f t="shared" si="62"/>
        <v>413300</v>
      </c>
      <c r="V575" s="989">
        <f t="shared" si="63"/>
        <v>100</v>
      </c>
      <c r="W575" s="989"/>
      <c r="X575" s="989">
        <f t="shared" si="59"/>
        <v>0</v>
      </c>
      <c r="Y575" s="1012"/>
      <c r="Z575" s="941"/>
      <c r="AA575" s="941"/>
      <c r="AB575" s="941"/>
      <c r="AC575" s="941"/>
      <c r="AD575" s="941"/>
      <c r="AE575" s="941"/>
      <c r="AF575" s="941"/>
      <c r="AG575" s="941"/>
      <c r="AH575" s="941"/>
      <c r="AI575" s="941"/>
      <c r="AJ575" s="941"/>
      <c r="AK575" s="941"/>
      <c r="AL575" s="941"/>
      <c r="AM575" s="941"/>
    </row>
    <row r="576" spans="1:39" s="969" customFormat="1" ht="63" customHeight="1">
      <c r="A576" s="1006">
        <v>458</v>
      </c>
      <c r="B576" s="1007" t="s">
        <v>2037</v>
      </c>
      <c r="C576" s="1008"/>
      <c r="D576" s="1008" t="s">
        <v>3878</v>
      </c>
      <c r="E576" s="1007" t="s">
        <v>2038</v>
      </c>
      <c r="F576" s="1010" t="s">
        <v>560</v>
      </c>
      <c r="G576" s="989">
        <v>226000</v>
      </c>
      <c r="H576" s="937"/>
      <c r="I576" s="1046"/>
      <c r="J576" s="1046"/>
      <c r="K576" s="1047">
        <v>-38400</v>
      </c>
      <c r="L576" s="1046"/>
      <c r="M576" s="1094">
        <v>-40927.17</v>
      </c>
      <c r="N576" s="989">
        <f>226000+K576+M576</f>
        <v>146672.83000000002</v>
      </c>
      <c r="O576" s="989">
        <v>0</v>
      </c>
      <c r="P576" s="989">
        <v>146672.82999999999</v>
      </c>
      <c r="Q576" s="989">
        <f t="shared" si="60"/>
        <v>146672.82999999999</v>
      </c>
      <c r="R576" s="989">
        <f t="shared" si="64"/>
        <v>99.999999999999972</v>
      </c>
      <c r="S576" s="1011">
        <v>0</v>
      </c>
      <c r="T576" s="989">
        <f t="shared" si="61"/>
        <v>0</v>
      </c>
      <c r="U576" s="989">
        <f t="shared" si="62"/>
        <v>146672.82999999999</v>
      </c>
      <c r="V576" s="989">
        <f t="shared" si="63"/>
        <v>99.999999999999972</v>
      </c>
      <c r="W576" s="989"/>
      <c r="X576" s="989">
        <f t="shared" si="59"/>
        <v>0</v>
      </c>
      <c r="Y576" s="1012"/>
      <c r="Z576" s="941"/>
      <c r="AA576" s="941"/>
      <c r="AB576" s="941"/>
      <c r="AC576" s="941"/>
      <c r="AD576" s="941"/>
      <c r="AE576" s="941"/>
      <c r="AF576" s="941"/>
      <c r="AG576" s="941"/>
      <c r="AH576" s="941"/>
      <c r="AI576" s="941"/>
      <c r="AJ576" s="941"/>
      <c r="AK576" s="941"/>
      <c r="AL576" s="941"/>
      <c r="AM576" s="941"/>
    </row>
    <row r="577" spans="1:25" ht="63" customHeight="1">
      <c r="A577" s="1006">
        <v>459</v>
      </c>
      <c r="B577" s="1007" t="s">
        <v>2039</v>
      </c>
      <c r="C577" s="1008"/>
      <c r="D577" s="1008" t="s">
        <v>3879</v>
      </c>
      <c r="E577" s="1007" t="s">
        <v>2040</v>
      </c>
      <c r="F577" s="1010" t="s">
        <v>548</v>
      </c>
      <c r="G577" s="989">
        <f>832000-250258.16</f>
        <v>581741.84</v>
      </c>
      <c r="H577" s="937"/>
      <c r="I577" s="1046"/>
      <c r="J577" s="1046"/>
      <c r="K577" s="1047"/>
      <c r="L577" s="1046"/>
      <c r="M577" s="1094">
        <f>-250258.16+250258.16</f>
        <v>0</v>
      </c>
      <c r="N577" s="989">
        <f>G577+M577</f>
        <v>581741.84</v>
      </c>
      <c r="O577" s="989">
        <v>0</v>
      </c>
      <c r="P577" s="989">
        <v>581741.84</v>
      </c>
      <c r="Q577" s="989">
        <f t="shared" si="60"/>
        <v>581741.84</v>
      </c>
      <c r="R577" s="989">
        <f t="shared" si="64"/>
        <v>100</v>
      </c>
      <c r="S577" s="1011">
        <v>0</v>
      </c>
      <c r="T577" s="989">
        <f t="shared" si="61"/>
        <v>0</v>
      </c>
      <c r="U577" s="989">
        <f t="shared" si="62"/>
        <v>581741.84</v>
      </c>
      <c r="V577" s="989">
        <f t="shared" si="63"/>
        <v>100</v>
      </c>
      <c r="W577" s="989"/>
      <c r="X577" s="989">
        <f t="shared" si="59"/>
        <v>0</v>
      </c>
      <c r="Y577" s="1012"/>
    </row>
    <row r="578" spans="1:25" ht="63" customHeight="1">
      <c r="A578" s="1006">
        <v>460</v>
      </c>
      <c r="B578" s="1007" t="s">
        <v>2041</v>
      </c>
      <c r="C578" s="1008"/>
      <c r="D578" s="1008" t="s">
        <v>3880</v>
      </c>
      <c r="E578" s="1007" t="s">
        <v>2042</v>
      </c>
      <c r="F578" s="1010" t="s">
        <v>560</v>
      </c>
      <c r="G578" s="989">
        <f>90400-162.24</f>
        <v>90237.759999999995</v>
      </c>
      <c r="H578" s="937"/>
      <c r="I578" s="1046"/>
      <c r="J578" s="1046"/>
      <c r="K578" s="1047"/>
      <c r="L578" s="1046"/>
      <c r="M578" s="1094">
        <f>-162.24+162.24</f>
        <v>0</v>
      </c>
      <c r="N578" s="989">
        <f>G578+M578</f>
        <v>90237.759999999995</v>
      </c>
      <c r="O578" s="989">
        <v>0</v>
      </c>
      <c r="P578" s="989">
        <v>90237.759999999995</v>
      </c>
      <c r="Q578" s="989">
        <f t="shared" si="60"/>
        <v>90237.759999999995</v>
      </c>
      <c r="R578" s="989">
        <f t="shared" si="64"/>
        <v>100</v>
      </c>
      <c r="S578" s="1011">
        <v>0</v>
      </c>
      <c r="T578" s="989">
        <f t="shared" si="61"/>
        <v>0</v>
      </c>
      <c r="U578" s="989">
        <f t="shared" si="62"/>
        <v>90237.759999999995</v>
      </c>
      <c r="V578" s="989">
        <f t="shared" si="63"/>
        <v>100</v>
      </c>
      <c r="W578" s="989"/>
      <c r="X578" s="989">
        <f t="shared" si="59"/>
        <v>0</v>
      </c>
      <c r="Y578" s="1012"/>
    </row>
    <row r="579" spans="1:25" ht="63" customHeight="1">
      <c r="A579" s="1006">
        <v>461</v>
      </c>
      <c r="B579" s="1007" t="s">
        <v>2043</v>
      </c>
      <c r="C579" s="1008"/>
      <c r="D579" s="1008" t="s">
        <v>3881</v>
      </c>
      <c r="E579" s="1007" t="s">
        <v>2044</v>
      </c>
      <c r="F579" s="1010" t="s">
        <v>560</v>
      </c>
      <c r="G579" s="989">
        <v>135600</v>
      </c>
      <c r="H579" s="937"/>
      <c r="I579" s="1046"/>
      <c r="J579" s="1046"/>
      <c r="K579" s="1047">
        <v>-6040</v>
      </c>
      <c r="L579" s="1046"/>
      <c r="M579" s="1094"/>
      <c r="N579" s="989">
        <f>135600+M579+K579</f>
        <v>129560</v>
      </c>
      <c r="O579" s="989">
        <v>0</v>
      </c>
      <c r="P579" s="989">
        <v>129560</v>
      </c>
      <c r="Q579" s="989">
        <f t="shared" si="60"/>
        <v>129560</v>
      </c>
      <c r="R579" s="989">
        <f t="shared" si="64"/>
        <v>100</v>
      </c>
      <c r="S579" s="1011">
        <v>0</v>
      </c>
      <c r="T579" s="989">
        <f t="shared" si="61"/>
        <v>0</v>
      </c>
      <c r="U579" s="989">
        <f t="shared" si="62"/>
        <v>129560</v>
      </c>
      <c r="V579" s="989">
        <f t="shared" si="63"/>
        <v>100</v>
      </c>
      <c r="W579" s="989"/>
      <c r="X579" s="989">
        <f t="shared" si="59"/>
        <v>0</v>
      </c>
      <c r="Y579" s="1012"/>
    </row>
    <row r="580" spans="1:25" ht="63" customHeight="1">
      <c r="A580" s="1006">
        <v>462</v>
      </c>
      <c r="B580" s="1007" t="s">
        <v>2045</v>
      </c>
      <c r="C580" s="1008"/>
      <c r="D580" s="1008" t="s">
        <v>3882</v>
      </c>
      <c r="E580" s="1007" t="s">
        <v>3275</v>
      </c>
      <c r="F580" s="1010" t="s">
        <v>548</v>
      </c>
      <c r="G580" s="989">
        <f>1456000-14107</f>
        <v>1441893</v>
      </c>
      <c r="H580" s="937"/>
      <c r="I580" s="1046"/>
      <c r="J580" s="1046"/>
      <c r="K580" s="1047"/>
      <c r="L580" s="1046"/>
      <c r="M580" s="1094">
        <v>-43942.3</v>
      </c>
      <c r="N580" s="989">
        <f>G580+M580</f>
        <v>1397950.7</v>
      </c>
      <c r="O580" s="989">
        <v>0</v>
      </c>
      <c r="P580" s="989">
        <v>1397950.7</v>
      </c>
      <c r="Q580" s="989">
        <f t="shared" si="60"/>
        <v>1397950.7</v>
      </c>
      <c r="R580" s="989">
        <f t="shared" si="64"/>
        <v>100</v>
      </c>
      <c r="S580" s="1011">
        <v>0</v>
      </c>
      <c r="T580" s="989">
        <f t="shared" si="61"/>
        <v>0</v>
      </c>
      <c r="U580" s="989">
        <f t="shared" si="62"/>
        <v>1397950.7</v>
      </c>
      <c r="V580" s="989">
        <f t="shared" si="63"/>
        <v>100</v>
      </c>
      <c r="W580" s="989"/>
      <c r="X580" s="989">
        <f t="shared" si="59"/>
        <v>0</v>
      </c>
      <c r="Y580" s="1012"/>
    </row>
    <row r="581" spans="1:25" ht="63" customHeight="1">
      <c r="A581" s="1006">
        <v>463</v>
      </c>
      <c r="B581" s="1007" t="s">
        <v>2046</v>
      </c>
      <c r="C581" s="1008"/>
      <c r="D581" s="1008" t="s">
        <v>3883</v>
      </c>
      <c r="E581" s="1007" t="s">
        <v>2047</v>
      </c>
      <c r="F581" s="1010" t="s">
        <v>581</v>
      </c>
      <c r="G581" s="989">
        <v>45200</v>
      </c>
      <c r="H581" s="937"/>
      <c r="I581" s="1046"/>
      <c r="J581" s="1046"/>
      <c r="K581" s="1047"/>
      <c r="L581" s="1046"/>
      <c r="M581" s="1094"/>
      <c r="N581" s="989">
        <v>45200</v>
      </c>
      <c r="O581" s="989">
        <v>0</v>
      </c>
      <c r="P581" s="989">
        <v>45200</v>
      </c>
      <c r="Q581" s="989">
        <f t="shared" si="60"/>
        <v>45200</v>
      </c>
      <c r="R581" s="989">
        <f t="shared" si="64"/>
        <v>100</v>
      </c>
      <c r="S581" s="1011">
        <v>0</v>
      </c>
      <c r="T581" s="989">
        <f t="shared" si="61"/>
        <v>0</v>
      </c>
      <c r="U581" s="989">
        <f t="shared" si="62"/>
        <v>45200</v>
      </c>
      <c r="V581" s="989">
        <f t="shared" si="63"/>
        <v>100</v>
      </c>
      <c r="W581" s="989"/>
      <c r="X581" s="989">
        <f t="shared" si="59"/>
        <v>0</v>
      </c>
      <c r="Y581" s="1012"/>
    </row>
    <row r="582" spans="1:25" ht="63" customHeight="1">
      <c r="A582" s="1006">
        <v>464</v>
      </c>
      <c r="B582" s="1007" t="s">
        <v>2048</v>
      </c>
      <c r="C582" s="1008"/>
      <c r="D582" s="1008" t="s">
        <v>3884</v>
      </c>
      <c r="E582" s="1007" t="s">
        <v>2049</v>
      </c>
      <c r="F582" s="1010" t="s">
        <v>548</v>
      </c>
      <c r="G582" s="989">
        <v>936000</v>
      </c>
      <c r="H582" s="937"/>
      <c r="I582" s="1046"/>
      <c r="J582" s="1046"/>
      <c r="K582" s="1047"/>
      <c r="L582" s="1046"/>
      <c r="M582" s="1094"/>
      <c r="N582" s="989">
        <v>936000</v>
      </c>
      <c r="O582" s="989">
        <v>0</v>
      </c>
      <c r="P582" s="989">
        <v>936000</v>
      </c>
      <c r="Q582" s="989">
        <f t="shared" si="60"/>
        <v>936000</v>
      </c>
      <c r="R582" s="989">
        <f t="shared" si="64"/>
        <v>100</v>
      </c>
      <c r="S582" s="1011">
        <v>0</v>
      </c>
      <c r="T582" s="989">
        <f t="shared" si="61"/>
        <v>0</v>
      </c>
      <c r="U582" s="989">
        <f t="shared" si="62"/>
        <v>936000</v>
      </c>
      <c r="V582" s="989">
        <f t="shared" si="63"/>
        <v>100</v>
      </c>
      <c r="W582" s="989"/>
      <c r="X582" s="989">
        <f t="shared" si="59"/>
        <v>0</v>
      </c>
      <c r="Y582" s="1012"/>
    </row>
    <row r="583" spans="1:25" ht="63" customHeight="1">
      <c r="A583" s="1006">
        <v>465</v>
      </c>
      <c r="B583" s="1007" t="s">
        <v>2050</v>
      </c>
      <c r="C583" s="1008"/>
      <c r="D583" s="1008" t="s">
        <v>3885</v>
      </c>
      <c r="E583" s="1007" t="s">
        <v>2051</v>
      </c>
      <c r="F583" s="1010" t="s">
        <v>581</v>
      </c>
      <c r="G583" s="989">
        <v>45200</v>
      </c>
      <c r="H583" s="937"/>
      <c r="I583" s="1046"/>
      <c r="J583" s="1046"/>
      <c r="K583" s="1047"/>
      <c r="L583" s="1046"/>
      <c r="M583" s="1094">
        <v>-16769.57</v>
      </c>
      <c r="N583" s="989">
        <f>45200+M583</f>
        <v>28430.43</v>
      </c>
      <c r="O583" s="989">
        <v>0</v>
      </c>
      <c r="P583" s="989">
        <v>28430.43</v>
      </c>
      <c r="Q583" s="989">
        <f t="shared" si="60"/>
        <v>28430.43</v>
      </c>
      <c r="R583" s="989">
        <f t="shared" si="64"/>
        <v>100</v>
      </c>
      <c r="S583" s="1011">
        <v>0</v>
      </c>
      <c r="T583" s="989">
        <f t="shared" si="61"/>
        <v>0</v>
      </c>
      <c r="U583" s="989">
        <f t="shared" si="62"/>
        <v>28430.43</v>
      </c>
      <c r="V583" s="989">
        <f t="shared" si="63"/>
        <v>100</v>
      </c>
      <c r="W583" s="989"/>
      <c r="X583" s="989">
        <f t="shared" si="59"/>
        <v>0</v>
      </c>
      <c r="Y583" s="1012"/>
    </row>
    <row r="584" spans="1:25" ht="63" customHeight="1">
      <c r="A584" s="1006">
        <v>466</v>
      </c>
      <c r="B584" s="1007" t="s">
        <v>2052</v>
      </c>
      <c r="C584" s="1008"/>
      <c r="D584" s="1008" t="s">
        <v>3886</v>
      </c>
      <c r="E584" s="1007" t="s">
        <v>2979</v>
      </c>
      <c r="F584" s="1010" t="s">
        <v>581</v>
      </c>
      <c r="G584" s="989">
        <v>45200</v>
      </c>
      <c r="H584" s="937"/>
      <c r="I584" s="1046"/>
      <c r="J584" s="1046"/>
      <c r="K584" s="1047"/>
      <c r="L584" s="1046"/>
      <c r="M584" s="1094">
        <v>-13221</v>
      </c>
      <c r="N584" s="989">
        <f>45200+M584</f>
        <v>31979</v>
      </c>
      <c r="O584" s="989">
        <v>0</v>
      </c>
      <c r="P584" s="989">
        <v>31979</v>
      </c>
      <c r="Q584" s="989">
        <f t="shared" si="60"/>
        <v>31979</v>
      </c>
      <c r="R584" s="989">
        <f t="shared" si="64"/>
        <v>100</v>
      </c>
      <c r="S584" s="1011">
        <v>0</v>
      </c>
      <c r="T584" s="989">
        <f t="shared" si="61"/>
        <v>0</v>
      </c>
      <c r="U584" s="989">
        <f t="shared" si="62"/>
        <v>31979</v>
      </c>
      <c r="V584" s="989">
        <f t="shared" si="63"/>
        <v>100</v>
      </c>
      <c r="W584" s="989"/>
      <c r="X584" s="989">
        <f t="shared" si="59"/>
        <v>0</v>
      </c>
      <c r="Y584" s="1012"/>
    </row>
    <row r="585" spans="1:25" ht="63" customHeight="1">
      <c r="A585" s="1006">
        <v>467</v>
      </c>
      <c r="B585" s="1007" t="s">
        <v>2053</v>
      </c>
      <c r="C585" s="1008"/>
      <c r="D585" s="1008" t="s">
        <v>3887</v>
      </c>
      <c r="E585" s="1007" t="s">
        <v>2054</v>
      </c>
      <c r="F585" s="1010" t="s">
        <v>548</v>
      </c>
      <c r="G585" s="989">
        <f>208000-52800</f>
        <v>155200</v>
      </c>
      <c r="H585" s="937"/>
      <c r="I585" s="1046"/>
      <c r="J585" s="1046"/>
      <c r="K585" s="1047"/>
      <c r="L585" s="1046"/>
      <c r="M585" s="1094">
        <f>-52800+52800</f>
        <v>0</v>
      </c>
      <c r="N585" s="989">
        <f>155200+M585</f>
        <v>155200</v>
      </c>
      <c r="O585" s="989">
        <v>0</v>
      </c>
      <c r="P585" s="989">
        <v>155200</v>
      </c>
      <c r="Q585" s="989">
        <f t="shared" si="60"/>
        <v>155200</v>
      </c>
      <c r="R585" s="989">
        <f t="shared" si="64"/>
        <v>100</v>
      </c>
      <c r="S585" s="1011">
        <v>0</v>
      </c>
      <c r="T585" s="989">
        <f t="shared" si="61"/>
        <v>0</v>
      </c>
      <c r="U585" s="989">
        <f t="shared" si="62"/>
        <v>155200</v>
      </c>
      <c r="V585" s="989">
        <f t="shared" si="63"/>
        <v>100</v>
      </c>
      <c r="W585" s="989"/>
      <c r="X585" s="989">
        <f t="shared" si="59"/>
        <v>0</v>
      </c>
      <c r="Y585" s="1012"/>
    </row>
    <row r="586" spans="1:25" ht="63" customHeight="1">
      <c r="A586" s="1006">
        <v>468</v>
      </c>
      <c r="B586" s="1007" t="s">
        <v>2055</v>
      </c>
      <c r="C586" s="1008"/>
      <c r="D586" s="1008" t="s">
        <v>3888</v>
      </c>
      <c r="E586" s="1007" t="s">
        <v>2056</v>
      </c>
      <c r="F586" s="1010" t="s">
        <v>581</v>
      </c>
      <c r="G586" s="989">
        <v>45200</v>
      </c>
      <c r="H586" s="937"/>
      <c r="I586" s="1046"/>
      <c r="J586" s="1046"/>
      <c r="K586" s="1047"/>
      <c r="L586" s="1046"/>
      <c r="M586" s="1094"/>
      <c r="N586" s="989">
        <v>45200</v>
      </c>
      <c r="O586" s="989">
        <v>0</v>
      </c>
      <c r="P586" s="989">
        <v>45200</v>
      </c>
      <c r="Q586" s="989">
        <f t="shared" si="60"/>
        <v>45200</v>
      </c>
      <c r="R586" s="989">
        <f t="shared" si="64"/>
        <v>100</v>
      </c>
      <c r="S586" s="1011">
        <v>0</v>
      </c>
      <c r="T586" s="989">
        <f t="shared" si="61"/>
        <v>0</v>
      </c>
      <c r="U586" s="989">
        <f t="shared" si="62"/>
        <v>45200</v>
      </c>
      <c r="V586" s="989">
        <f t="shared" si="63"/>
        <v>100</v>
      </c>
      <c r="W586" s="989"/>
      <c r="X586" s="989">
        <f t="shared" si="59"/>
        <v>0</v>
      </c>
      <c r="Y586" s="1012"/>
    </row>
    <row r="587" spans="1:25" ht="63" customHeight="1">
      <c r="A587" s="1006">
        <v>469</v>
      </c>
      <c r="B587" s="1007" t="s">
        <v>2057</v>
      </c>
      <c r="C587" s="1008"/>
      <c r="D587" s="1008" t="s">
        <v>3889</v>
      </c>
      <c r="E587" s="1007" t="s">
        <v>2058</v>
      </c>
      <c r="F587" s="1010" t="s">
        <v>548</v>
      </c>
      <c r="G587" s="989">
        <f>104000-11047.75</f>
        <v>92952.25</v>
      </c>
      <c r="H587" s="937"/>
      <c r="I587" s="1046"/>
      <c r="J587" s="1046"/>
      <c r="K587" s="1047"/>
      <c r="L587" s="1046"/>
      <c r="M587" s="1094">
        <f>-11047.75+11047.75</f>
        <v>0</v>
      </c>
      <c r="N587" s="989">
        <f>G587+M587</f>
        <v>92952.25</v>
      </c>
      <c r="O587" s="989">
        <v>0</v>
      </c>
      <c r="P587" s="989">
        <v>92952.25</v>
      </c>
      <c r="Q587" s="989">
        <f t="shared" si="60"/>
        <v>92952.25</v>
      </c>
      <c r="R587" s="989">
        <f t="shared" si="64"/>
        <v>100</v>
      </c>
      <c r="S587" s="1011">
        <v>0</v>
      </c>
      <c r="T587" s="989">
        <f t="shared" si="61"/>
        <v>0</v>
      </c>
      <c r="U587" s="989">
        <f t="shared" si="62"/>
        <v>92952.25</v>
      </c>
      <c r="V587" s="989">
        <f t="shared" si="63"/>
        <v>100</v>
      </c>
      <c r="W587" s="989"/>
      <c r="X587" s="989">
        <f t="shared" si="59"/>
        <v>0</v>
      </c>
      <c r="Y587" s="1012"/>
    </row>
    <row r="588" spans="1:25" ht="63" customHeight="1">
      <c r="A588" s="1006">
        <v>470</v>
      </c>
      <c r="B588" s="1007" t="s">
        <v>2059</v>
      </c>
      <c r="C588" s="1008"/>
      <c r="D588" s="1008" t="s">
        <v>3890</v>
      </c>
      <c r="E588" s="1007" t="s">
        <v>2060</v>
      </c>
      <c r="F588" s="1010" t="s">
        <v>581</v>
      </c>
      <c r="G588" s="989">
        <v>45200</v>
      </c>
      <c r="H588" s="937"/>
      <c r="I588" s="1046"/>
      <c r="J588" s="1046"/>
      <c r="K588" s="1047">
        <v>-9000</v>
      </c>
      <c r="L588" s="1046"/>
      <c r="M588" s="1094">
        <v>-18804.32</v>
      </c>
      <c r="N588" s="989">
        <f>45200+M588+K588</f>
        <v>17395.68</v>
      </c>
      <c r="O588" s="989">
        <v>0</v>
      </c>
      <c r="P588" s="989">
        <v>17395.68</v>
      </c>
      <c r="Q588" s="989">
        <f t="shared" si="60"/>
        <v>17395.68</v>
      </c>
      <c r="R588" s="989">
        <f t="shared" si="64"/>
        <v>100</v>
      </c>
      <c r="S588" s="1011">
        <v>0</v>
      </c>
      <c r="T588" s="989">
        <f t="shared" si="61"/>
        <v>0</v>
      </c>
      <c r="U588" s="989">
        <f t="shared" si="62"/>
        <v>17395.68</v>
      </c>
      <c r="V588" s="989">
        <f t="shared" si="63"/>
        <v>100</v>
      </c>
      <c r="W588" s="989"/>
      <c r="X588" s="989">
        <f t="shared" si="59"/>
        <v>0</v>
      </c>
      <c r="Y588" s="1012"/>
    </row>
    <row r="589" spans="1:25" ht="63" customHeight="1">
      <c r="A589" s="1006">
        <v>471</v>
      </c>
      <c r="B589" s="1007" t="s">
        <v>2061</v>
      </c>
      <c r="C589" s="1008"/>
      <c r="D589" s="1008" t="s">
        <v>3891</v>
      </c>
      <c r="E589" s="1007" t="s">
        <v>2062</v>
      </c>
      <c r="F589" s="1010" t="s">
        <v>548</v>
      </c>
      <c r="G589" s="989">
        <f>416000-167944</f>
        <v>248056</v>
      </c>
      <c r="H589" s="937"/>
      <c r="I589" s="1046"/>
      <c r="J589" s="1046"/>
      <c r="K589" s="1047"/>
      <c r="L589" s="1046"/>
      <c r="M589" s="1094">
        <v>-350</v>
      </c>
      <c r="N589" s="989">
        <f>G589+M589</f>
        <v>247706</v>
      </c>
      <c r="O589" s="989">
        <v>0</v>
      </c>
      <c r="P589" s="989">
        <v>247706</v>
      </c>
      <c r="Q589" s="989">
        <f t="shared" si="60"/>
        <v>247706</v>
      </c>
      <c r="R589" s="989">
        <f t="shared" si="64"/>
        <v>100</v>
      </c>
      <c r="S589" s="1011">
        <v>0</v>
      </c>
      <c r="T589" s="989">
        <f t="shared" si="61"/>
        <v>0</v>
      </c>
      <c r="U589" s="989">
        <f t="shared" si="62"/>
        <v>247706</v>
      </c>
      <c r="V589" s="989">
        <f t="shared" si="63"/>
        <v>100</v>
      </c>
      <c r="W589" s="989"/>
      <c r="X589" s="989">
        <f t="shared" si="59"/>
        <v>0</v>
      </c>
      <c r="Y589" s="1012"/>
    </row>
    <row r="590" spans="1:25" ht="63" customHeight="1">
      <c r="A590" s="1006">
        <v>472</v>
      </c>
      <c r="B590" s="1007" t="s">
        <v>2063</v>
      </c>
      <c r="C590" s="1008"/>
      <c r="D590" s="1008" t="s">
        <v>3892</v>
      </c>
      <c r="E590" s="1007" t="s">
        <v>2980</v>
      </c>
      <c r="F590" s="1010" t="s">
        <v>581</v>
      </c>
      <c r="G590" s="989">
        <v>90400</v>
      </c>
      <c r="H590" s="937"/>
      <c r="I590" s="1046"/>
      <c r="J590" s="1046"/>
      <c r="K590" s="1047"/>
      <c r="L590" s="1046"/>
      <c r="M590" s="1094">
        <v>-8664.11</v>
      </c>
      <c r="N590" s="989">
        <f>90400+M590</f>
        <v>81735.89</v>
      </c>
      <c r="O590" s="989">
        <v>0</v>
      </c>
      <c r="P590" s="989">
        <v>68314.23</v>
      </c>
      <c r="Q590" s="989">
        <f t="shared" si="60"/>
        <v>68314.23</v>
      </c>
      <c r="R590" s="989">
        <f t="shared" si="64"/>
        <v>83.579233063957588</v>
      </c>
      <c r="S590" s="1011">
        <v>0</v>
      </c>
      <c r="T590" s="989">
        <f t="shared" si="61"/>
        <v>0</v>
      </c>
      <c r="U590" s="989">
        <f t="shared" si="62"/>
        <v>68314.23</v>
      </c>
      <c r="V590" s="989">
        <f t="shared" si="63"/>
        <v>83.579233063957588</v>
      </c>
      <c r="W590" s="989"/>
      <c r="X590" s="989">
        <f t="shared" si="59"/>
        <v>13421.660000000003</v>
      </c>
      <c r="Y590" s="1012"/>
    </row>
    <row r="591" spans="1:25" ht="63" customHeight="1">
      <c r="A591" s="1006">
        <v>473</v>
      </c>
      <c r="B591" s="1007" t="s">
        <v>2064</v>
      </c>
      <c r="C591" s="1008"/>
      <c r="D591" s="1008" t="s">
        <v>3893</v>
      </c>
      <c r="E591" s="1007" t="s">
        <v>2065</v>
      </c>
      <c r="F591" s="1010" t="s">
        <v>548</v>
      </c>
      <c r="G591" s="989">
        <f>728000-9606</f>
        <v>718394</v>
      </c>
      <c r="H591" s="937"/>
      <c r="I591" s="1046"/>
      <c r="J591" s="1046"/>
      <c r="K591" s="1047"/>
      <c r="L591" s="1046"/>
      <c r="M591" s="1094">
        <f>-9606+9606</f>
        <v>0</v>
      </c>
      <c r="N591" s="989">
        <f>G591+M591</f>
        <v>718394</v>
      </c>
      <c r="O591" s="989">
        <v>0</v>
      </c>
      <c r="P591" s="989">
        <v>718394</v>
      </c>
      <c r="Q591" s="989">
        <f t="shared" si="60"/>
        <v>718394</v>
      </c>
      <c r="R591" s="989">
        <f t="shared" si="64"/>
        <v>100</v>
      </c>
      <c r="S591" s="1011">
        <v>0</v>
      </c>
      <c r="T591" s="989">
        <f t="shared" si="61"/>
        <v>0</v>
      </c>
      <c r="U591" s="989">
        <f t="shared" si="62"/>
        <v>718394</v>
      </c>
      <c r="V591" s="989">
        <f t="shared" si="63"/>
        <v>100</v>
      </c>
      <c r="W591" s="989"/>
      <c r="X591" s="989">
        <f t="shared" si="59"/>
        <v>0</v>
      </c>
      <c r="Y591" s="1012"/>
    </row>
    <row r="592" spans="1:25" ht="63" customHeight="1">
      <c r="A592" s="1006">
        <v>474</v>
      </c>
      <c r="B592" s="1007" t="s">
        <v>4500</v>
      </c>
      <c r="C592" s="1008"/>
      <c r="D592" s="1008" t="s">
        <v>4501</v>
      </c>
      <c r="E592" s="1007" t="s">
        <v>4388</v>
      </c>
      <c r="F592" s="1010" t="s">
        <v>581</v>
      </c>
      <c r="G592" s="989">
        <v>0</v>
      </c>
      <c r="H592" s="937"/>
      <c r="I592" s="1046"/>
      <c r="J592" s="1046"/>
      <c r="K592" s="1047"/>
      <c r="L592" s="1046"/>
      <c r="M592" s="1094"/>
      <c r="N592" s="989">
        <v>0</v>
      </c>
      <c r="O592" s="989">
        <v>0</v>
      </c>
      <c r="P592" s="989"/>
      <c r="Q592" s="989">
        <f t="shared" si="60"/>
        <v>0</v>
      </c>
      <c r="R592" s="989" t="e">
        <f t="shared" si="64"/>
        <v>#DIV/0!</v>
      </c>
      <c r="S592" s="1011"/>
      <c r="T592" s="989">
        <v>0</v>
      </c>
      <c r="U592" s="989">
        <f t="shared" si="62"/>
        <v>0</v>
      </c>
      <c r="V592" s="989">
        <v>0</v>
      </c>
      <c r="W592" s="989"/>
      <c r="X592" s="989">
        <f t="shared" si="59"/>
        <v>0</v>
      </c>
      <c r="Y592" s="1012"/>
    </row>
    <row r="593" spans="1:39" s="969" customFormat="1" ht="63" customHeight="1">
      <c r="A593" s="1006">
        <v>475</v>
      </c>
      <c r="B593" s="1007" t="s">
        <v>2066</v>
      </c>
      <c r="C593" s="1008"/>
      <c r="D593" s="1008" t="s">
        <v>3894</v>
      </c>
      <c r="E593" s="1007" t="s">
        <v>2067</v>
      </c>
      <c r="F593" s="1010" t="s">
        <v>548</v>
      </c>
      <c r="G593" s="989">
        <v>624000</v>
      </c>
      <c r="H593" s="937"/>
      <c r="I593" s="1046"/>
      <c r="J593" s="1046"/>
      <c r="K593" s="1047"/>
      <c r="L593" s="1046"/>
      <c r="M593" s="1094"/>
      <c r="N593" s="989">
        <v>624000</v>
      </c>
      <c r="O593" s="989">
        <v>0</v>
      </c>
      <c r="P593" s="989">
        <v>609200</v>
      </c>
      <c r="Q593" s="989">
        <f t="shared" si="60"/>
        <v>609200</v>
      </c>
      <c r="R593" s="989">
        <f t="shared" si="64"/>
        <v>97.628205128205124</v>
      </c>
      <c r="S593" s="1011">
        <v>0</v>
      </c>
      <c r="T593" s="989">
        <f t="shared" si="61"/>
        <v>0</v>
      </c>
      <c r="U593" s="989">
        <f t="shared" si="62"/>
        <v>609200</v>
      </c>
      <c r="V593" s="989">
        <f t="shared" si="63"/>
        <v>97.628205128205124</v>
      </c>
      <c r="W593" s="989"/>
      <c r="X593" s="989">
        <f t="shared" si="59"/>
        <v>14800</v>
      </c>
      <c r="Y593" s="1012"/>
      <c r="Z593" s="941"/>
      <c r="AA593" s="941"/>
      <c r="AB593" s="941"/>
      <c r="AC593" s="941"/>
      <c r="AD593" s="941"/>
      <c r="AE593" s="941"/>
      <c r="AF593" s="941"/>
      <c r="AG593" s="941"/>
      <c r="AH593" s="941"/>
      <c r="AI593" s="941"/>
      <c r="AJ593" s="941"/>
      <c r="AK593" s="941"/>
      <c r="AL593" s="941"/>
      <c r="AM593" s="941"/>
    </row>
    <row r="594" spans="1:39" s="969" customFormat="1" ht="63" customHeight="1">
      <c r="A594" s="1006">
        <v>476</v>
      </c>
      <c r="B594" s="1007" t="s">
        <v>2068</v>
      </c>
      <c r="C594" s="1008"/>
      <c r="D594" s="1008" t="s">
        <v>3895</v>
      </c>
      <c r="E594" s="1007" t="s">
        <v>2981</v>
      </c>
      <c r="F594" s="1010" t="s">
        <v>581</v>
      </c>
      <c r="G594" s="989">
        <v>90400</v>
      </c>
      <c r="H594" s="937"/>
      <c r="I594" s="1046"/>
      <c r="J594" s="1046"/>
      <c r="K594" s="1047"/>
      <c r="L594" s="1046"/>
      <c r="M594" s="1094">
        <v>-10400</v>
      </c>
      <c r="N594" s="989">
        <f>90400+M594</f>
        <v>80000</v>
      </c>
      <c r="O594" s="989">
        <v>0</v>
      </c>
      <c r="P594" s="989">
        <v>80000</v>
      </c>
      <c r="Q594" s="989">
        <f t="shared" si="60"/>
        <v>80000</v>
      </c>
      <c r="R594" s="989">
        <f t="shared" si="64"/>
        <v>100</v>
      </c>
      <c r="S594" s="1011">
        <v>0</v>
      </c>
      <c r="T594" s="989">
        <f t="shared" si="61"/>
        <v>0</v>
      </c>
      <c r="U594" s="989">
        <f t="shared" si="62"/>
        <v>80000</v>
      </c>
      <c r="V594" s="989">
        <f t="shared" si="63"/>
        <v>100</v>
      </c>
      <c r="W594" s="989"/>
      <c r="X594" s="989">
        <f t="shared" si="59"/>
        <v>0</v>
      </c>
      <c r="Y594" s="1012"/>
      <c r="Z594" s="941"/>
      <c r="AA594" s="941"/>
      <c r="AB594" s="941"/>
      <c r="AC594" s="941"/>
      <c r="AD594" s="941"/>
      <c r="AE594" s="941"/>
      <c r="AF594" s="941"/>
      <c r="AG594" s="941"/>
      <c r="AH594" s="941"/>
      <c r="AI594" s="941"/>
      <c r="AJ594" s="941"/>
      <c r="AK594" s="941"/>
      <c r="AL594" s="941"/>
      <c r="AM594" s="941"/>
    </row>
    <row r="595" spans="1:39" s="969" customFormat="1" ht="63" customHeight="1">
      <c r="A595" s="1006">
        <v>477</v>
      </c>
      <c r="B595" s="1007" t="s">
        <v>2069</v>
      </c>
      <c r="C595" s="1008"/>
      <c r="D595" s="1008" t="s">
        <v>3896</v>
      </c>
      <c r="E595" s="1007" t="s">
        <v>2070</v>
      </c>
      <c r="F595" s="1010" t="s">
        <v>581</v>
      </c>
      <c r="G595" s="989">
        <v>135600</v>
      </c>
      <c r="H595" s="937"/>
      <c r="I595" s="1046"/>
      <c r="J595" s="1046"/>
      <c r="K595" s="1047"/>
      <c r="L595" s="1046"/>
      <c r="M595" s="1094">
        <v>-49788.61</v>
      </c>
      <c r="N595" s="989">
        <f>135600+M595</f>
        <v>85811.39</v>
      </c>
      <c r="O595" s="989">
        <v>0</v>
      </c>
      <c r="P595" s="989">
        <v>85811.39</v>
      </c>
      <c r="Q595" s="989">
        <f t="shared" si="60"/>
        <v>85811.39</v>
      </c>
      <c r="R595" s="989">
        <f t="shared" si="64"/>
        <v>100</v>
      </c>
      <c r="S595" s="1011">
        <v>0</v>
      </c>
      <c r="T595" s="989">
        <f t="shared" si="61"/>
        <v>0</v>
      </c>
      <c r="U595" s="989">
        <f t="shared" si="62"/>
        <v>85811.39</v>
      </c>
      <c r="V595" s="989">
        <f t="shared" si="63"/>
        <v>100</v>
      </c>
      <c r="W595" s="989"/>
      <c r="X595" s="989">
        <f t="shared" si="59"/>
        <v>0</v>
      </c>
      <c r="Y595" s="1012"/>
      <c r="Z595" s="941"/>
      <c r="AA595" s="941"/>
      <c r="AB595" s="941"/>
      <c r="AC595" s="941"/>
      <c r="AD595" s="941"/>
      <c r="AE595" s="941"/>
      <c r="AF595" s="941"/>
      <c r="AG595" s="941"/>
      <c r="AH595" s="941"/>
      <c r="AI595" s="941"/>
      <c r="AJ595" s="941"/>
      <c r="AK595" s="941"/>
      <c r="AL595" s="941"/>
      <c r="AM595" s="941"/>
    </row>
    <row r="596" spans="1:39" s="969" customFormat="1" ht="63" customHeight="1">
      <c r="A596" s="1006">
        <v>478</v>
      </c>
      <c r="B596" s="1007" t="s">
        <v>2071</v>
      </c>
      <c r="C596" s="1008"/>
      <c r="D596" s="1008" t="s">
        <v>3897</v>
      </c>
      <c r="E596" s="1007" t="s">
        <v>2072</v>
      </c>
      <c r="F596" s="1010" t="s">
        <v>548</v>
      </c>
      <c r="G596" s="989">
        <v>312000</v>
      </c>
      <c r="H596" s="937"/>
      <c r="I596" s="1046"/>
      <c r="J596" s="1046"/>
      <c r="K596" s="1047"/>
      <c r="L596" s="1046"/>
      <c r="M596" s="1094"/>
      <c r="N596" s="989">
        <v>312000</v>
      </c>
      <c r="O596" s="989">
        <v>0</v>
      </c>
      <c r="P596" s="989">
        <v>312000</v>
      </c>
      <c r="Q596" s="989">
        <f t="shared" si="60"/>
        <v>312000</v>
      </c>
      <c r="R596" s="989">
        <f t="shared" si="64"/>
        <v>100</v>
      </c>
      <c r="S596" s="1011">
        <v>0</v>
      </c>
      <c r="T596" s="989">
        <f t="shared" si="61"/>
        <v>0</v>
      </c>
      <c r="U596" s="989">
        <f t="shared" si="62"/>
        <v>312000</v>
      </c>
      <c r="V596" s="989">
        <f t="shared" si="63"/>
        <v>100</v>
      </c>
      <c r="W596" s="989"/>
      <c r="X596" s="989">
        <f t="shared" si="59"/>
        <v>0</v>
      </c>
      <c r="Y596" s="1012"/>
      <c r="Z596" s="941"/>
      <c r="AA596" s="941"/>
      <c r="AB596" s="941"/>
      <c r="AC596" s="941"/>
      <c r="AD596" s="941"/>
      <c r="AE596" s="941"/>
      <c r="AF596" s="941"/>
      <c r="AG596" s="941"/>
      <c r="AH596" s="941"/>
      <c r="AI596" s="941"/>
      <c r="AJ596" s="941"/>
      <c r="AK596" s="941"/>
      <c r="AL596" s="941"/>
      <c r="AM596" s="941"/>
    </row>
    <row r="597" spans="1:39" s="969" customFormat="1" ht="63" customHeight="1">
      <c r="A597" s="1006">
        <v>479</v>
      </c>
      <c r="B597" s="1007" t="s">
        <v>2073</v>
      </c>
      <c r="C597" s="1008"/>
      <c r="D597" s="1008" t="s">
        <v>3898</v>
      </c>
      <c r="E597" s="1007" t="s">
        <v>2074</v>
      </c>
      <c r="F597" s="1010" t="s">
        <v>548</v>
      </c>
      <c r="G597" s="989">
        <f>624000-49306.9</f>
        <v>574693.1</v>
      </c>
      <c r="H597" s="937"/>
      <c r="I597" s="1046"/>
      <c r="J597" s="1046"/>
      <c r="K597" s="1047"/>
      <c r="L597" s="1046"/>
      <c r="M597" s="1094">
        <f>-49306.9+49306.9</f>
        <v>0</v>
      </c>
      <c r="N597" s="989">
        <f t="shared" ref="N597:N604" si="65">G597+M597</f>
        <v>574693.1</v>
      </c>
      <c r="O597" s="989">
        <v>0</v>
      </c>
      <c r="P597" s="989">
        <v>574693.1</v>
      </c>
      <c r="Q597" s="989">
        <f t="shared" si="60"/>
        <v>574693.1</v>
      </c>
      <c r="R597" s="989">
        <f t="shared" si="64"/>
        <v>100</v>
      </c>
      <c r="S597" s="1011">
        <v>0</v>
      </c>
      <c r="T597" s="989">
        <f t="shared" si="61"/>
        <v>0</v>
      </c>
      <c r="U597" s="989">
        <f t="shared" si="62"/>
        <v>574693.1</v>
      </c>
      <c r="V597" s="989">
        <f t="shared" si="63"/>
        <v>100</v>
      </c>
      <c r="W597" s="989"/>
      <c r="X597" s="989">
        <f t="shared" si="59"/>
        <v>0</v>
      </c>
      <c r="Y597" s="1012"/>
      <c r="Z597" s="941"/>
      <c r="AA597" s="941"/>
      <c r="AB597" s="941"/>
      <c r="AC597" s="941"/>
      <c r="AD597" s="941"/>
      <c r="AE597" s="941"/>
      <c r="AF597" s="941"/>
      <c r="AG597" s="941"/>
      <c r="AH597" s="941"/>
      <c r="AI597" s="941"/>
      <c r="AJ597" s="941"/>
      <c r="AK597" s="941"/>
      <c r="AL597" s="941"/>
      <c r="AM597" s="941"/>
    </row>
    <row r="598" spans="1:39" s="969" customFormat="1" ht="63" customHeight="1">
      <c r="A598" s="1006">
        <v>480</v>
      </c>
      <c r="B598" s="1007" t="s">
        <v>2075</v>
      </c>
      <c r="C598" s="1008"/>
      <c r="D598" s="1008" t="s">
        <v>3899</v>
      </c>
      <c r="E598" s="1007" t="s">
        <v>2076</v>
      </c>
      <c r="F598" s="1010" t="s">
        <v>548</v>
      </c>
      <c r="G598" s="989">
        <f>1040000-34700</f>
        <v>1005300</v>
      </c>
      <c r="H598" s="937"/>
      <c r="I598" s="1046"/>
      <c r="J598" s="1046"/>
      <c r="K598" s="1047"/>
      <c r="L598" s="1046"/>
      <c r="M598" s="1094">
        <f>-27300-7400+34700</f>
        <v>0</v>
      </c>
      <c r="N598" s="989">
        <f t="shared" si="65"/>
        <v>1005300</v>
      </c>
      <c r="O598" s="989">
        <v>0</v>
      </c>
      <c r="P598" s="989">
        <v>1005300</v>
      </c>
      <c r="Q598" s="989">
        <f t="shared" si="60"/>
        <v>1005300</v>
      </c>
      <c r="R598" s="989">
        <f t="shared" si="64"/>
        <v>100</v>
      </c>
      <c r="S598" s="1011">
        <v>0</v>
      </c>
      <c r="T598" s="989">
        <f t="shared" si="61"/>
        <v>0</v>
      </c>
      <c r="U598" s="989">
        <f t="shared" si="62"/>
        <v>1005300</v>
      </c>
      <c r="V598" s="989">
        <f t="shared" si="63"/>
        <v>100</v>
      </c>
      <c r="W598" s="989"/>
      <c r="X598" s="989">
        <f t="shared" si="59"/>
        <v>0</v>
      </c>
      <c r="Y598" s="1012"/>
      <c r="Z598" s="941"/>
      <c r="AA598" s="941"/>
      <c r="AB598" s="941"/>
      <c r="AC598" s="941"/>
      <c r="AD598" s="941"/>
      <c r="AE598" s="941"/>
      <c r="AF598" s="941"/>
      <c r="AG598" s="941"/>
      <c r="AH598" s="941"/>
      <c r="AI598" s="941"/>
      <c r="AJ598" s="941"/>
      <c r="AK598" s="941"/>
      <c r="AL598" s="941"/>
      <c r="AM598" s="941"/>
    </row>
    <row r="599" spans="1:39" s="969" customFormat="1" ht="63" customHeight="1">
      <c r="A599" s="1006">
        <v>481</v>
      </c>
      <c r="B599" s="1007" t="s">
        <v>2077</v>
      </c>
      <c r="C599" s="1008"/>
      <c r="D599" s="1008" t="s">
        <v>3900</v>
      </c>
      <c r="E599" s="1007" t="s">
        <v>2078</v>
      </c>
      <c r="F599" s="1010" t="s">
        <v>576</v>
      </c>
      <c r="G599" s="989">
        <f>104000-24400</f>
        <v>79600</v>
      </c>
      <c r="H599" s="937"/>
      <c r="I599" s="1046"/>
      <c r="J599" s="1046"/>
      <c r="K599" s="1047"/>
      <c r="L599" s="1046"/>
      <c r="M599" s="1094">
        <f>-4700-19700+24400</f>
        <v>0</v>
      </c>
      <c r="N599" s="989">
        <f t="shared" si="65"/>
        <v>79600</v>
      </c>
      <c r="O599" s="989">
        <v>0</v>
      </c>
      <c r="P599" s="989">
        <v>79600</v>
      </c>
      <c r="Q599" s="989">
        <f t="shared" si="60"/>
        <v>79600</v>
      </c>
      <c r="R599" s="989">
        <f t="shared" si="64"/>
        <v>100</v>
      </c>
      <c r="S599" s="1011">
        <v>0</v>
      </c>
      <c r="T599" s="989">
        <f t="shared" si="61"/>
        <v>0</v>
      </c>
      <c r="U599" s="989">
        <f t="shared" si="62"/>
        <v>79600</v>
      </c>
      <c r="V599" s="989">
        <f t="shared" si="63"/>
        <v>100</v>
      </c>
      <c r="W599" s="989"/>
      <c r="X599" s="989">
        <f t="shared" si="59"/>
        <v>0</v>
      </c>
      <c r="Y599" s="1012"/>
      <c r="Z599" s="941"/>
      <c r="AA599" s="941"/>
      <c r="AB599" s="941"/>
      <c r="AC599" s="941"/>
      <c r="AD599" s="941"/>
      <c r="AE599" s="941"/>
      <c r="AF599" s="941"/>
      <c r="AG599" s="941"/>
      <c r="AH599" s="941"/>
      <c r="AI599" s="941"/>
      <c r="AJ599" s="941"/>
      <c r="AK599" s="941"/>
      <c r="AL599" s="941"/>
      <c r="AM599" s="941"/>
    </row>
    <row r="600" spans="1:39" s="969" customFormat="1" ht="63" customHeight="1">
      <c r="A600" s="1006">
        <v>482</v>
      </c>
      <c r="B600" s="1007" t="s">
        <v>2079</v>
      </c>
      <c r="C600" s="1008"/>
      <c r="D600" s="1008" t="s">
        <v>3901</v>
      </c>
      <c r="E600" s="1007" t="s">
        <v>2080</v>
      </c>
      <c r="F600" s="1010" t="s">
        <v>582</v>
      </c>
      <c r="G600" s="989">
        <f>45200-5575.86</f>
        <v>39624.14</v>
      </c>
      <c r="H600" s="937"/>
      <c r="I600" s="1046"/>
      <c r="J600" s="1046"/>
      <c r="K600" s="1047"/>
      <c r="L600" s="1046"/>
      <c r="M600" s="1094">
        <f>-5575.86+5575.86</f>
        <v>0</v>
      </c>
      <c r="N600" s="989">
        <f t="shared" si="65"/>
        <v>39624.14</v>
      </c>
      <c r="O600" s="989">
        <v>0</v>
      </c>
      <c r="P600" s="989">
        <v>39624.14</v>
      </c>
      <c r="Q600" s="989">
        <f t="shared" si="60"/>
        <v>39624.14</v>
      </c>
      <c r="R600" s="989">
        <f t="shared" si="64"/>
        <v>100</v>
      </c>
      <c r="S600" s="1011">
        <v>0</v>
      </c>
      <c r="T600" s="989">
        <f t="shared" si="61"/>
        <v>0</v>
      </c>
      <c r="U600" s="989">
        <f t="shared" si="62"/>
        <v>39624.14</v>
      </c>
      <c r="V600" s="989">
        <f t="shared" si="63"/>
        <v>100</v>
      </c>
      <c r="W600" s="989"/>
      <c r="X600" s="989">
        <f t="shared" si="59"/>
        <v>0</v>
      </c>
      <c r="Y600" s="1012"/>
      <c r="Z600" s="941"/>
      <c r="AA600" s="941"/>
      <c r="AB600" s="941"/>
      <c r="AC600" s="941"/>
      <c r="AD600" s="941"/>
      <c r="AE600" s="941"/>
      <c r="AF600" s="941"/>
      <c r="AG600" s="941"/>
      <c r="AH600" s="941"/>
      <c r="AI600" s="941"/>
      <c r="AJ600" s="941"/>
      <c r="AK600" s="941"/>
      <c r="AL600" s="941"/>
      <c r="AM600" s="941"/>
    </row>
    <row r="601" spans="1:39" s="969" customFormat="1" ht="63" customHeight="1">
      <c r="A601" s="1006">
        <v>483</v>
      </c>
      <c r="B601" s="1007" t="s">
        <v>2081</v>
      </c>
      <c r="C601" s="1008"/>
      <c r="D601" s="1008" t="s">
        <v>3902</v>
      </c>
      <c r="E601" s="1007" t="s">
        <v>4425</v>
      </c>
      <c r="F601" s="1010" t="s">
        <v>582</v>
      </c>
      <c r="G601" s="989">
        <f>45200-23036.24</f>
        <v>22163.759999999998</v>
      </c>
      <c r="H601" s="937"/>
      <c r="I601" s="1046"/>
      <c r="J601" s="1046"/>
      <c r="K601" s="1047"/>
      <c r="L601" s="1046"/>
      <c r="M601" s="1094">
        <f>-21718.5-1317.74+23036.24</f>
        <v>0</v>
      </c>
      <c r="N601" s="989">
        <f t="shared" si="65"/>
        <v>22163.759999999998</v>
      </c>
      <c r="O601" s="989">
        <v>0</v>
      </c>
      <c r="P601" s="989">
        <v>22163.759999999998</v>
      </c>
      <c r="Q601" s="989">
        <f t="shared" si="60"/>
        <v>22163.759999999998</v>
      </c>
      <c r="R601" s="989">
        <f t="shared" si="64"/>
        <v>100</v>
      </c>
      <c r="S601" s="1011">
        <v>0</v>
      </c>
      <c r="T601" s="989">
        <f t="shared" si="61"/>
        <v>0</v>
      </c>
      <c r="U601" s="989">
        <f t="shared" si="62"/>
        <v>22163.759999999998</v>
      </c>
      <c r="V601" s="989">
        <f t="shared" si="63"/>
        <v>100</v>
      </c>
      <c r="W601" s="989"/>
      <c r="X601" s="989">
        <f t="shared" si="59"/>
        <v>0</v>
      </c>
      <c r="Y601" s="1012"/>
      <c r="Z601" s="941"/>
      <c r="AA601" s="941"/>
      <c r="AB601" s="941"/>
      <c r="AC601" s="941"/>
      <c r="AD601" s="941"/>
      <c r="AE601" s="941"/>
      <c r="AF601" s="941"/>
      <c r="AG601" s="941"/>
      <c r="AH601" s="941"/>
      <c r="AI601" s="941"/>
      <c r="AJ601" s="941"/>
      <c r="AK601" s="941"/>
      <c r="AL601" s="941"/>
      <c r="AM601" s="941"/>
    </row>
    <row r="602" spans="1:39" s="969" customFormat="1" ht="63" customHeight="1">
      <c r="A602" s="1006">
        <v>484</v>
      </c>
      <c r="B602" s="1007" t="s">
        <v>2082</v>
      </c>
      <c r="C602" s="1008"/>
      <c r="D602" s="1008" t="s">
        <v>3903</v>
      </c>
      <c r="E602" s="1007" t="s">
        <v>2083</v>
      </c>
      <c r="F602" s="1010" t="s">
        <v>576</v>
      </c>
      <c r="G602" s="989">
        <f>312000-58700</f>
        <v>253300</v>
      </c>
      <c r="H602" s="937"/>
      <c r="I602" s="1046"/>
      <c r="J602" s="1046"/>
      <c r="K602" s="1047"/>
      <c r="L602" s="1046"/>
      <c r="M602" s="1094">
        <f>-49700-9000+58700</f>
        <v>0</v>
      </c>
      <c r="N602" s="989">
        <f t="shared" si="65"/>
        <v>253300</v>
      </c>
      <c r="O602" s="989">
        <v>0</v>
      </c>
      <c r="P602" s="989">
        <v>253300</v>
      </c>
      <c r="Q602" s="989">
        <f t="shared" si="60"/>
        <v>253300</v>
      </c>
      <c r="R602" s="989">
        <f t="shared" si="64"/>
        <v>100</v>
      </c>
      <c r="S602" s="1011">
        <v>0</v>
      </c>
      <c r="T602" s="989">
        <f t="shared" si="61"/>
        <v>0</v>
      </c>
      <c r="U602" s="989">
        <f t="shared" si="62"/>
        <v>253300</v>
      </c>
      <c r="V602" s="989">
        <f t="shared" si="63"/>
        <v>100</v>
      </c>
      <c r="W602" s="989"/>
      <c r="X602" s="989">
        <f t="shared" si="59"/>
        <v>0</v>
      </c>
      <c r="Y602" s="1012"/>
      <c r="Z602" s="941"/>
      <c r="AA602" s="941"/>
      <c r="AB602" s="941"/>
      <c r="AC602" s="941"/>
      <c r="AD602" s="941"/>
      <c r="AE602" s="941"/>
      <c r="AF602" s="941"/>
      <c r="AG602" s="941"/>
      <c r="AH602" s="941"/>
      <c r="AI602" s="941"/>
      <c r="AJ602" s="941"/>
      <c r="AK602" s="941"/>
      <c r="AL602" s="941"/>
      <c r="AM602" s="941"/>
    </row>
    <row r="603" spans="1:39" s="969" customFormat="1" ht="63" customHeight="1">
      <c r="A603" s="1006">
        <v>485</v>
      </c>
      <c r="B603" s="1007" t="s">
        <v>2084</v>
      </c>
      <c r="C603" s="1008"/>
      <c r="D603" s="1008" t="s">
        <v>3904</v>
      </c>
      <c r="E603" s="1007" t="s">
        <v>2085</v>
      </c>
      <c r="F603" s="1010" t="s">
        <v>582</v>
      </c>
      <c r="G603" s="989">
        <f>90400-18088.4</f>
        <v>72311.600000000006</v>
      </c>
      <c r="H603" s="937"/>
      <c r="I603" s="1046"/>
      <c r="J603" s="1046"/>
      <c r="K603" s="1047"/>
      <c r="L603" s="1046"/>
      <c r="M603" s="1094">
        <v>-23957.59</v>
      </c>
      <c r="N603" s="989">
        <f t="shared" si="65"/>
        <v>48354.010000000009</v>
      </c>
      <c r="O603" s="989">
        <v>0</v>
      </c>
      <c r="P603" s="989">
        <v>48354.01</v>
      </c>
      <c r="Q603" s="989">
        <f t="shared" si="60"/>
        <v>48354.01</v>
      </c>
      <c r="R603" s="989">
        <f t="shared" si="64"/>
        <v>99.999999999999986</v>
      </c>
      <c r="S603" s="1011">
        <v>0</v>
      </c>
      <c r="T603" s="989">
        <f t="shared" si="61"/>
        <v>0</v>
      </c>
      <c r="U603" s="989">
        <f t="shared" si="62"/>
        <v>48354.01</v>
      </c>
      <c r="V603" s="989">
        <f t="shared" si="63"/>
        <v>99.999999999999986</v>
      </c>
      <c r="W603" s="989"/>
      <c r="X603" s="989">
        <f t="shared" si="59"/>
        <v>0</v>
      </c>
      <c r="Y603" s="1012"/>
      <c r="Z603" s="941"/>
      <c r="AA603" s="941"/>
      <c r="AB603" s="941"/>
      <c r="AC603" s="941"/>
      <c r="AD603" s="941"/>
      <c r="AE603" s="941"/>
      <c r="AF603" s="941"/>
      <c r="AG603" s="941"/>
      <c r="AH603" s="941"/>
      <c r="AI603" s="941"/>
      <c r="AJ603" s="941"/>
      <c r="AK603" s="941"/>
      <c r="AL603" s="941"/>
      <c r="AM603" s="941"/>
    </row>
    <row r="604" spans="1:39" s="969" customFormat="1" ht="63" customHeight="1">
      <c r="A604" s="1006">
        <v>486</v>
      </c>
      <c r="B604" s="1007" t="s">
        <v>2086</v>
      </c>
      <c r="C604" s="1008"/>
      <c r="D604" s="1008" t="s">
        <v>3905</v>
      </c>
      <c r="E604" s="1007" t="s">
        <v>3364</v>
      </c>
      <c r="F604" s="1010" t="s">
        <v>576</v>
      </c>
      <c r="G604" s="989">
        <f>208000-50248</f>
        <v>157752</v>
      </c>
      <c r="H604" s="937"/>
      <c r="I604" s="1046"/>
      <c r="J604" s="1046"/>
      <c r="K604" s="1047"/>
      <c r="L604" s="1046"/>
      <c r="M604" s="1094">
        <f>-44000-6248+50248</f>
        <v>0</v>
      </c>
      <c r="N604" s="989">
        <f t="shared" si="65"/>
        <v>157752</v>
      </c>
      <c r="O604" s="989">
        <v>0</v>
      </c>
      <c r="P604" s="989">
        <v>157752</v>
      </c>
      <c r="Q604" s="989">
        <f t="shared" si="60"/>
        <v>157752</v>
      </c>
      <c r="R604" s="989">
        <f t="shared" si="64"/>
        <v>100</v>
      </c>
      <c r="S604" s="1011">
        <v>0</v>
      </c>
      <c r="T604" s="989">
        <f t="shared" si="61"/>
        <v>0</v>
      </c>
      <c r="U604" s="989">
        <f t="shared" si="62"/>
        <v>157752</v>
      </c>
      <c r="V604" s="989">
        <f t="shared" si="63"/>
        <v>100</v>
      </c>
      <c r="W604" s="989"/>
      <c r="X604" s="989">
        <f t="shared" si="59"/>
        <v>0</v>
      </c>
      <c r="Y604" s="1012"/>
      <c r="Z604" s="941"/>
      <c r="AA604" s="941"/>
      <c r="AB604" s="941"/>
      <c r="AC604" s="941"/>
      <c r="AD604" s="941"/>
      <c r="AE604" s="941"/>
      <c r="AF604" s="941"/>
      <c r="AG604" s="941"/>
      <c r="AH604" s="941"/>
      <c r="AI604" s="941"/>
      <c r="AJ604" s="941"/>
      <c r="AK604" s="941"/>
      <c r="AL604" s="941"/>
      <c r="AM604" s="941"/>
    </row>
    <row r="605" spans="1:39" s="969" customFormat="1" ht="63" customHeight="1">
      <c r="A605" s="1006">
        <v>487</v>
      </c>
      <c r="B605" s="1007" t="s">
        <v>2087</v>
      </c>
      <c r="C605" s="1008"/>
      <c r="D605" s="1008" t="s">
        <v>3906</v>
      </c>
      <c r="E605" s="1007" t="s">
        <v>2088</v>
      </c>
      <c r="F605" s="1010" t="s">
        <v>582</v>
      </c>
      <c r="G605" s="989">
        <v>90400</v>
      </c>
      <c r="H605" s="937"/>
      <c r="I605" s="1046"/>
      <c r="J605" s="1046"/>
      <c r="K605" s="1047"/>
      <c r="L605" s="1046"/>
      <c r="M605" s="1094"/>
      <c r="N605" s="989">
        <v>90400</v>
      </c>
      <c r="O605" s="989">
        <v>0</v>
      </c>
      <c r="P605" s="989">
        <v>90400</v>
      </c>
      <c r="Q605" s="989">
        <f t="shared" si="60"/>
        <v>90400</v>
      </c>
      <c r="R605" s="989">
        <f t="shared" si="64"/>
        <v>100</v>
      </c>
      <c r="S605" s="1011">
        <v>0</v>
      </c>
      <c r="T605" s="989">
        <f t="shared" si="61"/>
        <v>0</v>
      </c>
      <c r="U605" s="989">
        <f t="shared" si="62"/>
        <v>90400</v>
      </c>
      <c r="V605" s="989">
        <f t="shared" si="63"/>
        <v>100</v>
      </c>
      <c r="W605" s="989"/>
      <c r="X605" s="989">
        <f t="shared" si="59"/>
        <v>0</v>
      </c>
      <c r="Y605" s="1012"/>
      <c r="Z605" s="941"/>
      <c r="AA605" s="941"/>
      <c r="AB605" s="941"/>
      <c r="AC605" s="941"/>
      <c r="AD605" s="941"/>
      <c r="AE605" s="941"/>
      <c r="AF605" s="941"/>
      <c r="AG605" s="941"/>
      <c r="AH605" s="941"/>
      <c r="AI605" s="941"/>
      <c r="AJ605" s="941"/>
      <c r="AK605" s="941"/>
      <c r="AL605" s="941"/>
      <c r="AM605" s="941"/>
    </row>
    <row r="606" spans="1:39" s="969" customFormat="1" ht="63" customHeight="1">
      <c r="A606" s="1006">
        <v>488</v>
      </c>
      <c r="B606" s="1007" t="s">
        <v>2089</v>
      </c>
      <c r="C606" s="1008"/>
      <c r="D606" s="1008" t="s">
        <v>3907</v>
      </c>
      <c r="E606" s="1007" t="s">
        <v>2090</v>
      </c>
      <c r="F606" s="1010" t="s">
        <v>582</v>
      </c>
      <c r="G606" s="989">
        <f>271200-52627.97</f>
        <v>218572.03</v>
      </c>
      <c r="H606" s="937"/>
      <c r="I606" s="1046"/>
      <c r="J606" s="1046"/>
      <c r="K606" s="1047"/>
      <c r="L606" s="1046"/>
      <c r="M606" s="1094">
        <f>-52627.97+52627.97</f>
        <v>0</v>
      </c>
      <c r="N606" s="989">
        <f>G606+M606</f>
        <v>218572.03</v>
      </c>
      <c r="O606" s="989">
        <v>0</v>
      </c>
      <c r="P606" s="989">
        <v>218572.03</v>
      </c>
      <c r="Q606" s="989">
        <f t="shared" si="60"/>
        <v>218572.03</v>
      </c>
      <c r="R606" s="989">
        <f t="shared" si="64"/>
        <v>100</v>
      </c>
      <c r="S606" s="1011">
        <v>0</v>
      </c>
      <c r="T606" s="989">
        <f t="shared" si="61"/>
        <v>0</v>
      </c>
      <c r="U606" s="989">
        <f t="shared" si="62"/>
        <v>218572.03</v>
      </c>
      <c r="V606" s="989">
        <f t="shared" si="63"/>
        <v>100</v>
      </c>
      <c r="W606" s="989"/>
      <c r="X606" s="989">
        <f t="shared" si="59"/>
        <v>0</v>
      </c>
      <c r="Y606" s="1012"/>
      <c r="Z606" s="941"/>
      <c r="AA606" s="941"/>
      <c r="AB606" s="941"/>
      <c r="AC606" s="941"/>
      <c r="AD606" s="941"/>
      <c r="AE606" s="941"/>
      <c r="AF606" s="941"/>
      <c r="AG606" s="941"/>
      <c r="AH606" s="941"/>
      <c r="AI606" s="941"/>
      <c r="AJ606" s="941"/>
      <c r="AK606" s="941"/>
      <c r="AL606" s="941"/>
      <c r="AM606" s="941"/>
    </row>
    <row r="607" spans="1:39" s="969" customFormat="1" ht="63" customHeight="1">
      <c r="A607" s="1006">
        <v>489</v>
      </c>
      <c r="B607" s="1007" t="s">
        <v>2091</v>
      </c>
      <c r="C607" s="1008"/>
      <c r="D607" s="1008" t="s">
        <v>3908</v>
      </c>
      <c r="E607" s="1007" t="s">
        <v>2092</v>
      </c>
      <c r="F607" s="1010" t="s">
        <v>576</v>
      </c>
      <c r="G607" s="989">
        <v>624000</v>
      </c>
      <c r="H607" s="937"/>
      <c r="I607" s="1046"/>
      <c r="J607" s="1046"/>
      <c r="K607" s="1047"/>
      <c r="L607" s="1046"/>
      <c r="M607" s="1094"/>
      <c r="N607" s="989">
        <v>624000</v>
      </c>
      <c r="O607" s="989">
        <v>0</v>
      </c>
      <c r="P607" s="989">
        <v>624000</v>
      </c>
      <c r="Q607" s="989">
        <f t="shared" si="60"/>
        <v>624000</v>
      </c>
      <c r="R607" s="989">
        <f t="shared" si="64"/>
        <v>100</v>
      </c>
      <c r="S607" s="1011">
        <v>0</v>
      </c>
      <c r="T607" s="989">
        <f t="shared" si="61"/>
        <v>0</v>
      </c>
      <c r="U607" s="989">
        <f t="shared" si="62"/>
        <v>624000</v>
      </c>
      <c r="V607" s="989">
        <f t="shared" si="63"/>
        <v>100</v>
      </c>
      <c r="W607" s="989"/>
      <c r="X607" s="989">
        <f t="shared" si="59"/>
        <v>0</v>
      </c>
      <c r="Y607" s="1012"/>
      <c r="Z607" s="941"/>
      <c r="AA607" s="941"/>
      <c r="AB607" s="941"/>
      <c r="AC607" s="941"/>
      <c r="AD607" s="941"/>
      <c r="AE607" s="941"/>
      <c r="AF607" s="941"/>
      <c r="AG607" s="941"/>
      <c r="AH607" s="941"/>
      <c r="AI607" s="941"/>
      <c r="AJ607" s="941"/>
      <c r="AK607" s="941"/>
      <c r="AL607" s="941"/>
      <c r="AM607" s="941"/>
    </row>
    <row r="608" spans="1:39" s="969" customFormat="1" ht="63" customHeight="1">
      <c r="A608" s="1006">
        <v>490</v>
      </c>
      <c r="B608" s="1007" t="s">
        <v>2093</v>
      </c>
      <c r="C608" s="1008"/>
      <c r="D608" s="1008" t="s">
        <v>3909</v>
      </c>
      <c r="E608" s="1007" t="s">
        <v>2094</v>
      </c>
      <c r="F608" s="1010" t="s">
        <v>576</v>
      </c>
      <c r="G608" s="989">
        <f>416000-49100</f>
        <v>366900</v>
      </c>
      <c r="H608" s="937"/>
      <c r="I608" s="1046"/>
      <c r="J608" s="1046"/>
      <c r="K608" s="1047"/>
      <c r="L608" s="1046"/>
      <c r="M608" s="1094">
        <v>-3600</v>
      </c>
      <c r="N608" s="989">
        <f>G608+M608</f>
        <v>363300</v>
      </c>
      <c r="O608" s="989">
        <v>0</v>
      </c>
      <c r="P608" s="989">
        <v>363300</v>
      </c>
      <c r="Q608" s="989">
        <f t="shared" si="60"/>
        <v>363300</v>
      </c>
      <c r="R608" s="989">
        <f t="shared" si="64"/>
        <v>100</v>
      </c>
      <c r="S608" s="1011">
        <v>0</v>
      </c>
      <c r="T608" s="989">
        <f t="shared" si="61"/>
        <v>0</v>
      </c>
      <c r="U608" s="989">
        <f t="shared" si="62"/>
        <v>363300</v>
      </c>
      <c r="V608" s="989">
        <f t="shared" si="63"/>
        <v>100</v>
      </c>
      <c r="W608" s="989"/>
      <c r="X608" s="989">
        <f t="shared" si="59"/>
        <v>0</v>
      </c>
      <c r="Y608" s="1012"/>
      <c r="Z608" s="941"/>
      <c r="AA608" s="941"/>
      <c r="AB608" s="941"/>
      <c r="AC608" s="941"/>
      <c r="AD608" s="941"/>
      <c r="AE608" s="941"/>
      <c r="AF608" s="941"/>
      <c r="AG608" s="941"/>
      <c r="AH608" s="941"/>
      <c r="AI608" s="941"/>
      <c r="AJ608" s="941"/>
      <c r="AK608" s="941"/>
      <c r="AL608" s="941"/>
      <c r="AM608" s="941"/>
    </row>
    <row r="609" spans="1:25" ht="63" customHeight="1">
      <c r="A609" s="1006">
        <v>491</v>
      </c>
      <c r="B609" s="1007" t="s">
        <v>2095</v>
      </c>
      <c r="C609" s="1008"/>
      <c r="D609" s="1008" t="s">
        <v>3910</v>
      </c>
      <c r="E609" s="1007" t="s">
        <v>3365</v>
      </c>
      <c r="F609" s="1010" t="s">
        <v>576</v>
      </c>
      <c r="G609" s="989">
        <f>416000-7020</f>
        <v>408980</v>
      </c>
      <c r="H609" s="937"/>
      <c r="I609" s="1046"/>
      <c r="J609" s="1046"/>
      <c r="K609" s="1047"/>
      <c r="L609" s="1046"/>
      <c r="M609" s="1094">
        <f>-7020+7020</f>
        <v>0</v>
      </c>
      <c r="N609" s="989">
        <f>G609+M609</f>
        <v>408980</v>
      </c>
      <c r="O609" s="989">
        <v>0</v>
      </c>
      <c r="P609" s="989">
        <v>408980</v>
      </c>
      <c r="Q609" s="989">
        <f t="shared" si="60"/>
        <v>408980</v>
      </c>
      <c r="R609" s="989">
        <f t="shared" si="64"/>
        <v>100</v>
      </c>
      <c r="S609" s="1011">
        <v>0</v>
      </c>
      <c r="T609" s="989">
        <f t="shared" si="61"/>
        <v>0</v>
      </c>
      <c r="U609" s="989">
        <f t="shared" si="62"/>
        <v>408980</v>
      </c>
      <c r="V609" s="989">
        <f t="shared" si="63"/>
        <v>100</v>
      </c>
      <c r="W609" s="989"/>
      <c r="X609" s="989">
        <f t="shared" si="59"/>
        <v>0</v>
      </c>
      <c r="Y609" s="1012"/>
    </row>
    <row r="610" spans="1:25" ht="63" customHeight="1">
      <c r="A610" s="1006">
        <v>492</v>
      </c>
      <c r="B610" s="1007" t="s">
        <v>2096</v>
      </c>
      <c r="C610" s="1008"/>
      <c r="D610" s="1008" t="s">
        <v>3911</v>
      </c>
      <c r="E610" s="1007" t="s">
        <v>2097</v>
      </c>
      <c r="F610" s="1010" t="s">
        <v>576</v>
      </c>
      <c r="G610" s="989">
        <v>312000</v>
      </c>
      <c r="H610" s="937"/>
      <c r="I610" s="1046"/>
      <c r="J610" s="1046"/>
      <c r="K610" s="1047"/>
      <c r="L610" s="1046"/>
      <c r="M610" s="1094"/>
      <c r="N610" s="989">
        <v>312000</v>
      </c>
      <c r="O610" s="989">
        <v>0</v>
      </c>
      <c r="P610" s="989">
        <v>306040.08</v>
      </c>
      <c r="Q610" s="989">
        <f t="shared" si="60"/>
        <v>306040.08</v>
      </c>
      <c r="R610" s="989">
        <f t="shared" si="64"/>
        <v>98.089769230769235</v>
      </c>
      <c r="S610" s="1011">
        <v>0</v>
      </c>
      <c r="T610" s="989">
        <f t="shared" si="61"/>
        <v>0</v>
      </c>
      <c r="U610" s="989">
        <f t="shared" si="62"/>
        <v>306040.08</v>
      </c>
      <c r="V610" s="989">
        <f t="shared" si="63"/>
        <v>98.089769230769235</v>
      </c>
      <c r="W610" s="989"/>
      <c r="X610" s="989">
        <f t="shared" si="59"/>
        <v>5959.9199999999837</v>
      </c>
      <c r="Y610" s="1012"/>
    </row>
    <row r="611" spans="1:25" ht="63" customHeight="1">
      <c r="A611" s="1006">
        <v>493</v>
      </c>
      <c r="B611" s="1007" t="s">
        <v>2098</v>
      </c>
      <c r="C611" s="1008"/>
      <c r="D611" s="1008" t="s">
        <v>3912</v>
      </c>
      <c r="E611" s="1007" t="s">
        <v>2099</v>
      </c>
      <c r="F611" s="1010" t="s">
        <v>576</v>
      </c>
      <c r="G611" s="989">
        <f>312000-158856</f>
        <v>153144</v>
      </c>
      <c r="H611" s="937"/>
      <c r="I611" s="1046"/>
      <c r="J611" s="1046"/>
      <c r="K611" s="1047"/>
      <c r="L611" s="1046"/>
      <c r="M611" s="1094">
        <f>-158856+158856</f>
        <v>0</v>
      </c>
      <c r="N611" s="989">
        <f>G611+M611</f>
        <v>153144</v>
      </c>
      <c r="O611" s="989">
        <v>0</v>
      </c>
      <c r="P611" s="989">
        <v>153144</v>
      </c>
      <c r="Q611" s="989">
        <f t="shared" si="60"/>
        <v>153144</v>
      </c>
      <c r="R611" s="989">
        <f t="shared" si="64"/>
        <v>100</v>
      </c>
      <c r="S611" s="1011">
        <v>0</v>
      </c>
      <c r="T611" s="989">
        <f t="shared" si="61"/>
        <v>0</v>
      </c>
      <c r="U611" s="989">
        <f t="shared" si="62"/>
        <v>153144</v>
      </c>
      <c r="V611" s="989">
        <f t="shared" si="63"/>
        <v>100</v>
      </c>
      <c r="W611" s="989"/>
      <c r="X611" s="989">
        <f t="shared" si="59"/>
        <v>0</v>
      </c>
      <c r="Y611" s="1012"/>
    </row>
    <row r="612" spans="1:25" ht="63" customHeight="1">
      <c r="A612" s="1006">
        <v>494</v>
      </c>
      <c r="B612" s="1007" t="s">
        <v>2100</v>
      </c>
      <c r="C612" s="1008"/>
      <c r="D612" s="1008" t="s">
        <v>3913</v>
      </c>
      <c r="E612" s="1007" t="s">
        <v>2101</v>
      </c>
      <c r="F612" s="1010" t="s">
        <v>576</v>
      </c>
      <c r="G612" s="989">
        <f>416000-88000</f>
        <v>328000</v>
      </c>
      <c r="H612" s="937"/>
      <c r="I612" s="1046"/>
      <c r="J612" s="1046"/>
      <c r="K612" s="1047"/>
      <c r="L612" s="1046"/>
      <c r="M612" s="1094">
        <v>-28000</v>
      </c>
      <c r="N612" s="989">
        <f>G612+M612</f>
        <v>300000</v>
      </c>
      <c r="O612" s="989">
        <v>0</v>
      </c>
      <c r="P612" s="989">
        <v>300000</v>
      </c>
      <c r="Q612" s="989">
        <f t="shared" si="60"/>
        <v>300000</v>
      </c>
      <c r="R612" s="989">
        <f t="shared" si="64"/>
        <v>100</v>
      </c>
      <c r="S612" s="1011">
        <v>0</v>
      </c>
      <c r="T612" s="989">
        <f t="shared" si="61"/>
        <v>0</v>
      </c>
      <c r="U612" s="989">
        <f t="shared" si="62"/>
        <v>300000</v>
      </c>
      <c r="V612" s="989">
        <f t="shared" si="63"/>
        <v>100</v>
      </c>
      <c r="W612" s="989"/>
      <c r="X612" s="989">
        <f t="shared" si="59"/>
        <v>0</v>
      </c>
      <c r="Y612" s="1012"/>
    </row>
    <row r="613" spans="1:25" ht="63" customHeight="1">
      <c r="A613" s="1006">
        <v>495</v>
      </c>
      <c r="B613" s="1007" t="s">
        <v>2102</v>
      </c>
      <c r="C613" s="1008"/>
      <c r="D613" s="1008" t="s">
        <v>3914</v>
      </c>
      <c r="E613" s="1007" t="s">
        <v>2103</v>
      </c>
      <c r="F613" s="1010" t="s">
        <v>576</v>
      </c>
      <c r="G613" s="989">
        <v>208000</v>
      </c>
      <c r="H613" s="937"/>
      <c r="I613" s="1046"/>
      <c r="J613" s="1046"/>
      <c r="K613" s="1047"/>
      <c r="L613" s="1046"/>
      <c r="M613" s="1094"/>
      <c r="N613" s="989">
        <v>208000</v>
      </c>
      <c r="O613" s="989">
        <v>0</v>
      </c>
      <c r="P613" s="989">
        <v>208000</v>
      </c>
      <c r="Q613" s="989">
        <f t="shared" si="60"/>
        <v>208000</v>
      </c>
      <c r="R613" s="989">
        <f t="shared" si="64"/>
        <v>100</v>
      </c>
      <c r="S613" s="1011">
        <v>0</v>
      </c>
      <c r="T613" s="989">
        <f t="shared" si="61"/>
        <v>0</v>
      </c>
      <c r="U613" s="989">
        <f t="shared" si="62"/>
        <v>208000</v>
      </c>
      <c r="V613" s="989">
        <f t="shared" si="63"/>
        <v>100</v>
      </c>
      <c r="W613" s="989"/>
      <c r="X613" s="989">
        <f t="shared" si="59"/>
        <v>0</v>
      </c>
      <c r="Y613" s="1012"/>
    </row>
    <row r="614" spans="1:25" ht="63" customHeight="1">
      <c r="A614" s="1006">
        <v>496</v>
      </c>
      <c r="B614" s="1007" t="s">
        <v>2104</v>
      </c>
      <c r="C614" s="1008"/>
      <c r="D614" s="1008" t="s">
        <v>3915</v>
      </c>
      <c r="E614" s="1007" t="s">
        <v>2105</v>
      </c>
      <c r="F614" s="1010" t="s">
        <v>576</v>
      </c>
      <c r="G614" s="989">
        <f>624000-25919</f>
        <v>598081</v>
      </c>
      <c r="H614" s="937"/>
      <c r="I614" s="1046"/>
      <c r="J614" s="1046"/>
      <c r="K614" s="1047"/>
      <c r="L614" s="1046"/>
      <c r="M614" s="1094">
        <f>-25919+25919</f>
        <v>0</v>
      </c>
      <c r="N614" s="989">
        <f>G614+M614</f>
        <v>598081</v>
      </c>
      <c r="O614" s="989">
        <v>0</v>
      </c>
      <c r="P614" s="989">
        <v>286081</v>
      </c>
      <c r="Q614" s="989">
        <f t="shared" si="60"/>
        <v>286081</v>
      </c>
      <c r="R614" s="989">
        <f t="shared" si="64"/>
        <v>47.833153034455201</v>
      </c>
      <c r="S614" s="1011">
        <v>312000</v>
      </c>
      <c r="T614" s="989">
        <f t="shared" si="61"/>
        <v>52.166846965544799</v>
      </c>
      <c r="U614" s="989">
        <f t="shared" si="62"/>
        <v>598081</v>
      </c>
      <c r="V614" s="989">
        <f t="shared" si="63"/>
        <v>100</v>
      </c>
      <c r="W614" s="989"/>
      <c r="X614" s="989">
        <f t="shared" si="59"/>
        <v>0</v>
      </c>
      <c r="Y614" s="1012"/>
    </row>
    <row r="615" spans="1:25" ht="63" customHeight="1">
      <c r="A615" s="1006">
        <v>497</v>
      </c>
      <c r="B615" s="1007" t="s">
        <v>2106</v>
      </c>
      <c r="C615" s="1008"/>
      <c r="D615" s="1008" t="s">
        <v>3916</v>
      </c>
      <c r="E615" s="1007" t="s">
        <v>2107</v>
      </c>
      <c r="F615" s="1010" t="s">
        <v>576</v>
      </c>
      <c r="G615" s="989">
        <f>728000-105516</f>
        <v>622484</v>
      </c>
      <c r="H615" s="937"/>
      <c r="I615" s="1046"/>
      <c r="J615" s="1046"/>
      <c r="K615" s="1047"/>
      <c r="L615" s="1046"/>
      <c r="M615" s="1094">
        <f>-105516+105516</f>
        <v>0</v>
      </c>
      <c r="N615" s="989">
        <f>G615+M615</f>
        <v>622484</v>
      </c>
      <c r="O615" s="989">
        <v>0</v>
      </c>
      <c r="P615" s="989">
        <v>622484</v>
      </c>
      <c r="Q615" s="989">
        <f t="shared" si="60"/>
        <v>622484</v>
      </c>
      <c r="R615" s="989">
        <f t="shared" si="64"/>
        <v>100</v>
      </c>
      <c r="S615" s="1011">
        <v>0</v>
      </c>
      <c r="T615" s="989">
        <f t="shared" si="61"/>
        <v>0</v>
      </c>
      <c r="U615" s="989">
        <f t="shared" si="62"/>
        <v>622484</v>
      </c>
      <c r="V615" s="989">
        <f t="shared" si="63"/>
        <v>100</v>
      </c>
      <c r="W615" s="989"/>
      <c r="X615" s="989">
        <f t="shared" si="59"/>
        <v>0</v>
      </c>
      <c r="Y615" s="1012"/>
    </row>
    <row r="616" spans="1:25" ht="63" customHeight="1">
      <c r="A616" s="1006">
        <v>498</v>
      </c>
      <c r="B616" s="1007" t="s">
        <v>2108</v>
      </c>
      <c r="C616" s="1008"/>
      <c r="D616" s="1008" t="s">
        <v>3917</v>
      </c>
      <c r="E616" s="1007" t="s">
        <v>3276</v>
      </c>
      <c r="F616" s="1010" t="s">
        <v>566</v>
      </c>
      <c r="G616" s="989">
        <f>624000-156500</f>
        <v>467500</v>
      </c>
      <c r="H616" s="937"/>
      <c r="I616" s="1046"/>
      <c r="J616" s="1046"/>
      <c r="K616" s="1047"/>
      <c r="L616" s="1046"/>
      <c r="M616" s="1094">
        <f>-156500+156500</f>
        <v>0</v>
      </c>
      <c r="N616" s="989">
        <f>G616+M616</f>
        <v>467500</v>
      </c>
      <c r="O616" s="989">
        <v>0</v>
      </c>
      <c r="P616" s="989">
        <v>467500</v>
      </c>
      <c r="Q616" s="989">
        <f t="shared" si="60"/>
        <v>467500</v>
      </c>
      <c r="R616" s="989">
        <f t="shared" si="64"/>
        <v>100</v>
      </c>
      <c r="S616" s="1011">
        <v>0</v>
      </c>
      <c r="T616" s="989">
        <f t="shared" si="61"/>
        <v>0</v>
      </c>
      <c r="U616" s="989">
        <f t="shared" si="62"/>
        <v>467500</v>
      </c>
      <c r="V616" s="989">
        <f t="shared" si="63"/>
        <v>100</v>
      </c>
      <c r="W616" s="989"/>
      <c r="X616" s="989">
        <f t="shared" si="59"/>
        <v>0</v>
      </c>
      <c r="Y616" s="1012"/>
    </row>
    <row r="617" spans="1:25" ht="63" customHeight="1">
      <c r="A617" s="1006">
        <v>499</v>
      </c>
      <c r="B617" s="1007" t="s">
        <v>2109</v>
      </c>
      <c r="C617" s="1008"/>
      <c r="D617" s="1008" t="s">
        <v>3918</v>
      </c>
      <c r="E617" s="1007" t="s">
        <v>3277</v>
      </c>
      <c r="F617" s="1010" t="s">
        <v>566</v>
      </c>
      <c r="G617" s="989">
        <f>312000-3900</f>
        <v>308100</v>
      </c>
      <c r="H617" s="937"/>
      <c r="I617" s="1046"/>
      <c r="J617" s="1046"/>
      <c r="K617" s="1047"/>
      <c r="L617" s="1046"/>
      <c r="M617" s="1094">
        <f>-3900+3900</f>
        <v>0</v>
      </c>
      <c r="N617" s="989">
        <f>G617+M617</f>
        <v>308100</v>
      </c>
      <c r="O617" s="989">
        <v>0</v>
      </c>
      <c r="P617" s="989">
        <v>308100</v>
      </c>
      <c r="Q617" s="989">
        <f t="shared" si="60"/>
        <v>308100</v>
      </c>
      <c r="R617" s="989">
        <f t="shared" si="64"/>
        <v>100</v>
      </c>
      <c r="S617" s="1011">
        <v>0</v>
      </c>
      <c r="T617" s="989">
        <f t="shared" si="61"/>
        <v>0</v>
      </c>
      <c r="U617" s="989">
        <f t="shared" si="62"/>
        <v>308100</v>
      </c>
      <c r="V617" s="989">
        <f t="shared" si="63"/>
        <v>100</v>
      </c>
      <c r="W617" s="989"/>
      <c r="X617" s="989">
        <f t="shared" si="59"/>
        <v>0</v>
      </c>
      <c r="Y617" s="1012"/>
    </row>
    <row r="618" spans="1:25" ht="63" customHeight="1">
      <c r="A618" s="1006">
        <v>500</v>
      </c>
      <c r="B618" s="1007" t="s">
        <v>4502</v>
      </c>
      <c r="C618" s="1008"/>
      <c r="D618" s="1008" t="s">
        <v>4503</v>
      </c>
      <c r="E618" s="1007" t="s">
        <v>4389</v>
      </c>
      <c r="F618" s="1010" t="s">
        <v>566</v>
      </c>
      <c r="G618" s="989">
        <v>0</v>
      </c>
      <c r="H618" s="937"/>
      <c r="I618" s="1046"/>
      <c r="J618" s="1046"/>
      <c r="K618" s="1047"/>
      <c r="L618" s="1046"/>
      <c r="M618" s="1094"/>
      <c r="N618" s="989">
        <v>0</v>
      </c>
      <c r="O618" s="989">
        <v>0</v>
      </c>
      <c r="P618" s="989"/>
      <c r="Q618" s="989">
        <f t="shared" si="60"/>
        <v>0</v>
      </c>
      <c r="R618" s="989" t="e">
        <f t="shared" si="64"/>
        <v>#DIV/0!</v>
      </c>
      <c r="S618" s="1011"/>
      <c r="T618" s="989">
        <v>0</v>
      </c>
      <c r="U618" s="989">
        <f t="shared" si="62"/>
        <v>0</v>
      </c>
      <c r="V618" s="989">
        <v>0</v>
      </c>
      <c r="W618" s="989"/>
      <c r="X618" s="989">
        <f t="shared" si="59"/>
        <v>0</v>
      </c>
      <c r="Y618" s="1012"/>
    </row>
    <row r="619" spans="1:25" ht="63" customHeight="1">
      <c r="A619" s="1006">
        <v>501</v>
      </c>
      <c r="B619" s="1007" t="s">
        <v>2110</v>
      </c>
      <c r="C619" s="1008"/>
      <c r="D619" s="1008" t="s">
        <v>3919</v>
      </c>
      <c r="E619" s="1007" t="s">
        <v>3920</v>
      </c>
      <c r="F619" s="1010" t="s">
        <v>566</v>
      </c>
      <c r="G619" s="989">
        <f>208000-23626</f>
        <v>184374</v>
      </c>
      <c r="H619" s="937"/>
      <c r="I619" s="1046"/>
      <c r="J619" s="1046"/>
      <c r="K619" s="1047">
        <v>-18000</v>
      </c>
      <c r="L619" s="1046"/>
      <c r="M619" s="1094">
        <f>-21000-2626+23626</f>
        <v>0</v>
      </c>
      <c r="N619" s="989">
        <f>G619+M619+K619</f>
        <v>166374</v>
      </c>
      <c r="O619" s="989">
        <v>0</v>
      </c>
      <c r="P619" s="989">
        <v>166374</v>
      </c>
      <c r="Q619" s="989">
        <f t="shared" si="60"/>
        <v>166374</v>
      </c>
      <c r="R619" s="989">
        <f t="shared" si="64"/>
        <v>100</v>
      </c>
      <c r="S619" s="1011">
        <v>0</v>
      </c>
      <c r="T619" s="989">
        <f t="shared" si="61"/>
        <v>0</v>
      </c>
      <c r="U619" s="989">
        <f t="shared" si="62"/>
        <v>166374</v>
      </c>
      <c r="V619" s="989">
        <f t="shared" si="63"/>
        <v>100</v>
      </c>
      <c r="W619" s="989"/>
      <c r="X619" s="989">
        <f t="shared" si="59"/>
        <v>0</v>
      </c>
      <c r="Y619" s="1012"/>
    </row>
    <row r="620" spans="1:25" ht="63" customHeight="1">
      <c r="A620" s="1006">
        <v>502</v>
      </c>
      <c r="B620" s="1007" t="s">
        <v>2111</v>
      </c>
      <c r="C620" s="1008"/>
      <c r="D620" s="1008" t="s">
        <v>3921</v>
      </c>
      <c r="E620" s="1007" t="s">
        <v>4348</v>
      </c>
      <c r="F620" s="1010" t="s">
        <v>566</v>
      </c>
      <c r="G620" s="989">
        <f>1040000-247221.33</f>
        <v>792778.67</v>
      </c>
      <c r="H620" s="937"/>
      <c r="I620" s="1046"/>
      <c r="J620" s="1046"/>
      <c r="K620" s="1047">
        <v>-90000</v>
      </c>
      <c r="L620" s="1046"/>
      <c r="M620" s="1094">
        <f>-194300-52921.33+247221.33</f>
        <v>0</v>
      </c>
      <c r="N620" s="989">
        <f>G620+M620+K620</f>
        <v>702778.67</v>
      </c>
      <c r="O620" s="989">
        <v>0</v>
      </c>
      <c r="P620" s="989">
        <v>702778.67</v>
      </c>
      <c r="Q620" s="989">
        <f t="shared" si="60"/>
        <v>702778.67</v>
      </c>
      <c r="R620" s="989">
        <f t="shared" si="64"/>
        <v>100</v>
      </c>
      <c r="S620" s="1011">
        <v>0</v>
      </c>
      <c r="T620" s="989">
        <f t="shared" si="61"/>
        <v>0</v>
      </c>
      <c r="U620" s="989">
        <f t="shared" si="62"/>
        <v>702778.67</v>
      </c>
      <c r="V620" s="989">
        <f t="shared" si="63"/>
        <v>100</v>
      </c>
      <c r="W620" s="989"/>
      <c r="X620" s="989">
        <f t="shared" si="59"/>
        <v>0</v>
      </c>
      <c r="Y620" s="1012"/>
    </row>
    <row r="621" spans="1:25" ht="63" customHeight="1">
      <c r="A621" s="1006">
        <v>503</v>
      </c>
      <c r="B621" s="1007" t="s">
        <v>2112</v>
      </c>
      <c r="C621" s="1008"/>
      <c r="D621" s="1008" t="s">
        <v>3922</v>
      </c>
      <c r="E621" s="1007" t="s">
        <v>3278</v>
      </c>
      <c r="F621" s="1010" t="s">
        <v>566</v>
      </c>
      <c r="G621" s="989">
        <f>1144000-229199.32</f>
        <v>914800.67999999993</v>
      </c>
      <c r="H621" s="937"/>
      <c r="I621" s="1046"/>
      <c r="J621" s="1046"/>
      <c r="K621" s="1047">
        <f>-63000-36000</f>
        <v>-99000</v>
      </c>
      <c r="L621" s="1046"/>
      <c r="M621" s="1094">
        <v>-49378.02</v>
      </c>
      <c r="N621" s="989">
        <f>G621+K621+M621</f>
        <v>766422.65999999992</v>
      </c>
      <c r="O621" s="989">
        <v>0</v>
      </c>
      <c r="P621" s="989">
        <v>766422.66</v>
      </c>
      <c r="Q621" s="989">
        <f t="shared" si="60"/>
        <v>766422.66</v>
      </c>
      <c r="R621" s="989">
        <f t="shared" si="64"/>
        <v>100.00000000000003</v>
      </c>
      <c r="S621" s="1011">
        <v>0</v>
      </c>
      <c r="T621" s="989">
        <f t="shared" si="61"/>
        <v>0</v>
      </c>
      <c r="U621" s="989">
        <f t="shared" si="62"/>
        <v>766422.66</v>
      </c>
      <c r="V621" s="989">
        <f t="shared" si="63"/>
        <v>100.00000000000003</v>
      </c>
      <c r="W621" s="989"/>
      <c r="X621" s="989">
        <f t="shared" si="59"/>
        <v>0</v>
      </c>
      <c r="Y621" s="1012"/>
    </row>
    <row r="622" spans="1:25" ht="63" customHeight="1">
      <c r="A622" s="1006">
        <v>504</v>
      </c>
      <c r="B622" s="1007" t="s">
        <v>2113</v>
      </c>
      <c r="C622" s="1008"/>
      <c r="D622" s="1008" t="s">
        <v>3923</v>
      </c>
      <c r="E622" s="1007" t="s">
        <v>4349</v>
      </c>
      <c r="F622" s="1010" t="s">
        <v>566</v>
      </c>
      <c r="G622" s="989">
        <f>312000-105785</f>
        <v>206215</v>
      </c>
      <c r="H622" s="937"/>
      <c r="I622" s="1046"/>
      <c r="J622" s="1046"/>
      <c r="K622" s="1047">
        <v>-27000</v>
      </c>
      <c r="L622" s="1046"/>
      <c r="M622" s="1094">
        <f>-105785+105785</f>
        <v>0</v>
      </c>
      <c r="N622" s="989">
        <f>G622+M622+K622</f>
        <v>179215</v>
      </c>
      <c r="O622" s="989">
        <v>0</v>
      </c>
      <c r="P622" s="989">
        <v>179215</v>
      </c>
      <c r="Q622" s="989">
        <f t="shared" si="60"/>
        <v>179215</v>
      </c>
      <c r="R622" s="989">
        <f t="shared" si="64"/>
        <v>100</v>
      </c>
      <c r="S622" s="1011">
        <v>0</v>
      </c>
      <c r="T622" s="989">
        <f t="shared" si="61"/>
        <v>0</v>
      </c>
      <c r="U622" s="989">
        <f t="shared" si="62"/>
        <v>179215</v>
      </c>
      <c r="V622" s="989">
        <f t="shared" si="63"/>
        <v>100</v>
      </c>
      <c r="W622" s="989"/>
      <c r="X622" s="989">
        <f t="shared" si="59"/>
        <v>0</v>
      </c>
      <c r="Y622" s="1012"/>
    </row>
    <row r="623" spans="1:25" ht="63" customHeight="1">
      <c r="A623" s="1006">
        <v>505</v>
      </c>
      <c r="B623" s="1007" t="s">
        <v>2114</v>
      </c>
      <c r="C623" s="1008"/>
      <c r="D623" s="1008" t="s">
        <v>3924</v>
      </c>
      <c r="E623" s="1007" t="s">
        <v>3279</v>
      </c>
      <c r="F623" s="1010" t="s">
        <v>566</v>
      </c>
      <c r="G623" s="989">
        <v>2288000</v>
      </c>
      <c r="H623" s="937"/>
      <c r="I623" s="1046"/>
      <c r="J623" s="1046"/>
      <c r="K623" s="1047">
        <f>-167800-417241.62</f>
        <v>-585041.62</v>
      </c>
      <c r="L623" s="1046"/>
      <c r="M623" s="1094">
        <v>-7520.97</v>
      </c>
      <c r="N623" s="989">
        <f>2288000+M623+K623</f>
        <v>1695437.4099999997</v>
      </c>
      <c r="O623" s="989">
        <v>0</v>
      </c>
      <c r="P623" s="989">
        <v>1695437.41</v>
      </c>
      <c r="Q623" s="989">
        <f t="shared" si="60"/>
        <v>1695437.41</v>
      </c>
      <c r="R623" s="989">
        <f t="shared" si="64"/>
        <v>100.00000000000003</v>
      </c>
      <c r="S623" s="1011">
        <v>0</v>
      </c>
      <c r="T623" s="989">
        <f t="shared" si="61"/>
        <v>0</v>
      </c>
      <c r="U623" s="989">
        <f t="shared" si="62"/>
        <v>1695437.41</v>
      </c>
      <c r="V623" s="989">
        <f t="shared" si="63"/>
        <v>100.00000000000003</v>
      </c>
      <c r="W623" s="989"/>
      <c r="X623" s="989">
        <f t="shared" si="59"/>
        <v>0</v>
      </c>
      <c r="Y623" s="1012"/>
    </row>
    <row r="624" spans="1:25" ht="63" customHeight="1">
      <c r="A624" s="1006">
        <v>506</v>
      </c>
      <c r="B624" s="1007" t="s">
        <v>2115</v>
      </c>
      <c r="C624" s="1008"/>
      <c r="D624" s="1008" t="s">
        <v>3925</v>
      </c>
      <c r="E624" s="1007" t="s">
        <v>3280</v>
      </c>
      <c r="F624" s="1010" t="s">
        <v>566</v>
      </c>
      <c r="G624" s="989">
        <f>1040000-215363</f>
        <v>824637</v>
      </c>
      <c r="H624" s="937"/>
      <c r="I624" s="1046"/>
      <c r="J624" s="1046"/>
      <c r="K624" s="1047"/>
      <c r="L624" s="1046"/>
      <c r="M624" s="1094">
        <f>-164884-50479+215363</f>
        <v>0</v>
      </c>
      <c r="N624" s="989">
        <f>G624+M624</f>
        <v>824637</v>
      </c>
      <c r="O624" s="989">
        <v>0</v>
      </c>
      <c r="P624" s="989">
        <v>824637</v>
      </c>
      <c r="Q624" s="989">
        <f t="shared" si="60"/>
        <v>824637</v>
      </c>
      <c r="R624" s="989">
        <f t="shared" si="64"/>
        <v>100</v>
      </c>
      <c r="S624" s="1011">
        <v>0</v>
      </c>
      <c r="T624" s="989">
        <f t="shared" si="61"/>
        <v>0</v>
      </c>
      <c r="U624" s="989">
        <f t="shared" si="62"/>
        <v>824637</v>
      </c>
      <c r="V624" s="989">
        <f t="shared" si="63"/>
        <v>100</v>
      </c>
      <c r="W624" s="989"/>
      <c r="X624" s="989">
        <f t="shared" si="59"/>
        <v>0</v>
      </c>
      <c r="Y624" s="1012"/>
    </row>
    <row r="625" spans="1:25" ht="63" customHeight="1">
      <c r="A625" s="1006">
        <v>507</v>
      </c>
      <c r="B625" s="1007" t="s">
        <v>2116</v>
      </c>
      <c r="C625" s="1008"/>
      <c r="D625" s="1008" t="s">
        <v>3926</v>
      </c>
      <c r="E625" s="1007" t="s">
        <v>3281</v>
      </c>
      <c r="F625" s="1010" t="s">
        <v>566</v>
      </c>
      <c r="G625" s="989">
        <f>1248000</f>
        <v>1248000</v>
      </c>
      <c r="H625" s="937"/>
      <c r="I625" s="1046"/>
      <c r="J625" s="1046"/>
      <c r="K625" s="1047">
        <v>-378900</v>
      </c>
      <c r="L625" s="1046"/>
      <c r="M625" s="1094"/>
      <c r="N625" s="989">
        <f>1248000+M625+K625</f>
        <v>869100</v>
      </c>
      <c r="O625" s="989">
        <v>0</v>
      </c>
      <c r="P625" s="989">
        <v>869100</v>
      </c>
      <c r="Q625" s="989">
        <f t="shared" si="60"/>
        <v>869100</v>
      </c>
      <c r="R625" s="989">
        <f t="shared" si="64"/>
        <v>100</v>
      </c>
      <c r="S625" s="1011">
        <v>0</v>
      </c>
      <c r="T625" s="989">
        <f t="shared" si="61"/>
        <v>0</v>
      </c>
      <c r="U625" s="989">
        <f t="shared" si="62"/>
        <v>869100</v>
      </c>
      <c r="V625" s="989">
        <f t="shared" si="63"/>
        <v>100</v>
      </c>
      <c r="W625" s="989"/>
      <c r="X625" s="989">
        <f t="shared" si="59"/>
        <v>0</v>
      </c>
      <c r="Y625" s="1012"/>
    </row>
    <row r="626" spans="1:25" ht="63" customHeight="1">
      <c r="A626" s="1006">
        <v>508</v>
      </c>
      <c r="B626" s="1007" t="s">
        <v>4504</v>
      </c>
      <c r="C626" s="1008"/>
      <c r="D626" s="1008" t="s">
        <v>4505</v>
      </c>
      <c r="E626" s="1007" t="s">
        <v>4390</v>
      </c>
      <c r="F626" s="1010" t="s">
        <v>4371</v>
      </c>
      <c r="G626" s="989">
        <v>0</v>
      </c>
      <c r="H626" s="937"/>
      <c r="I626" s="1046"/>
      <c r="J626" s="1046"/>
      <c r="K626" s="1047"/>
      <c r="L626" s="1046"/>
      <c r="M626" s="1094"/>
      <c r="N626" s="989">
        <v>0</v>
      </c>
      <c r="O626" s="989">
        <v>0</v>
      </c>
      <c r="P626" s="989"/>
      <c r="Q626" s="989">
        <f t="shared" si="60"/>
        <v>0</v>
      </c>
      <c r="R626" s="989" t="e">
        <f t="shared" si="64"/>
        <v>#DIV/0!</v>
      </c>
      <c r="S626" s="1011"/>
      <c r="T626" s="989">
        <v>0</v>
      </c>
      <c r="U626" s="989">
        <f t="shared" si="62"/>
        <v>0</v>
      </c>
      <c r="V626" s="989">
        <v>0</v>
      </c>
      <c r="W626" s="989"/>
      <c r="X626" s="989">
        <f t="shared" si="59"/>
        <v>0</v>
      </c>
      <c r="Y626" s="1012"/>
    </row>
    <row r="627" spans="1:25" ht="63" customHeight="1">
      <c r="A627" s="1006">
        <v>509</v>
      </c>
      <c r="B627" s="1007" t="s">
        <v>4506</v>
      </c>
      <c r="C627" s="1008"/>
      <c r="D627" s="1008" t="s">
        <v>4507</v>
      </c>
      <c r="E627" s="1007" t="s">
        <v>4391</v>
      </c>
      <c r="F627" s="1010" t="s">
        <v>4371</v>
      </c>
      <c r="G627" s="989">
        <v>0</v>
      </c>
      <c r="H627" s="937"/>
      <c r="I627" s="1046"/>
      <c r="J627" s="1046"/>
      <c r="K627" s="1047"/>
      <c r="L627" s="1046"/>
      <c r="M627" s="1094"/>
      <c r="N627" s="989">
        <v>0</v>
      </c>
      <c r="O627" s="989">
        <v>0</v>
      </c>
      <c r="P627" s="989"/>
      <c r="Q627" s="989">
        <f t="shared" si="60"/>
        <v>0</v>
      </c>
      <c r="R627" s="989" t="e">
        <f t="shared" si="64"/>
        <v>#DIV/0!</v>
      </c>
      <c r="S627" s="1011"/>
      <c r="T627" s="989">
        <v>0</v>
      </c>
      <c r="U627" s="989">
        <f t="shared" si="62"/>
        <v>0</v>
      </c>
      <c r="V627" s="989">
        <v>0</v>
      </c>
      <c r="W627" s="989"/>
      <c r="X627" s="989">
        <f t="shared" si="59"/>
        <v>0</v>
      </c>
      <c r="Y627" s="1012"/>
    </row>
    <row r="628" spans="1:25" ht="63" customHeight="1">
      <c r="A628" s="1006">
        <v>510</v>
      </c>
      <c r="B628" s="1007" t="s">
        <v>4508</v>
      </c>
      <c r="C628" s="1008"/>
      <c r="D628" s="1008" t="s">
        <v>4509</v>
      </c>
      <c r="E628" s="1007" t="s">
        <v>4392</v>
      </c>
      <c r="F628" s="1010" t="s">
        <v>4371</v>
      </c>
      <c r="G628" s="989">
        <v>0</v>
      </c>
      <c r="H628" s="937"/>
      <c r="I628" s="1046"/>
      <c r="J628" s="1046"/>
      <c r="K628" s="1047"/>
      <c r="L628" s="1046"/>
      <c r="M628" s="1094"/>
      <c r="N628" s="989">
        <v>0</v>
      </c>
      <c r="O628" s="989">
        <v>0</v>
      </c>
      <c r="P628" s="989"/>
      <c r="Q628" s="989">
        <f t="shared" si="60"/>
        <v>0</v>
      </c>
      <c r="R628" s="989" t="e">
        <f t="shared" si="64"/>
        <v>#DIV/0!</v>
      </c>
      <c r="S628" s="1011"/>
      <c r="T628" s="989">
        <v>0</v>
      </c>
      <c r="U628" s="989">
        <f t="shared" si="62"/>
        <v>0</v>
      </c>
      <c r="V628" s="989">
        <v>0</v>
      </c>
      <c r="W628" s="989"/>
      <c r="X628" s="989">
        <f t="shared" si="59"/>
        <v>0</v>
      </c>
      <c r="Y628" s="1012"/>
    </row>
    <row r="629" spans="1:25" ht="63" customHeight="1">
      <c r="A629" s="1006">
        <v>511</v>
      </c>
      <c r="B629" s="1007" t="s">
        <v>4510</v>
      </c>
      <c r="C629" s="1008"/>
      <c r="D629" s="1008" t="s">
        <v>4511</v>
      </c>
      <c r="E629" s="1007" t="s">
        <v>4393</v>
      </c>
      <c r="F629" s="1010" t="s">
        <v>4371</v>
      </c>
      <c r="G629" s="989">
        <v>0</v>
      </c>
      <c r="H629" s="937"/>
      <c r="I629" s="1046"/>
      <c r="J629" s="1046"/>
      <c r="K629" s="1047"/>
      <c r="L629" s="1046"/>
      <c r="M629" s="1094"/>
      <c r="N629" s="989">
        <v>0</v>
      </c>
      <c r="O629" s="989">
        <v>0</v>
      </c>
      <c r="P629" s="989"/>
      <c r="Q629" s="989">
        <f t="shared" si="60"/>
        <v>0</v>
      </c>
      <c r="R629" s="989" t="e">
        <f t="shared" si="64"/>
        <v>#DIV/0!</v>
      </c>
      <c r="S629" s="1011"/>
      <c r="T629" s="989">
        <v>0</v>
      </c>
      <c r="U629" s="989">
        <f t="shared" si="62"/>
        <v>0</v>
      </c>
      <c r="V629" s="989">
        <v>0</v>
      </c>
      <c r="W629" s="989"/>
      <c r="X629" s="989">
        <f t="shared" ref="X629:X692" si="66">N629-U629</f>
        <v>0</v>
      </c>
      <c r="Y629" s="1012"/>
    </row>
    <row r="630" spans="1:25" ht="63" customHeight="1">
      <c r="A630" s="1006">
        <v>512</v>
      </c>
      <c r="B630" s="1007" t="s">
        <v>4512</v>
      </c>
      <c r="C630" s="1008"/>
      <c r="D630" s="1008" t="s">
        <v>4513</v>
      </c>
      <c r="E630" s="1007" t="s">
        <v>4394</v>
      </c>
      <c r="F630" s="1010" t="s">
        <v>585</v>
      </c>
      <c r="G630" s="989">
        <v>0</v>
      </c>
      <c r="H630" s="937"/>
      <c r="I630" s="1046"/>
      <c r="J630" s="1046"/>
      <c r="K630" s="1047"/>
      <c r="L630" s="1046"/>
      <c r="M630" s="1094"/>
      <c r="N630" s="989">
        <v>0</v>
      </c>
      <c r="O630" s="989">
        <v>0</v>
      </c>
      <c r="P630" s="989"/>
      <c r="Q630" s="989">
        <f t="shared" si="60"/>
        <v>0</v>
      </c>
      <c r="R630" s="989" t="e">
        <f t="shared" si="64"/>
        <v>#DIV/0!</v>
      </c>
      <c r="S630" s="1011"/>
      <c r="T630" s="989">
        <v>0</v>
      </c>
      <c r="U630" s="989">
        <f t="shared" si="62"/>
        <v>0</v>
      </c>
      <c r="V630" s="989">
        <v>0</v>
      </c>
      <c r="W630" s="989"/>
      <c r="X630" s="989">
        <f t="shared" si="66"/>
        <v>0</v>
      </c>
      <c r="Y630" s="1012"/>
    </row>
    <row r="631" spans="1:25" ht="63" customHeight="1">
      <c r="A631" s="1006">
        <v>513</v>
      </c>
      <c r="B631" s="1007" t="s">
        <v>2117</v>
      </c>
      <c r="C631" s="1008"/>
      <c r="D631" s="1008" t="s">
        <v>3927</v>
      </c>
      <c r="E631" s="1007" t="s">
        <v>2118</v>
      </c>
      <c r="F631" s="1010" t="s">
        <v>563</v>
      </c>
      <c r="G631" s="989">
        <v>104000</v>
      </c>
      <c r="H631" s="937"/>
      <c r="I631" s="1046"/>
      <c r="J631" s="1046"/>
      <c r="K631" s="1047"/>
      <c r="L631" s="1046"/>
      <c r="M631" s="1094"/>
      <c r="N631" s="989">
        <v>104000</v>
      </c>
      <c r="O631" s="989">
        <v>0</v>
      </c>
      <c r="P631" s="989">
        <v>104000</v>
      </c>
      <c r="Q631" s="989">
        <f t="shared" ref="Q631:Q694" si="67">P631+O631</f>
        <v>104000</v>
      </c>
      <c r="R631" s="989">
        <f t="shared" si="64"/>
        <v>100</v>
      </c>
      <c r="S631" s="1011">
        <v>0</v>
      </c>
      <c r="T631" s="989">
        <f t="shared" ref="T631:T694" si="68">S631/N631*100</f>
        <v>0</v>
      </c>
      <c r="U631" s="989">
        <f t="shared" ref="U631:U694" si="69">S631+Q631</f>
        <v>104000</v>
      </c>
      <c r="V631" s="989">
        <f t="shared" ref="V631:V694" si="70">U631/N631*100</f>
        <v>100</v>
      </c>
      <c r="W631" s="989"/>
      <c r="X631" s="989">
        <f t="shared" si="66"/>
        <v>0</v>
      </c>
      <c r="Y631" s="1012"/>
    </row>
    <row r="632" spans="1:25" ht="63" customHeight="1">
      <c r="A632" s="1006">
        <v>514</v>
      </c>
      <c r="B632" s="1007" t="s">
        <v>2119</v>
      </c>
      <c r="C632" s="1008"/>
      <c r="D632" s="1008" t="s">
        <v>3928</v>
      </c>
      <c r="E632" s="1007" t="s">
        <v>2120</v>
      </c>
      <c r="F632" s="1010" t="s">
        <v>563</v>
      </c>
      <c r="G632" s="989">
        <f>104000-15400</f>
        <v>88600</v>
      </c>
      <c r="H632" s="937"/>
      <c r="I632" s="1046"/>
      <c r="J632" s="1046"/>
      <c r="K632" s="1047">
        <v>-9000</v>
      </c>
      <c r="L632" s="1046"/>
      <c r="M632" s="1094">
        <f>-15400+15400</f>
        <v>0</v>
      </c>
      <c r="N632" s="989">
        <f>G632+M632+K632</f>
        <v>79600</v>
      </c>
      <c r="O632" s="989">
        <v>79600</v>
      </c>
      <c r="P632" s="989">
        <v>0</v>
      </c>
      <c r="Q632" s="989">
        <f t="shared" si="67"/>
        <v>79600</v>
      </c>
      <c r="R632" s="989">
        <f t="shared" ref="R632:R695" si="71">Q632/N632*100</f>
        <v>100</v>
      </c>
      <c r="S632" s="1011">
        <v>0</v>
      </c>
      <c r="T632" s="989">
        <f t="shared" si="68"/>
        <v>0</v>
      </c>
      <c r="U632" s="989">
        <f t="shared" si="69"/>
        <v>79600</v>
      </c>
      <c r="V632" s="989">
        <f t="shared" si="70"/>
        <v>100</v>
      </c>
      <c r="W632" s="989"/>
      <c r="X632" s="989">
        <f t="shared" si="66"/>
        <v>0</v>
      </c>
      <c r="Y632" s="1012"/>
    </row>
    <row r="633" spans="1:25" ht="63" customHeight="1">
      <c r="A633" s="1006">
        <v>515</v>
      </c>
      <c r="B633" s="1007" t="s">
        <v>2121</v>
      </c>
      <c r="C633" s="1008"/>
      <c r="D633" s="1008" t="s">
        <v>3929</v>
      </c>
      <c r="E633" s="1007" t="s">
        <v>3172</v>
      </c>
      <c r="F633" s="1010" t="s">
        <v>563</v>
      </c>
      <c r="G633" s="989">
        <v>104000</v>
      </c>
      <c r="H633" s="937"/>
      <c r="I633" s="1046"/>
      <c r="J633" s="1046"/>
      <c r="K633" s="1047"/>
      <c r="L633" s="1046"/>
      <c r="M633" s="1094"/>
      <c r="N633" s="989">
        <v>104000</v>
      </c>
      <c r="O633" s="989">
        <v>0</v>
      </c>
      <c r="P633" s="989">
        <v>104000</v>
      </c>
      <c r="Q633" s="989">
        <f t="shared" si="67"/>
        <v>104000</v>
      </c>
      <c r="R633" s="989">
        <f t="shared" si="71"/>
        <v>100</v>
      </c>
      <c r="S633" s="1011">
        <v>0</v>
      </c>
      <c r="T633" s="989">
        <f t="shared" si="68"/>
        <v>0</v>
      </c>
      <c r="U633" s="989">
        <f t="shared" si="69"/>
        <v>104000</v>
      </c>
      <c r="V633" s="989">
        <f t="shared" si="70"/>
        <v>100</v>
      </c>
      <c r="W633" s="989"/>
      <c r="X633" s="989">
        <f t="shared" si="66"/>
        <v>0</v>
      </c>
      <c r="Y633" s="1012"/>
    </row>
    <row r="634" spans="1:25" ht="63" customHeight="1">
      <c r="A634" s="1006">
        <v>516</v>
      </c>
      <c r="B634" s="1007" t="s">
        <v>2122</v>
      </c>
      <c r="C634" s="1008"/>
      <c r="D634" s="1008" t="s">
        <v>3930</v>
      </c>
      <c r="E634" s="1007" t="s">
        <v>2123</v>
      </c>
      <c r="F634" s="1010" t="s">
        <v>563</v>
      </c>
      <c r="G634" s="989">
        <f>104000-11512.87</f>
        <v>92487.13</v>
      </c>
      <c r="H634" s="937"/>
      <c r="I634" s="1046"/>
      <c r="J634" s="1046"/>
      <c r="K634" s="1047">
        <v>-9000</v>
      </c>
      <c r="L634" s="1046"/>
      <c r="M634" s="1094">
        <f>-11512.87+11512.87</f>
        <v>0</v>
      </c>
      <c r="N634" s="989">
        <f>G634+K634+M634</f>
        <v>83487.13</v>
      </c>
      <c r="O634" s="989">
        <v>0</v>
      </c>
      <c r="P634" s="989">
        <v>83487.13</v>
      </c>
      <c r="Q634" s="989">
        <f t="shared" si="67"/>
        <v>83487.13</v>
      </c>
      <c r="R634" s="989">
        <f t="shared" si="71"/>
        <v>100</v>
      </c>
      <c r="S634" s="1011">
        <v>0</v>
      </c>
      <c r="T634" s="989">
        <f t="shared" si="68"/>
        <v>0</v>
      </c>
      <c r="U634" s="989">
        <f t="shared" si="69"/>
        <v>83487.13</v>
      </c>
      <c r="V634" s="989">
        <f t="shared" si="70"/>
        <v>100</v>
      </c>
      <c r="W634" s="989"/>
      <c r="X634" s="989">
        <f t="shared" si="66"/>
        <v>0</v>
      </c>
      <c r="Y634" s="1012"/>
    </row>
    <row r="635" spans="1:25" ht="63" customHeight="1">
      <c r="A635" s="1006">
        <v>517</v>
      </c>
      <c r="B635" s="1007" t="s">
        <v>2124</v>
      </c>
      <c r="C635" s="1008"/>
      <c r="D635" s="1008" t="s">
        <v>3931</v>
      </c>
      <c r="E635" s="1007" t="s">
        <v>2125</v>
      </c>
      <c r="F635" s="1010" t="s">
        <v>563</v>
      </c>
      <c r="G635" s="989">
        <f>104000-25000</f>
        <v>79000</v>
      </c>
      <c r="H635" s="937"/>
      <c r="I635" s="1046"/>
      <c r="J635" s="1046"/>
      <c r="K635" s="1047">
        <v>-9000</v>
      </c>
      <c r="L635" s="1046"/>
      <c r="M635" s="1094">
        <f>-25000+25000</f>
        <v>0</v>
      </c>
      <c r="N635" s="989">
        <f>G635+M635+K635</f>
        <v>70000</v>
      </c>
      <c r="O635" s="989">
        <v>0</v>
      </c>
      <c r="P635" s="989">
        <v>70000</v>
      </c>
      <c r="Q635" s="989">
        <f t="shared" si="67"/>
        <v>70000</v>
      </c>
      <c r="R635" s="989">
        <f t="shared" si="71"/>
        <v>100</v>
      </c>
      <c r="S635" s="1011">
        <v>0</v>
      </c>
      <c r="T635" s="989">
        <f t="shared" si="68"/>
        <v>0</v>
      </c>
      <c r="U635" s="989">
        <f t="shared" si="69"/>
        <v>70000</v>
      </c>
      <c r="V635" s="989">
        <f t="shared" si="70"/>
        <v>100</v>
      </c>
      <c r="W635" s="989"/>
      <c r="X635" s="989">
        <f t="shared" si="66"/>
        <v>0</v>
      </c>
      <c r="Y635" s="1012"/>
    </row>
    <row r="636" spans="1:25" ht="63" customHeight="1">
      <c r="A636" s="1006">
        <v>518</v>
      </c>
      <c r="B636" s="1007" t="s">
        <v>2126</v>
      </c>
      <c r="C636" s="1008"/>
      <c r="D636" s="1008" t="s">
        <v>3932</v>
      </c>
      <c r="E636" s="1007" t="s">
        <v>3114</v>
      </c>
      <c r="F636" s="1010" t="s">
        <v>586</v>
      </c>
      <c r="G636" s="989">
        <f>728000-11180</f>
        <v>716820</v>
      </c>
      <c r="H636" s="937"/>
      <c r="I636" s="1046"/>
      <c r="J636" s="1046"/>
      <c r="K636" s="1047"/>
      <c r="L636" s="1046"/>
      <c r="M636" s="1094">
        <f>-11180+11180</f>
        <v>0</v>
      </c>
      <c r="N636" s="989">
        <f>G636+M636</f>
        <v>716820</v>
      </c>
      <c r="O636" s="989">
        <v>508820</v>
      </c>
      <c r="P636" s="989">
        <v>208000</v>
      </c>
      <c r="Q636" s="989">
        <f t="shared" si="67"/>
        <v>716820</v>
      </c>
      <c r="R636" s="989">
        <f t="shared" si="71"/>
        <v>100</v>
      </c>
      <c r="S636" s="1011">
        <v>0</v>
      </c>
      <c r="T636" s="989">
        <f t="shared" si="68"/>
        <v>0</v>
      </c>
      <c r="U636" s="989">
        <f t="shared" si="69"/>
        <v>716820</v>
      </c>
      <c r="V636" s="989">
        <f t="shared" si="70"/>
        <v>100</v>
      </c>
      <c r="W636" s="989"/>
      <c r="X636" s="989">
        <f t="shared" si="66"/>
        <v>0</v>
      </c>
      <c r="Y636" s="1012"/>
    </row>
    <row r="637" spans="1:25" ht="63" customHeight="1">
      <c r="A637" s="1006">
        <v>519</v>
      </c>
      <c r="B637" s="1007" t="s">
        <v>2127</v>
      </c>
      <c r="C637" s="1008"/>
      <c r="D637" s="1008" t="s">
        <v>3933</v>
      </c>
      <c r="E637" s="1007" t="s">
        <v>2128</v>
      </c>
      <c r="F637" s="1010" t="s">
        <v>575</v>
      </c>
      <c r="G637" s="989">
        <f>45200-12955.4</f>
        <v>32244.6</v>
      </c>
      <c r="H637" s="937"/>
      <c r="I637" s="1046"/>
      <c r="J637" s="1046"/>
      <c r="K637" s="1047"/>
      <c r="L637" s="1046"/>
      <c r="M637" s="1094">
        <f>-12955.4+12955.4</f>
        <v>0</v>
      </c>
      <c r="N637" s="989">
        <f>G637+M637</f>
        <v>32244.6</v>
      </c>
      <c r="O637" s="989">
        <v>0</v>
      </c>
      <c r="P637" s="989">
        <v>32244.6</v>
      </c>
      <c r="Q637" s="989">
        <f t="shared" si="67"/>
        <v>32244.6</v>
      </c>
      <c r="R637" s="989">
        <f t="shared" si="71"/>
        <v>100</v>
      </c>
      <c r="S637" s="1011">
        <v>0</v>
      </c>
      <c r="T637" s="989">
        <f t="shared" si="68"/>
        <v>0</v>
      </c>
      <c r="U637" s="989">
        <f t="shared" si="69"/>
        <v>32244.6</v>
      </c>
      <c r="V637" s="989">
        <f t="shared" si="70"/>
        <v>100</v>
      </c>
      <c r="W637" s="989"/>
      <c r="X637" s="989">
        <f t="shared" si="66"/>
        <v>0</v>
      </c>
      <c r="Y637" s="1012"/>
    </row>
    <row r="638" spans="1:25" ht="63" customHeight="1">
      <c r="A638" s="1006">
        <v>520</v>
      </c>
      <c r="B638" s="1007" t="s">
        <v>4514</v>
      </c>
      <c r="C638" s="1008"/>
      <c r="D638" s="1008" t="s">
        <v>4515</v>
      </c>
      <c r="E638" s="1007" t="s">
        <v>4395</v>
      </c>
      <c r="F638" s="1010" t="s">
        <v>344</v>
      </c>
      <c r="G638" s="989"/>
      <c r="H638" s="937"/>
      <c r="I638" s="1046"/>
      <c r="J638" s="1046"/>
      <c r="K638" s="1047"/>
      <c r="L638" s="1046"/>
      <c r="M638" s="1094"/>
      <c r="N638" s="989"/>
      <c r="O638" s="989">
        <v>0</v>
      </c>
      <c r="P638" s="989">
        <v>0</v>
      </c>
      <c r="Q638" s="989">
        <f t="shared" si="67"/>
        <v>0</v>
      </c>
      <c r="R638" s="989" t="e">
        <f t="shared" si="71"/>
        <v>#DIV/0!</v>
      </c>
      <c r="S638" s="1011">
        <v>0</v>
      </c>
      <c r="T638" s="989">
        <v>0</v>
      </c>
      <c r="U638" s="989">
        <f t="shared" si="69"/>
        <v>0</v>
      </c>
      <c r="V638" s="989">
        <v>0</v>
      </c>
      <c r="W638" s="989"/>
      <c r="X638" s="989">
        <f t="shared" si="66"/>
        <v>0</v>
      </c>
      <c r="Y638" s="1012"/>
    </row>
    <row r="639" spans="1:25" ht="63" customHeight="1">
      <c r="A639" s="1006">
        <v>521</v>
      </c>
      <c r="B639" s="1007" t="s">
        <v>2129</v>
      </c>
      <c r="C639" s="1008"/>
      <c r="D639" s="1008" t="s">
        <v>3934</v>
      </c>
      <c r="E639" s="1007" t="s">
        <v>4350</v>
      </c>
      <c r="F639" s="1010" t="s">
        <v>547</v>
      </c>
      <c r="G639" s="989">
        <f>135600-20439</f>
        <v>115161</v>
      </c>
      <c r="H639" s="937"/>
      <c r="I639" s="1046"/>
      <c r="J639" s="1046"/>
      <c r="K639" s="1047">
        <f>-25065</f>
        <v>-25065</v>
      </c>
      <c r="L639" s="1046"/>
      <c r="M639" s="1094">
        <f>-20439+20439</f>
        <v>0</v>
      </c>
      <c r="N639" s="989">
        <f>G639+K639+M639</f>
        <v>90096</v>
      </c>
      <c r="O639" s="989">
        <v>0</v>
      </c>
      <c r="P639" s="989">
        <v>90096</v>
      </c>
      <c r="Q639" s="989">
        <f t="shared" si="67"/>
        <v>90096</v>
      </c>
      <c r="R639" s="989">
        <f t="shared" si="71"/>
        <v>100</v>
      </c>
      <c r="S639" s="1011">
        <v>0</v>
      </c>
      <c r="T639" s="989">
        <f t="shared" si="68"/>
        <v>0</v>
      </c>
      <c r="U639" s="989">
        <f t="shared" si="69"/>
        <v>90096</v>
      </c>
      <c r="V639" s="989">
        <f t="shared" si="70"/>
        <v>100</v>
      </c>
      <c r="W639" s="989"/>
      <c r="X639" s="989">
        <f t="shared" si="66"/>
        <v>0</v>
      </c>
      <c r="Y639" s="1012"/>
    </row>
    <row r="640" spans="1:25" ht="63" customHeight="1">
      <c r="A640" s="1006">
        <v>522</v>
      </c>
      <c r="B640" s="1007" t="s">
        <v>2130</v>
      </c>
      <c r="C640" s="1008"/>
      <c r="D640" s="1008" t="s">
        <v>3935</v>
      </c>
      <c r="E640" s="1007" t="s">
        <v>4351</v>
      </c>
      <c r="F640" s="1010" t="s">
        <v>547</v>
      </c>
      <c r="G640" s="989">
        <v>135600</v>
      </c>
      <c r="H640" s="937"/>
      <c r="I640" s="1046"/>
      <c r="J640" s="1046"/>
      <c r="K640" s="1047">
        <v>-25065</v>
      </c>
      <c r="L640" s="1046"/>
      <c r="M640" s="1094"/>
      <c r="N640" s="989">
        <f>135600+K640</f>
        <v>110535</v>
      </c>
      <c r="O640" s="989">
        <v>0</v>
      </c>
      <c r="P640" s="989">
        <v>110535</v>
      </c>
      <c r="Q640" s="989">
        <f t="shared" si="67"/>
        <v>110535</v>
      </c>
      <c r="R640" s="989">
        <f t="shared" si="71"/>
        <v>100</v>
      </c>
      <c r="S640" s="1011">
        <v>0</v>
      </c>
      <c r="T640" s="989">
        <f t="shared" si="68"/>
        <v>0</v>
      </c>
      <c r="U640" s="989">
        <f t="shared" si="69"/>
        <v>110535</v>
      </c>
      <c r="V640" s="989">
        <f t="shared" si="70"/>
        <v>100</v>
      </c>
      <c r="W640" s="989"/>
      <c r="X640" s="989">
        <f t="shared" si="66"/>
        <v>0</v>
      </c>
      <c r="Y640" s="1012"/>
    </row>
    <row r="641" spans="1:25" ht="63" customHeight="1">
      <c r="A641" s="1006">
        <v>523</v>
      </c>
      <c r="B641" s="1007" t="s">
        <v>2131</v>
      </c>
      <c r="C641" s="1008"/>
      <c r="D641" s="1008" t="s">
        <v>3936</v>
      </c>
      <c r="E641" s="1007" t="s">
        <v>2132</v>
      </c>
      <c r="F641" s="1010" t="s">
        <v>1179</v>
      </c>
      <c r="G641" s="989">
        <f>45200-11571</f>
        <v>33629</v>
      </c>
      <c r="H641" s="937"/>
      <c r="I641" s="1046"/>
      <c r="J641" s="1046"/>
      <c r="K641" s="1047"/>
      <c r="L641" s="1046"/>
      <c r="M641" s="1094">
        <f>-11571+11571</f>
        <v>0</v>
      </c>
      <c r="N641" s="989">
        <f>G641+M641</f>
        <v>33629</v>
      </c>
      <c r="O641" s="989">
        <v>0</v>
      </c>
      <c r="P641" s="989">
        <v>33629</v>
      </c>
      <c r="Q641" s="989">
        <f t="shared" si="67"/>
        <v>33629</v>
      </c>
      <c r="R641" s="989">
        <f t="shared" si="71"/>
        <v>100</v>
      </c>
      <c r="S641" s="1011">
        <v>0</v>
      </c>
      <c r="T641" s="989">
        <f t="shared" si="68"/>
        <v>0</v>
      </c>
      <c r="U641" s="989">
        <f t="shared" si="69"/>
        <v>33629</v>
      </c>
      <c r="V641" s="989">
        <f t="shared" si="70"/>
        <v>100</v>
      </c>
      <c r="W641" s="989"/>
      <c r="X641" s="989">
        <f t="shared" si="66"/>
        <v>0</v>
      </c>
      <c r="Y641" s="1012"/>
    </row>
    <row r="642" spans="1:25" ht="63" customHeight="1">
      <c r="A642" s="1006">
        <v>524</v>
      </c>
      <c r="B642" s="1007" t="s">
        <v>2133</v>
      </c>
      <c r="C642" s="1008"/>
      <c r="D642" s="1008" t="s">
        <v>3937</v>
      </c>
      <c r="E642" s="1007" t="s">
        <v>2134</v>
      </c>
      <c r="F642" s="1010" t="s">
        <v>586</v>
      </c>
      <c r="G642" s="989">
        <f>104000-26800</f>
        <v>77200</v>
      </c>
      <c r="H642" s="937"/>
      <c r="I642" s="1046"/>
      <c r="J642" s="1046"/>
      <c r="K642" s="1047"/>
      <c r="L642" s="1046"/>
      <c r="M642" s="1094">
        <f>-26800+26800</f>
        <v>0</v>
      </c>
      <c r="N642" s="989">
        <f>G642+M642</f>
        <v>77200</v>
      </c>
      <c r="O642" s="989">
        <v>77200</v>
      </c>
      <c r="P642" s="989">
        <v>0</v>
      </c>
      <c r="Q642" s="989">
        <f t="shared" si="67"/>
        <v>77200</v>
      </c>
      <c r="R642" s="989">
        <f t="shared" si="71"/>
        <v>100</v>
      </c>
      <c r="S642" s="1011">
        <v>0</v>
      </c>
      <c r="T642" s="989">
        <f t="shared" si="68"/>
        <v>0</v>
      </c>
      <c r="U642" s="989">
        <f t="shared" si="69"/>
        <v>77200</v>
      </c>
      <c r="V642" s="989">
        <f t="shared" si="70"/>
        <v>100</v>
      </c>
      <c r="W642" s="989"/>
      <c r="X642" s="989">
        <f t="shared" si="66"/>
        <v>0</v>
      </c>
      <c r="Y642" s="1012"/>
    </row>
    <row r="643" spans="1:25" ht="63" customHeight="1">
      <c r="A643" s="1006">
        <v>525</v>
      </c>
      <c r="B643" s="1007" t="s">
        <v>2135</v>
      </c>
      <c r="C643" s="1008"/>
      <c r="D643" s="1008" t="s">
        <v>3938</v>
      </c>
      <c r="E643" s="1007" t="s">
        <v>2136</v>
      </c>
      <c r="F643" s="1010" t="s">
        <v>1179</v>
      </c>
      <c r="G643" s="989">
        <f>45200-17931.07</f>
        <v>27268.93</v>
      </c>
      <c r="H643" s="937"/>
      <c r="I643" s="1046"/>
      <c r="J643" s="1046"/>
      <c r="K643" s="1047"/>
      <c r="L643" s="1046"/>
      <c r="M643" s="1094">
        <f>-17931.07+17931.07</f>
        <v>0</v>
      </c>
      <c r="N643" s="989">
        <f>G643+M643</f>
        <v>27268.93</v>
      </c>
      <c r="O643" s="989">
        <v>0</v>
      </c>
      <c r="P643" s="989">
        <v>27268.93</v>
      </c>
      <c r="Q643" s="989">
        <f t="shared" si="67"/>
        <v>27268.93</v>
      </c>
      <c r="R643" s="989">
        <f t="shared" si="71"/>
        <v>100</v>
      </c>
      <c r="S643" s="1011">
        <v>0</v>
      </c>
      <c r="T643" s="989">
        <f t="shared" si="68"/>
        <v>0</v>
      </c>
      <c r="U643" s="989">
        <f t="shared" si="69"/>
        <v>27268.93</v>
      </c>
      <c r="V643" s="989">
        <f t="shared" si="70"/>
        <v>100</v>
      </c>
      <c r="W643" s="989"/>
      <c r="X643" s="989">
        <f t="shared" si="66"/>
        <v>0</v>
      </c>
      <c r="Y643" s="1012"/>
    </row>
    <row r="644" spans="1:25" ht="63" customHeight="1">
      <c r="A644" s="1006">
        <v>526</v>
      </c>
      <c r="B644" s="1007" t="s">
        <v>2137</v>
      </c>
      <c r="C644" s="1008"/>
      <c r="D644" s="1008" t="s">
        <v>3939</v>
      </c>
      <c r="E644" s="1007" t="s">
        <v>2138</v>
      </c>
      <c r="F644" s="1010" t="s">
        <v>1179</v>
      </c>
      <c r="G644" s="989">
        <v>45200</v>
      </c>
      <c r="H644" s="937"/>
      <c r="I644" s="1046"/>
      <c r="J644" s="1046"/>
      <c r="K644" s="1047">
        <v>-17027.400000000001</v>
      </c>
      <c r="L644" s="1046"/>
      <c r="M644" s="1094">
        <f>-17027.4+17027.4</f>
        <v>0</v>
      </c>
      <c r="N644" s="989">
        <f>45200+M644+K644</f>
        <v>28172.6</v>
      </c>
      <c r="O644" s="989">
        <v>0</v>
      </c>
      <c r="P644" s="989">
        <v>28172.6</v>
      </c>
      <c r="Q644" s="989">
        <f t="shared" si="67"/>
        <v>28172.6</v>
      </c>
      <c r="R644" s="989">
        <f t="shared" si="71"/>
        <v>100</v>
      </c>
      <c r="S644" s="1011">
        <v>0</v>
      </c>
      <c r="T644" s="989">
        <f t="shared" si="68"/>
        <v>0</v>
      </c>
      <c r="U644" s="989">
        <f t="shared" si="69"/>
        <v>28172.6</v>
      </c>
      <c r="V644" s="989">
        <f t="shared" si="70"/>
        <v>100</v>
      </c>
      <c r="W644" s="989"/>
      <c r="X644" s="989">
        <f t="shared" si="66"/>
        <v>0</v>
      </c>
      <c r="Y644" s="1012"/>
    </row>
    <row r="645" spans="1:25" ht="63" customHeight="1">
      <c r="A645" s="1006">
        <v>527</v>
      </c>
      <c r="B645" s="1007" t="s">
        <v>2139</v>
      </c>
      <c r="C645" s="1008"/>
      <c r="D645" s="1008" t="s">
        <v>3940</v>
      </c>
      <c r="E645" s="1007" t="s">
        <v>2140</v>
      </c>
      <c r="F645" s="1010" t="s">
        <v>1179</v>
      </c>
      <c r="G645" s="989">
        <f>45200+2771.31</f>
        <v>47971.31</v>
      </c>
      <c r="H645" s="937"/>
      <c r="I645" s="1046"/>
      <c r="J645" s="1046"/>
      <c r="K645" s="1047">
        <v>-5542.62</v>
      </c>
      <c r="L645" s="1046"/>
      <c r="M645" s="1094">
        <f>-2771.31+2771.31</f>
        <v>0</v>
      </c>
      <c r="N645" s="989">
        <f>G645+M645+K645</f>
        <v>42428.689999999995</v>
      </c>
      <c r="O645" s="989">
        <v>0</v>
      </c>
      <c r="P645" s="989">
        <v>42428.69</v>
      </c>
      <c r="Q645" s="989">
        <f t="shared" si="67"/>
        <v>42428.69</v>
      </c>
      <c r="R645" s="989">
        <f t="shared" si="71"/>
        <v>100.00000000000003</v>
      </c>
      <c r="S645" s="1011">
        <v>0</v>
      </c>
      <c r="T645" s="989">
        <f t="shared" si="68"/>
        <v>0</v>
      </c>
      <c r="U645" s="989">
        <f t="shared" si="69"/>
        <v>42428.69</v>
      </c>
      <c r="V645" s="989">
        <f t="shared" si="70"/>
        <v>100.00000000000003</v>
      </c>
      <c r="W645" s="989"/>
      <c r="X645" s="989">
        <f t="shared" si="66"/>
        <v>0</v>
      </c>
      <c r="Y645" s="1012"/>
    </row>
    <row r="646" spans="1:25" ht="63" customHeight="1">
      <c r="A646" s="1006">
        <v>528</v>
      </c>
      <c r="B646" s="1007" t="s">
        <v>2141</v>
      </c>
      <c r="C646" s="1008"/>
      <c r="D646" s="1008" t="s">
        <v>3941</v>
      </c>
      <c r="E646" s="1007" t="s">
        <v>2142</v>
      </c>
      <c r="F646" s="1010" t="s">
        <v>1179</v>
      </c>
      <c r="G646" s="989">
        <f>90400-41180.7</f>
        <v>49219.3</v>
      </c>
      <c r="H646" s="937"/>
      <c r="I646" s="1046"/>
      <c r="J646" s="1046"/>
      <c r="K646" s="1047"/>
      <c r="L646" s="1046"/>
      <c r="M646" s="1094">
        <f>-41180.7+41180.7</f>
        <v>0</v>
      </c>
      <c r="N646" s="989">
        <f t="shared" ref="N646:N652" si="72">G646+M646</f>
        <v>49219.3</v>
      </c>
      <c r="O646" s="989">
        <v>0</v>
      </c>
      <c r="P646" s="989">
        <v>49219.3</v>
      </c>
      <c r="Q646" s="989">
        <f t="shared" si="67"/>
        <v>49219.3</v>
      </c>
      <c r="R646" s="989">
        <f t="shared" si="71"/>
        <v>100</v>
      </c>
      <c r="S646" s="1011">
        <v>0</v>
      </c>
      <c r="T646" s="989">
        <f t="shared" si="68"/>
        <v>0</v>
      </c>
      <c r="U646" s="989">
        <f t="shared" si="69"/>
        <v>49219.3</v>
      </c>
      <c r="V646" s="989">
        <f t="shared" si="70"/>
        <v>100</v>
      </c>
      <c r="W646" s="989"/>
      <c r="X646" s="989">
        <f t="shared" si="66"/>
        <v>0</v>
      </c>
      <c r="Y646" s="1012"/>
    </row>
    <row r="647" spans="1:25" ht="63" customHeight="1">
      <c r="A647" s="1006">
        <v>529</v>
      </c>
      <c r="B647" s="1007" t="s">
        <v>2143</v>
      </c>
      <c r="C647" s="1008"/>
      <c r="D647" s="1008" t="s">
        <v>3942</v>
      </c>
      <c r="E647" s="1007" t="s">
        <v>2144</v>
      </c>
      <c r="F647" s="1010" t="s">
        <v>1179</v>
      </c>
      <c r="G647" s="989">
        <f>45200-3298.4</f>
        <v>41901.599999999999</v>
      </c>
      <c r="H647" s="937"/>
      <c r="I647" s="1046"/>
      <c r="J647" s="1046"/>
      <c r="K647" s="1047"/>
      <c r="L647" s="1046"/>
      <c r="M647" s="1094">
        <f>-3298.4+3298.4</f>
        <v>0</v>
      </c>
      <c r="N647" s="989">
        <f t="shared" si="72"/>
        <v>41901.599999999999</v>
      </c>
      <c r="O647" s="989">
        <v>0</v>
      </c>
      <c r="P647" s="989">
        <v>41901.599999999999</v>
      </c>
      <c r="Q647" s="989">
        <f t="shared" si="67"/>
        <v>41901.599999999999</v>
      </c>
      <c r="R647" s="989">
        <f t="shared" si="71"/>
        <v>100</v>
      </c>
      <c r="S647" s="1011">
        <v>0</v>
      </c>
      <c r="T647" s="989">
        <f t="shared" si="68"/>
        <v>0</v>
      </c>
      <c r="U647" s="989">
        <f t="shared" si="69"/>
        <v>41901.599999999999</v>
      </c>
      <c r="V647" s="989">
        <f t="shared" si="70"/>
        <v>100</v>
      </c>
      <c r="W647" s="989"/>
      <c r="X647" s="989">
        <f t="shared" si="66"/>
        <v>0</v>
      </c>
      <c r="Y647" s="1012"/>
    </row>
    <row r="648" spans="1:25" ht="63" customHeight="1">
      <c r="A648" s="1006">
        <v>530</v>
      </c>
      <c r="B648" s="1007" t="s">
        <v>2145</v>
      </c>
      <c r="C648" s="1008"/>
      <c r="D648" s="1008" t="s">
        <v>3943</v>
      </c>
      <c r="E648" s="1007" t="s">
        <v>2146</v>
      </c>
      <c r="F648" s="1010" t="s">
        <v>1179</v>
      </c>
      <c r="G648" s="989">
        <f>90400-28140.43</f>
        <v>62259.57</v>
      </c>
      <c r="H648" s="937"/>
      <c r="I648" s="1046"/>
      <c r="J648" s="1046"/>
      <c r="K648" s="1047"/>
      <c r="L648" s="1046"/>
      <c r="M648" s="1094">
        <f>-28140.43+28140.43</f>
        <v>0</v>
      </c>
      <c r="N648" s="989">
        <f t="shared" si="72"/>
        <v>62259.57</v>
      </c>
      <c r="O648" s="989">
        <v>0</v>
      </c>
      <c r="P648" s="989">
        <v>62259.57</v>
      </c>
      <c r="Q648" s="989">
        <f t="shared" si="67"/>
        <v>62259.57</v>
      </c>
      <c r="R648" s="989">
        <f t="shared" si="71"/>
        <v>100</v>
      </c>
      <c r="S648" s="1011">
        <v>0</v>
      </c>
      <c r="T648" s="989">
        <f t="shared" si="68"/>
        <v>0</v>
      </c>
      <c r="U648" s="989">
        <f t="shared" si="69"/>
        <v>62259.57</v>
      </c>
      <c r="V648" s="989">
        <f t="shared" si="70"/>
        <v>100</v>
      </c>
      <c r="W648" s="989"/>
      <c r="X648" s="989">
        <f t="shared" si="66"/>
        <v>0</v>
      </c>
      <c r="Y648" s="1012"/>
    </row>
    <row r="649" spans="1:25" ht="63" customHeight="1">
      <c r="A649" s="1006">
        <v>531</v>
      </c>
      <c r="B649" s="1007" t="s">
        <v>2147</v>
      </c>
      <c r="C649" s="1008"/>
      <c r="D649" s="1008" t="s">
        <v>3944</v>
      </c>
      <c r="E649" s="1007" t="s">
        <v>2148</v>
      </c>
      <c r="F649" s="1010" t="s">
        <v>1179</v>
      </c>
      <c r="G649" s="989">
        <f>45200-27231.31</f>
        <v>17968.689999999999</v>
      </c>
      <c r="H649" s="937"/>
      <c r="I649" s="1046"/>
      <c r="J649" s="1046"/>
      <c r="K649" s="1047"/>
      <c r="L649" s="1046"/>
      <c r="M649" s="1094">
        <f>-27231.31+27231.31</f>
        <v>0</v>
      </c>
      <c r="N649" s="989">
        <f t="shared" si="72"/>
        <v>17968.689999999999</v>
      </c>
      <c r="O649" s="989">
        <v>0</v>
      </c>
      <c r="P649" s="989">
        <v>17968.689999999999</v>
      </c>
      <c r="Q649" s="989">
        <f t="shared" si="67"/>
        <v>17968.689999999999</v>
      </c>
      <c r="R649" s="989">
        <f t="shared" si="71"/>
        <v>100</v>
      </c>
      <c r="S649" s="1011">
        <v>0</v>
      </c>
      <c r="T649" s="989">
        <f t="shared" si="68"/>
        <v>0</v>
      </c>
      <c r="U649" s="989">
        <f t="shared" si="69"/>
        <v>17968.689999999999</v>
      </c>
      <c r="V649" s="989">
        <f t="shared" si="70"/>
        <v>100</v>
      </c>
      <c r="W649" s="989"/>
      <c r="X649" s="989">
        <f t="shared" si="66"/>
        <v>0</v>
      </c>
      <c r="Y649" s="1012"/>
    </row>
    <row r="650" spans="1:25" ht="63" customHeight="1">
      <c r="A650" s="1006">
        <v>532</v>
      </c>
      <c r="B650" s="1007" t="s">
        <v>2149</v>
      </c>
      <c r="C650" s="1008"/>
      <c r="D650" s="1008" t="s">
        <v>3945</v>
      </c>
      <c r="E650" s="1007" t="s">
        <v>2150</v>
      </c>
      <c r="F650" s="1010" t="s">
        <v>2982</v>
      </c>
      <c r="G650" s="989">
        <f>271200-119760</f>
        <v>151440</v>
      </c>
      <c r="H650" s="937"/>
      <c r="I650" s="1046"/>
      <c r="J650" s="1046"/>
      <c r="K650" s="1047"/>
      <c r="L650" s="1046"/>
      <c r="M650" s="1094">
        <f>-12770-106990+119760</f>
        <v>0</v>
      </c>
      <c r="N650" s="989">
        <f t="shared" si="72"/>
        <v>151440</v>
      </c>
      <c r="O650" s="989">
        <v>0</v>
      </c>
      <c r="P650" s="989">
        <v>151440</v>
      </c>
      <c r="Q650" s="989">
        <f t="shared" si="67"/>
        <v>151440</v>
      </c>
      <c r="R650" s="989">
        <f t="shared" si="71"/>
        <v>100</v>
      </c>
      <c r="S650" s="1011">
        <v>0</v>
      </c>
      <c r="T650" s="989">
        <f t="shared" si="68"/>
        <v>0</v>
      </c>
      <c r="U650" s="989">
        <f t="shared" si="69"/>
        <v>151440</v>
      </c>
      <c r="V650" s="989">
        <f t="shared" si="70"/>
        <v>100</v>
      </c>
      <c r="W650" s="989"/>
      <c r="X650" s="989">
        <f t="shared" si="66"/>
        <v>0</v>
      </c>
      <c r="Y650" s="1012"/>
    </row>
    <row r="651" spans="1:25" ht="63" customHeight="1">
      <c r="A651" s="1006">
        <v>533</v>
      </c>
      <c r="B651" s="1007" t="s">
        <v>2151</v>
      </c>
      <c r="C651" s="1008"/>
      <c r="D651" s="1008" t="s">
        <v>3946</v>
      </c>
      <c r="E651" s="1007" t="s">
        <v>2152</v>
      </c>
      <c r="F651" s="1010" t="s">
        <v>2982</v>
      </c>
      <c r="G651" s="989">
        <f>226000-92800</f>
        <v>133200</v>
      </c>
      <c r="H651" s="937"/>
      <c r="I651" s="1046"/>
      <c r="J651" s="1046"/>
      <c r="K651" s="1047"/>
      <c r="L651" s="1046"/>
      <c r="M651" s="1094">
        <f>-87300-5500+92800</f>
        <v>0</v>
      </c>
      <c r="N651" s="989">
        <f t="shared" si="72"/>
        <v>133200</v>
      </c>
      <c r="O651" s="989">
        <v>0</v>
      </c>
      <c r="P651" s="989">
        <v>133200</v>
      </c>
      <c r="Q651" s="989">
        <f t="shared" si="67"/>
        <v>133200</v>
      </c>
      <c r="R651" s="989">
        <f t="shared" si="71"/>
        <v>100</v>
      </c>
      <c r="S651" s="1011">
        <v>0</v>
      </c>
      <c r="T651" s="989">
        <f t="shared" si="68"/>
        <v>0</v>
      </c>
      <c r="U651" s="989">
        <f t="shared" si="69"/>
        <v>133200</v>
      </c>
      <c r="V651" s="989">
        <f t="shared" si="70"/>
        <v>100</v>
      </c>
      <c r="W651" s="989"/>
      <c r="X651" s="989">
        <f t="shared" si="66"/>
        <v>0</v>
      </c>
      <c r="Y651" s="1012"/>
    </row>
    <row r="652" spans="1:25" ht="63" customHeight="1">
      <c r="A652" s="1006">
        <v>534</v>
      </c>
      <c r="B652" s="1007" t="s">
        <v>2153</v>
      </c>
      <c r="C652" s="1008"/>
      <c r="D652" s="1008" t="s">
        <v>3947</v>
      </c>
      <c r="E652" s="1007" t="s">
        <v>2154</v>
      </c>
      <c r="F652" s="1010" t="s">
        <v>2982</v>
      </c>
      <c r="G652" s="989">
        <f>45200-23700</f>
        <v>21500</v>
      </c>
      <c r="H652" s="937"/>
      <c r="I652" s="1046"/>
      <c r="J652" s="1046"/>
      <c r="K652" s="1047"/>
      <c r="L652" s="1046"/>
      <c r="M652" s="1094">
        <f>-23700+23700</f>
        <v>0</v>
      </c>
      <c r="N652" s="989">
        <f t="shared" si="72"/>
        <v>21500</v>
      </c>
      <c r="O652" s="989">
        <v>0</v>
      </c>
      <c r="P652" s="989">
        <v>21500</v>
      </c>
      <c r="Q652" s="989">
        <f t="shared" si="67"/>
        <v>21500</v>
      </c>
      <c r="R652" s="989">
        <f t="shared" si="71"/>
        <v>100</v>
      </c>
      <c r="S652" s="1011">
        <v>0</v>
      </c>
      <c r="T652" s="989">
        <f t="shared" si="68"/>
        <v>0</v>
      </c>
      <c r="U652" s="989">
        <f t="shared" si="69"/>
        <v>21500</v>
      </c>
      <c r="V652" s="989">
        <f t="shared" si="70"/>
        <v>100</v>
      </c>
      <c r="W652" s="989"/>
      <c r="X652" s="989">
        <f t="shared" si="66"/>
        <v>0</v>
      </c>
      <c r="Y652" s="1012"/>
    </row>
    <row r="653" spans="1:25" ht="63" customHeight="1">
      <c r="A653" s="1006">
        <v>535</v>
      </c>
      <c r="B653" s="1007" t="s">
        <v>2155</v>
      </c>
      <c r="C653" s="1008"/>
      <c r="D653" s="1008" t="s">
        <v>3948</v>
      </c>
      <c r="E653" s="1007" t="s">
        <v>2156</v>
      </c>
      <c r="F653" s="1010" t="s">
        <v>586</v>
      </c>
      <c r="G653" s="989">
        <v>104000</v>
      </c>
      <c r="H653" s="937"/>
      <c r="I653" s="1046"/>
      <c r="J653" s="1046"/>
      <c r="K653" s="1047"/>
      <c r="L653" s="1046"/>
      <c r="M653" s="1094"/>
      <c r="N653" s="989">
        <f>104000+M653</f>
        <v>104000</v>
      </c>
      <c r="O653" s="989">
        <v>0</v>
      </c>
      <c r="P653" s="989">
        <v>104000</v>
      </c>
      <c r="Q653" s="989">
        <f t="shared" si="67"/>
        <v>104000</v>
      </c>
      <c r="R653" s="989">
        <f t="shared" si="71"/>
        <v>100</v>
      </c>
      <c r="S653" s="1011">
        <v>0</v>
      </c>
      <c r="T653" s="989">
        <f t="shared" si="68"/>
        <v>0</v>
      </c>
      <c r="U653" s="989">
        <f t="shared" si="69"/>
        <v>104000</v>
      </c>
      <c r="V653" s="989">
        <f t="shared" si="70"/>
        <v>100</v>
      </c>
      <c r="W653" s="989"/>
      <c r="X653" s="989">
        <f t="shared" si="66"/>
        <v>0</v>
      </c>
      <c r="Y653" s="1012"/>
    </row>
    <row r="654" spans="1:25" ht="63" customHeight="1">
      <c r="A654" s="1006">
        <v>536</v>
      </c>
      <c r="B654" s="1007" t="s">
        <v>2157</v>
      </c>
      <c r="C654" s="1008"/>
      <c r="D654" s="1008" t="s">
        <v>3949</v>
      </c>
      <c r="E654" s="1007" t="s">
        <v>2158</v>
      </c>
      <c r="F654" s="1010" t="s">
        <v>2982</v>
      </c>
      <c r="G654" s="989">
        <f>316400-45480</f>
        <v>270920</v>
      </c>
      <c r="H654" s="937"/>
      <c r="I654" s="1046"/>
      <c r="J654" s="1046"/>
      <c r="K654" s="1047"/>
      <c r="L654" s="1046"/>
      <c r="M654" s="1094">
        <f>-45480+45480</f>
        <v>0</v>
      </c>
      <c r="N654" s="989">
        <f>G654+M654</f>
        <v>270920</v>
      </c>
      <c r="O654" s="989">
        <v>0</v>
      </c>
      <c r="P654" s="989">
        <v>270920</v>
      </c>
      <c r="Q654" s="989">
        <f t="shared" si="67"/>
        <v>270920</v>
      </c>
      <c r="R654" s="989">
        <f t="shared" si="71"/>
        <v>100</v>
      </c>
      <c r="S654" s="1011">
        <v>0</v>
      </c>
      <c r="T654" s="989">
        <f t="shared" si="68"/>
        <v>0</v>
      </c>
      <c r="U654" s="989">
        <f t="shared" si="69"/>
        <v>270920</v>
      </c>
      <c r="V654" s="989">
        <f t="shared" si="70"/>
        <v>100</v>
      </c>
      <c r="W654" s="989"/>
      <c r="X654" s="989">
        <f t="shared" si="66"/>
        <v>0</v>
      </c>
      <c r="Y654" s="1012"/>
    </row>
    <row r="655" spans="1:25" ht="63" customHeight="1">
      <c r="A655" s="1006">
        <v>537</v>
      </c>
      <c r="B655" s="1007" t="s">
        <v>2159</v>
      </c>
      <c r="C655" s="1008"/>
      <c r="D655" s="1008" t="s">
        <v>3950</v>
      </c>
      <c r="E655" s="1007" t="s">
        <v>2160</v>
      </c>
      <c r="F655" s="1010" t="s">
        <v>570</v>
      </c>
      <c r="G655" s="989">
        <f>45200-6900</f>
        <v>38300</v>
      </c>
      <c r="H655" s="937"/>
      <c r="I655" s="1046"/>
      <c r="J655" s="1046"/>
      <c r="K655" s="1047"/>
      <c r="L655" s="1046"/>
      <c r="M655" s="1094">
        <f>-6900+6900</f>
        <v>0</v>
      </c>
      <c r="N655" s="989">
        <f>G655+M655</f>
        <v>38300</v>
      </c>
      <c r="O655" s="989">
        <v>38300</v>
      </c>
      <c r="P655" s="989">
        <v>0</v>
      </c>
      <c r="Q655" s="989">
        <f t="shared" si="67"/>
        <v>38300</v>
      </c>
      <c r="R655" s="989">
        <f t="shared" si="71"/>
        <v>100</v>
      </c>
      <c r="S655" s="1011">
        <v>0</v>
      </c>
      <c r="T655" s="989">
        <f t="shared" si="68"/>
        <v>0</v>
      </c>
      <c r="U655" s="989">
        <f t="shared" si="69"/>
        <v>38300</v>
      </c>
      <c r="V655" s="989">
        <f t="shared" si="70"/>
        <v>100</v>
      </c>
      <c r="W655" s="989"/>
      <c r="X655" s="989">
        <f t="shared" si="66"/>
        <v>0</v>
      </c>
      <c r="Y655" s="1012"/>
    </row>
    <row r="656" spans="1:25" ht="63" customHeight="1">
      <c r="A656" s="1006">
        <v>538</v>
      </c>
      <c r="B656" s="1007" t="s">
        <v>2161</v>
      </c>
      <c r="C656" s="1008"/>
      <c r="D656" s="1008" t="s">
        <v>3951</v>
      </c>
      <c r="E656" s="1007" t="s">
        <v>2162</v>
      </c>
      <c r="F656" s="1010" t="s">
        <v>570</v>
      </c>
      <c r="G656" s="989">
        <v>90400</v>
      </c>
      <c r="H656" s="937"/>
      <c r="I656" s="1046"/>
      <c r="J656" s="1046"/>
      <c r="K656" s="1047"/>
      <c r="L656" s="1046"/>
      <c r="M656" s="1094"/>
      <c r="N656" s="989">
        <v>90400</v>
      </c>
      <c r="O656" s="989">
        <v>90400</v>
      </c>
      <c r="P656" s="989"/>
      <c r="Q656" s="989">
        <f t="shared" si="67"/>
        <v>90400</v>
      </c>
      <c r="R656" s="989">
        <f t="shared" si="71"/>
        <v>100</v>
      </c>
      <c r="S656" s="1011"/>
      <c r="T656" s="989">
        <f t="shared" si="68"/>
        <v>0</v>
      </c>
      <c r="U656" s="989">
        <f t="shared" si="69"/>
        <v>90400</v>
      </c>
      <c r="V656" s="989">
        <f t="shared" si="70"/>
        <v>100</v>
      </c>
      <c r="W656" s="989"/>
      <c r="X656" s="989">
        <f t="shared" si="66"/>
        <v>0</v>
      </c>
      <c r="Y656" s="1012"/>
    </row>
    <row r="657" spans="1:25" ht="63" customHeight="1">
      <c r="A657" s="1006">
        <v>539</v>
      </c>
      <c r="B657" s="1007" t="s">
        <v>2930</v>
      </c>
      <c r="C657" s="1008"/>
      <c r="D657" s="1008" t="s">
        <v>3952</v>
      </c>
      <c r="E657" s="1007" t="s">
        <v>3115</v>
      </c>
      <c r="F657" s="1010" t="s">
        <v>586</v>
      </c>
      <c r="G657" s="989">
        <v>312000</v>
      </c>
      <c r="H657" s="937"/>
      <c r="I657" s="1046"/>
      <c r="J657" s="1046"/>
      <c r="K657" s="1047"/>
      <c r="L657" s="1046"/>
      <c r="M657" s="1094"/>
      <c r="N657" s="989">
        <v>312000</v>
      </c>
      <c r="O657" s="989">
        <v>312000</v>
      </c>
      <c r="P657" s="989"/>
      <c r="Q657" s="989">
        <f t="shared" si="67"/>
        <v>312000</v>
      </c>
      <c r="R657" s="989">
        <f t="shared" si="71"/>
        <v>100</v>
      </c>
      <c r="S657" s="1011"/>
      <c r="T657" s="989">
        <f t="shared" si="68"/>
        <v>0</v>
      </c>
      <c r="U657" s="989">
        <f t="shared" si="69"/>
        <v>312000</v>
      </c>
      <c r="V657" s="989">
        <f t="shared" si="70"/>
        <v>100</v>
      </c>
      <c r="W657" s="989"/>
      <c r="X657" s="989">
        <f t="shared" si="66"/>
        <v>0</v>
      </c>
      <c r="Y657" s="1012"/>
    </row>
    <row r="658" spans="1:25" ht="63" customHeight="1">
      <c r="A658" s="1006">
        <v>540</v>
      </c>
      <c r="B658" s="1007" t="s">
        <v>2163</v>
      </c>
      <c r="C658" s="1008"/>
      <c r="D658" s="1008" t="s">
        <v>3953</v>
      </c>
      <c r="E658" s="1007" t="s">
        <v>3282</v>
      </c>
      <c r="F658" s="1010" t="s">
        <v>2983</v>
      </c>
      <c r="G658" s="989">
        <f>45200-16200</f>
        <v>29000</v>
      </c>
      <c r="H658" s="937"/>
      <c r="I658" s="1046"/>
      <c r="J658" s="1046"/>
      <c r="K658" s="1047"/>
      <c r="L658" s="1046"/>
      <c r="M658" s="1094">
        <f>-16200+16200</f>
        <v>0</v>
      </c>
      <c r="N658" s="989">
        <f>G658+M658</f>
        <v>29000</v>
      </c>
      <c r="O658" s="989">
        <v>0</v>
      </c>
      <c r="P658" s="989">
        <v>29000</v>
      </c>
      <c r="Q658" s="989">
        <f t="shared" si="67"/>
        <v>29000</v>
      </c>
      <c r="R658" s="989">
        <f t="shared" si="71"/>
        <v>100</v>
      </c>
      <c r="S658" s="1011">
        <v>0</v>
      </c>
      <c r="T658" s="989">
        <f t="shared" si="68"/>
        <v>0</v>
      </c>
      <c r="U658" s="989">
        <f t="shared" si="69"/>
        <v>29000</v>
      </c>
      <c r="V658" s="989">
        <f t="shared" si="70"/>
        <v>100</v>
      </c>
      <c r="W658" s="989"/>
      <c r="X658" s="989">
        <f t="shared" si="66"/>
        <v>0</v>
      </c>
      <c r="Y658" s="1012"/>
    </row>
    <row r="659" spans="1:25" ht="63" customHeight="1">
      <c r="A659" s="1006">
        <v>541</v>
      </c>
      <c r="B659" s="1007" t="s">
        <v>2164</v>
      </c>
      <c r="C659" s="1008"/>
      <c r="D659" s="1008" t="s">
        <v>3954</v>
      </c>
      <c r="E659" s="1007" t="s">
        <v>2165</v>
      </c>
      <c r="F659" s="1010" t="s">
        <v>2983</v>
      </c>
      <c r="G659" s="989">
        <f>90400-19100</f>
        <v>71300</v>
      </c>
      <c r="H659" s="937"/>
      <c r="I659" s="1046"/>
      <c r="J659" s="1046"/>
      <c r="K659" s="1047"/>
      <c r="L659" s="1046"/>
      <c r="M659" s="1094">
        <f>-13600-5500+19100</f>
        <v>0</v>
      </c>
      <c r="N659" s="989">
        <f>G659+M659</f>
        <v>71300</v>
      </c>
      <c r="O659" s="989">
        <v>0</v>
      </c>
      <c r="P659" s="989">
        <v>71300</v>
      </c>
      <c r="Q659" s="989">
        <f t="shared" si="67"/>
        <v>71300</v>
      </c>
      <c r="R659" s="989">
        <f t="shared" si="71"/>
        <v>100</v>
      </c>
      <c r="S659" s="1011">
        <v>0</v>
      </c>
      <c r="T659" s="989">
        <f t="shared" si="68"/>
        <v>0</v>
      </c>
      <c r="U659" s="989">
        <f t="shared" si="69"/>
        <v>71300</v>
      </c>
      <c r="V659" s="989">
        <f t="shared" si="70"/>
        <v>100</v>
      </c>
      <c r="W659" s="989"/>
      <c r="X659" s="989">
        <f t="shared" si="66"/>
        <v>0</v>
      </c>
      <c r="Y659" s="1012"/>
    </row>
    <row r="660" spans="1:25" ht="63" customHeight="1">
      <c r="A660" s="1006">
        <v>542</v>
      </c>
      <c r="B660" s="1007" t="s">
        <v>2931</v>
      </c>
      <c r="C660" s="1008"/>
      <c r="D660" s="1008" t="s">
        <v>3955</v>
      </c>
      <c r="E660" s="1007" t="s">
        <v>2166</v>
      </c>
      <c r="F660" s="1010" t="s">
        <v>586</v>
      </c>
      <c r="G660" s="989">
        <f>520000-99063</f>
        <v>420937</v>
      </c>
      <c r="H660" s="937"/>
      <c r="I660" s="1046"/>
      <c r="J660" s="1046"/>
      <c r="K660" s="1047"/>
      <c r="L660" s="1046"/>
      <c r="M660" s="1094">
        <f>-99063+99063</f>
        <v>0</v>
      </c>
      <c r="N660" s="989">
        <f>G660+M660</f>
        <v>420937</v>
      </c>
      <c r="O660" s="989">
        <v>420937</v>
      </c>
      <c r="P660" s="989">
        <v>0</v>
      </c>
      <c r="Q660" s="989">
        <f t="shared" si="67"/>
        <v>420937</v>
      </c>
      <c r="R660" s="989">
        <f t="shared" si="71"/>
        <v>100</v>
      </c>
      <c r="S660" s="1011">
        <v>0</v>
      </c>
      <c r="T660" s="989">
        <f t="shared" si="68"/>
        <v>0</v>
      </c>
      <c r="U660" s="989">
        <f t="shared" si="69"/>
        <v>420937</v>
      </c>
      <c r="V660" s="989">
        <f t="shared" si="70"/>
        <v>100</v>
      </c>
      <c r="W660" s="989"/>
      <c r="X660" s="989">
        <f t="shared" si="66"/>
        <v>0</v>
      </c>
      <c r="Y660" s="1012"/>
    </row>
    <row r="661" spans="1:25" ht="63" customHeight="1">
      <c r="A661" s="1006">
        <v>543</v>
      </c>
      <c r="B661" s="1007" t="s">
        <v>2932</v>
      </c>
      <c r="C661" s="1008"/>
      <c r="D661" s="1008" t="s">
        <v>3956</v>
      </c>
      <c r="E661" s="1007" t="s">
        <v>2167</v>
      </c>
      <c r="F661" s="1010" t="s">
        <v>586</v>
      </c>
      <c r="G661" s="989">
        <f>416000-42262</f>
        <v>373738</v>
      </c>
      <c r="H661" s="937"/>
      <c r="I661" s="1046"/>
      <c r="J661" s="1046"/>
      <c r="K661" s="1047"/>
      <c r="L661" s="1046"/>
      <c r="M661" s="1094">
        <f>-42262+42262</f>
        <v>0</v>
      </c>
      <c r="N661" s="989">
        <f>G661+M661</f>
        <v>373738</v>
      </c>
      <c r="O661" s="989">
        <v>373738</v>
      </c>
      <c r="P661" s="989">
        <v>0</v>
      </c>
      <c r="Q661" s="989">
        <f t="shared" si="67"/>
        <v>373738</v>
      </c>
      <c r="R661" s="989">
        <f t="shared" si="71"/>
        <v>100</v>
      </c>
      <c r="S661" s="1011">
        <v>0</v>
      </c>
      <c r="T661" s="989">
        <f t="shared" si="68"/>
        <v>0</v>
      </c>
      <c r="U661" s="989">
        <f t="shared" si="69"/>
        <v>373738</v>
      </c>
      <c r="V661" s="989">
        <f t="shared" si="70"/>
        <v>100</v>
      </c>
      <c r="W661" s="989"/>
      <c r="X661" s="989">
        <f t="shared" si="66"/>
        <v>0</v>
      </c>
      <c r="Y661" s="1012"/>
    </row>
    <row r="662" spans="1:25" ht="63" customHeight="1">
      <c r="A662" s="1006">
        <v>544</v>
      </c>
      <c r="B662" s="1007" t="s">
        <v>2168</v>
      </c>
      <c r="C662" s="1008"/>
      <c r="D662" s="1008" t="s">
        <v>3957</v>
      </c>
      <c r="E662" s="1007" t="s">
        <v>2169</v>
      </c>
      <c r="F662" s="1010" t="s">
        <v>1187</v>
      </c>
      <c r="G662" s="989">
        <v>135600</v>
      </c>
      <c r="H662" s="937"/>
      <c r="I662" s="1046"/>
      <c r="J662" s="1046"/>
      <c r="K662" s="1047"/>
      <c r="L662" s="1046"/>
      <c r="M662" s="1094">
        <v>-25707</v>
      </c>
      <c r="N662" s="989">
        <f>135600+M662</f>
        <v>109893</v>
      </c>
      <c r="O662" s="989">
        <v>0</v>
      </c>
      <c r="P662" s="989">
        <v>109893</v>
      </c>
      <c r="Q662" s="989">
        <f t="shared" si="67"/>
        <v>109893</v>
      </c>
      <c r="R662" s="989">
        <f t="shared" si="71"/>
        <v>100</v>
      </c>
      <c r="S662" s="1011">
        <v>0</v>
      </c>
      <c r="T662" s="989">
        <f t="shared" si="68"/>
        <v>0</v>
      </c>
      <c r="U662" s="989">
        <f t="shared" si="69"/>
        <v>109893</v>
      </c>
      <c r="V662" s="989">
        <f t="shared" si="70"/>
        <v>100</v>
      </c>
      <c r="W662" s="989"/>
      <c r="X662" s="989">
        <f t="shared" si="66"/>
        <v>0</v>
      </c>
      <c r="Y662" s="1012"/>
    </row>
    <row r="663" spans="1:25" ht="63" customHeight="1">
      <c r="A663" s="1006">
        <v>545</v>
      </c>
      <c r="B663" s="1007" t="s">
        <v>2170</v>
      </c>
      <c r="C663" s="1008"/>
      <c r="D663" s="1008" t="s">
        <v>3958</v>
      </c>
      <c r="E663" s="1007" t="s">
        <v>2171</v>
      </c>
      <c r="F663" s="1010" t="s">
        <v>1187</v>
      </c>
      <c r="G663" s="989">
        <v>45200</v>
      </c>
      <c r="H663" s="937"/>
      <c r="I663" s="1046"/>
      <c r="J663" s="1046"/>
      <c r="K663" s="1047"/>
      <c r="L663" s="1046"/>
      <c r="M663" s="1094"/>
      <c r="N663" s="989">
        <v>45200</v>
      </c>
      <c r="O663" s="989">
        <v>45200</v>
      </c>
      <c r="P663" s="989"/>
      <c r="Q663" s="989">
        <f t="shared" si="67"/>
        <v>45200</v>
      </c>
      <c r="R663" s="989">
        <f t="shared" si="71"/>
        <v>100</v>
      </c>
      <c r="S663" s="1011"/>
      <c r="T663" s="989">
        <f t="shared" si="68"/>
        <v>0</v>
      </c>
      <c r="U663" s="989">
        <f t="shared" si="69"/>
        <v>45200</v>
      </c>
      <c r="V663" s="989">
        <f t="shared" si="70"/>
        <v>100</v>
      </c>
      <c r="W663" s="989"/>
      <c r="X663" s="989">
        <f t="shared" si="66"/>
        <v>0</v>
      </c>
      <c r="Y663" s="1012"/>
    </row>
    <row r="664" spans="1:25" ht="63" customHeight="1">
      <c r="A664" s="1006">
        <v>546</v>
      </c>
      <c r="B664" s="1007" t="s">
        <v>2172</v>
      </c>
      <c r="C664" s="1008"/>
      <c r="D664" s="1008" t="s">
        <v>3959</v>
      </c>
      <c r="E664" s="1007" t="s">
        <v>2173</v>
      </c>
      <c r="F664" s="1010" t="s">
        <v>586</v>
      </c>
      <c r="G664" s="989">
        <f>520000-122000</f>
        <v>398000</v>
      </c>
      <c r="H664" s="937"/>
      <c r="I664" s="1046"/>
      <c r="J664" s="1046"/>
      <c r="K664" s="1047">
        <v>-45000</v>
      </c>
      <c r="L664" s="1046"/>
      <c r="M664" s="1094">
        <f>-122000+122000</f>
        <v>0</v>
      </c>
      <c r="N664" s="989">
        <f>G664+M664+K664</f>
        <v>353000</v>
      </c>
      <c r="O664" s="989">
        <v>224000</v>
      </c>
      <c r="P664" s="989">
        <v>129000</v>
      </c>
      <c r="Q664" s="989">
        <f t="shared" si="67"/>
        <v>353000</v>
      </c>
      <c r="R664" s="989">
        <f t="shared" si="71"/>
        <v>100</v>
      </c>
      <c r="S664" s="1011">
        <v>0</v>
      </c>
      <c r="T664" s="989">
        <f t="shared" si="68"/>
        <v>0</v>
      </c>
      <c r="U664" s="989">
        <f t="shared" si="69"/>
        <v>353000</v>
      </c>
      <c r="V664" s="989">
        <f t="shared" si="70"/>
        <v>100</v>
      </c>
      <c r="W664" s="989"/>
      <c r="X664" s="989">
        <f t="shared" si="66"/>
        <v>0</v>
      </c>
      <c r="Y664" s="1012"/>
    </row>
    <row r="665" spans="1:25" ht="63" customHeight="1">
      <c r="A665" s="1006">
        <v>547</v>
      </c>
      <c r="B665" s="1007" t="s">
        <v>2174</v>
      </c>
      <c r="C665" s="1008"/>
      <c r="D665" s="1008" t="s">
        <v>3960</v>
      </c>
      <c r="E665" s="1007" t="s">
        <v>2175</v>
      </c>
      <c r="F665" s="1010" t="s">
        <v>1187</v>
      </c>
      <c r="G665" s="989">
        <v>45200</v>
      </c>
      <c r="H665" s="937"/>
      <c r="I665" s="1046"/>
      <c r="J665" s="1046"/>
      <c r="K665" s="1047"/>
      <c r="L665" s="1046"/>
      <c r="M665" s="1094"/>
      <c r="N665" s="989">
        <v>45200</v>
      </c>
      <c r="O665" s="989">
        <v>0</v>
      </c>
      <c r="P665" s="989">
        <v>45200</v>
      </c>
      <c r="Q665" s="989">
        <f t="shared" si="67"/>
        <v>45200</v>
      </c>
      <c r="R665" s="989">
        <f t="shared" si="71"/>
        <v>100</v>
      </c>
      <c r="S665" s="1011">
        <v>0</v>
      </c>
      <c r="T665" s="989">
        <f t="shared" si="68"/>
        <v>0</v>
      </c>
      <c r="U665" s="989">
        <f t="shared" si="69"/>
        <v>45200</v>
      </c>
      <c r="V665" s="989">
        <f t="shared" si="70"/>
        <v>100</v>
      </c>
      <c r="W665" s="989"/>
      <c r="X665" s="989">
        <f t="shared" si="66"/>
        <v>0</v>
      </c>
      <c r="Y665" s="1012"/>
    </row>
    <row r="666" spans="1:25" ht="63" customHeight="1">
      <c r="A666" s="1006">
        <v>548</v>
      </c>
      <c r="B666" s="1007" t="s">
        <v>4396</v>
      </c>
      <c r="C666" s="1008"/>
      <c r="D666" s="1008" t="s">
        <v>4397</v>
      </c>
      <c r="E666" s="1007" t="s">
        <v>4398</v>
      </c>
      <c r="F666" s="1010" t="s">
        <v>1187</v>
      </c>
      <c r="G666" s="989">
        <v>0</v>
      </c>
      <c r="H666" s="937"/>
      <c r="I666" s="1046"/>
      <c r="J666" s="1046"/>
      <c r="K666" s="1047"/>
      <c r="L666" s="1046"/>
      <c r="M666" s="1094"/>
      <c r="N666" s="989">
        <v>0</v>
      </c>
      <c r="O666" s="989">
        <v>0</v>
      </c>
      <c r="P666" s="989"/>
      <c r="Q666" s="989">
        <f t="shared" si="67"/>
        <v>0</v>
      </c>
      <c r="R666" s="989" t="e">
        <f t="shared" si="71"/>
        <v>#DIV/0!</v>
      </c>
      <c r="S666" s="1011"/>
      <c r="T666" s="989">
        <v>0</v>
      </c>
      <c r="U666" s="989">
        <f t="shared" si="69"/>
        <v>0</v>
      </c>
      <c r="V666" s="989">
        <v>0</v>
      </c>
      <c r="W666" s="989"/>
      <c r="X666" s="989">
        <f t="shared" si="66"/>
        <v>0</v>
      </c>
      <c r="Y666" s="1012"/>
    </row>
    <row r="667" spans="1:25" ht="63" customHeight="1">
      <c r="A667" s="1006">
        <v>549</v>
      </c>
      <c r="B667" s="1007" t="s">
        <v>2176</v>
      </c>
      <c r="C667" s="1008"/>
      <c r="D667" s="1008" t="s">
        <v>3961</v>
      </c>
      <c r="E667" s="1007" t="s">
        <v>2177</v>
      </c>
      <c r="F667" s="1010" t="s">
        <v>1187</v>
      </c>
      <c r="G667" s="989">
        <v>45200</v>
      </c>
      <c r="H667" s="937"/>
      <c r="I667" s="1046"/>
      <c r="J667" s="1046"/>
      <c r="K667" s="1047"/>
      <c r="L667" s="1046"/>
      <c r="M667" s="1094"/>
      <c r="N667" s="989">
        <v>45200</v>
      </c>
      <c r="O667" s="989">
        <v>0</v>
      </c>
      <c r="P667" s="989">
        <v>45200</v>
      </c>
      <c r="Q667" s="989">
        <f t="shared" si="67"/>
        <v>45200</v>
      </c>
      <c r="R667" s="989">
        <f t="shared" si="71"/>
        <v>100</v>
      </c>
      <c r="S667" s="1011">
        <v>0</v>
      </c>
      <c r="T667" s="989">
        <f t="shared" si="68"/>
        <v>0</v>
      </c>
      <c r="U667" s="989">
        <f t="shared" si="69"/>
        <v>45200</v>
      </c>
      <c r="V667" s="989">
        <f t="shared" si="70"/>
        <v>100</v>
      </c>
      <c r="W667" s="989"/>
      <c r="X667" s="989">
        <f t="shared" si="66"/>
        <v>0</v>
      </c>
      <c r="Y667" s="1012"/>
    </row>
    <row r="668" spans="1:25" ht="63" customHeight="1">
      <c r="A668" s="1006">
        <v>550</v>
      </c>
      <c r="B668" s="1007" t="s">
        <v>2178</v>
      </c>
      <c r="C668" s="1008"/>
      <c r="D668" s="1008" t="s">
        <v>3962</v>
      </c>
      <c r="E668" s="1007" t="s">
        <v>3173</v>
      </c>
      <c r="F668" s="1010" t="s">
        <v>1187</v>
      </c>
      <c r="G668" s="989">
        <v>316400</v>
      </c>
      <c r="H668" s="937"/>
      <c r="I668" s="1046"/>
      <c r="J668" s="1046"/>
      <c r="K668" s="1047">
        <v>-62200</v>
      </c>
      <c r="L668" s="1046"/>
      <c r="M668" s="1094">
        <v>-76362</v>
      </c>
      <c r="N668" s="989">
        <f>316400+K668+M668</f>
        <v>177838</v>
      </c>
      <c r="O668" s="989">
        <v>0</v>
      </c>
      <c r="P668" s="989">
        <v>177838</v>
      </c>
      <c r="Q668" s="989">
        <f t="shared" si="67"/>
        <v>177838</v>
      </c>
      <c r="R668" s="989">
        <f t="shared" si="71"/>
        <v>100</v>
      </c>
      <c r="S668" s="1011">
        <v>0</v>
      </c>
      <c r="T668" s="989">
        <f t="shared" si="68"/>
        <v>0</v>
      </c>
      <c r="U668" s="989">
        <f t="shared" si="69"/>
        <v>177838</v>
      </c>
      <c r="V668" s="989">
        <f t="shared" si="70"/>
        <v>100</v>
      </c>
      <c r="W668" s="989"/>
      <c r="X668" s="989">
        <f t="shared" si="66"/>
        <v>0</v>
      </c>
      <c r="Y668" s="1012"/>
    </row>
    <row r="669" spans="1:25" ht="63" customHeight="1">
      <c r="A669" s="1006">
        <v>551</v>
      </c>
      <c r="B669" s="1007" t="s">
        <v>2179</v>
      </c>
      <c r="C669" s="1008"/>
      <c r="D669" s="1008" t="s">
        <v>3963</v>
      </c>
      <c r="E669" s="1007" t="s">
        <v>2180</v>
      </c>
      <c r="F669" s="1010" t="s">
        <v>586</v>
      </c>
      <c r="G669" s="989">
        <f>104000-20819.2</f>
        <v>83180.800000000003</v>
      </c>
      <c r="H669" s="937"/>
      <c r="I669" s="1046"/>
      <c r="J669" s="1046"/>
      <c r="K669" s="1047"/>
      <c r="L669" s="1046"/>
      <c r="M669" s="1094">
        <f>-20819.2+20819.2</f>
        <v>0</v>
      </c>
      <c r="N669" s="989">
        <f>G669+M669</f>
        <v>83180.800000000003</v>
      </c>
      <c r="O669" s="989">
        <v>83180.800000000003</v>
      </c>
      <c r="P669" s="989">
        <v>0</v>
      </c>
      <c r="Q669" s="989">
        <f t="shared" si="67"/>
        <v>83180.800000000003</v>
      </c>
      <c r="R669" s="989">
        <f t="shared" si="71"/>
        <v>100</v>
      </c>
      <c r="S669" s="1011">
        <v>0</v>
      </c>
      <c r="T669" s="989">
        <f t="shared" si="68"/>
        <v>0</v>
      </c>
      <c r="U669" s="989">
        <f t="shared" si="69"/>
        <v>83180.800000000003</v>
      </c>
      <c r="V669" s="989">
        <f t="shared" si="70"/>
        <v>100</v>
      </c>
      <c r="W669" s="989"/>
      <c r="X669" s="989">
        <f t="shared" si="66"/>
        <v>0</v>
      </c>
      <c r="Y669" s="1012"/>
    </row>
    <row r="670" spans="1:25" ht="63" customHeight="1">
      <c r="A670" s="1006">
        <v>552</v>
      </c>
      <c r="B670" s="1007" t="s">
        <v>2181</v>
      </c>
      <c r="C670" s="1008"/>
      <c r="D670" s="1008" t="s">
        <v>3964</v>
      </c>
      <c r="E670" s="1007" t="s">
        <v>2182</v>
      </c>
      <c r="F670" s="1010" t="s">
        <v>1187</v>
      </c>
      <c r="G670" s="989">
        <v>135600</v>
      </c>
      <c r="H670" s="937"/>
      <c r="I670" s="1046"/>
      <c r="J670" s="1046"/>
      <c r="K670" s="1047"/>
      <c r="L670" s="1046"/>
      <c r="M670" s="1094"/>
      <c r="N670" s="989">
        <v>135600</v>
      </c>
      <c r="O670" s="989">
        <v>0</v>
      </c>
      <c r="P670" s="989">
        <v>135600</v>
      </c>
      <c r="Q670" s="989">
        <f t="shared" si="67"/>
        <v>135600</v>
      </c>
      <c r="R670" s="989">
        <f t="shared" si="71"/>
        <v>100</v>
      </c>
      <c r="S670" s="1011">
        <v>0</v>
      </c>
      <c r="T670" s="989">
        <f t="shared" si="68"/>
        <v>0</v>
      </c>
      <c r="U670" s="989">
        <f t="shared" si="69"/>
        <v>135600</v>
      </c>
      <c r="V670" s="989">
        <f t="shared" si="70"/>
        <v>100</v>
      </c>
      <c r="W670" s="989"/>
      <c r="X670" s="989">
        <f t="shared" si="66"/>
        <v>0</v>
      </c>
      <c r="Y670" s="1012"/>
    </row>
    <row r="671" spans="1:25" ht="63" customHeight="1">
      <c r="A671" s="1006">
        <v>553</v>
      </c>
      <c r="B671" s="1007" t="s">
        <v>2183</v>
      </c>
      <c r="C671" s="1008"/>
      <c r="D671" s="1008" t="s">
        <v>3965</v>
      </c>
      <c r="E671" s="1007" t="s">
        <v>2184</v>
      </c>
      <c r="F671" s="1010" t="s">
        <v>549</v>
      </c>
      <c r="G671" s="989">
        <v>624000</v>
      </c>
      <c r="H671" s="937"/>
      <c r="I671" s="1046"/>
      <c r="J671" s="1046"/>
      <c r="K671" s="1047"/>
      <c r="L671" s="1046"/>
      <c r="M671" s="1094">
        <v>-17868.349999999999</v>
      </c>
      <c r="N671" s="989">
        <f>624000+M671</f>
        <v>606131.65</v>
      </c>
      <c r="O671" s="989">
        <v>0</v>
      </c>
      <c r="P671" s="989">
        <v>606131.65</v>
      </c>
      <c r="Q671" s="989">
        <f t="shared" si="67"/>
        <v>606131.65</v>
      </c>
      <c r="R671" s="989">
        <f t="shared" si="71"/>
        <v>100</v>
      </c>
      <c r="S671" s="1011">
        <v>0</v>
      </c>
      <c r="T671" s="989">
        <f t="shared" si="68"/>
        <v>0</v>
      </c>
      <c r="U671" s="989">
        <f t="shared" si="69"/>
        <v>606131.65</v>
      </c>
      <c r="V671" s="989">
        <f t="shared" si="70"/>
        <v>100</v>
      </c>
      <c r="W671" s="989"/>
      <c r="X671" s="989">
        <f t="shared" si="66"/>
        <v>0</v>
      </c>
      <c r="Y671" s="1012"/>
    </row>
    <row r="672" spans="1:25" ht="63" customHeight="1">
      <c r="A672" s="1006">
        <v>554</v>
      </c>
      <c r="B672" s="1007" t="s">
        <v>2185</v>
      </c>
      <c r="C672" s="1008"/>
      <c r="D672" s="1008" t="s">
        <v>3966</v>
      </c>
      <c r="E672" s="1007" t="s">
        <v>2186</v>
      </c>
      <c r="F672" s="1010" t="s">
        <v>550</v>
      </c>
      <c r="G672" s="989">
        <v>90400</v>
      </c>
      <c r="H672" s="937"/>
      <c r="I672" s="1046"/>
      <c r="J672" s="1046"/>
      <c r="K672" s="1047"/>
      <c r="L672" s="1046"/>
      <c r="M672" s="1094"/>
      <c r="N672" s="989">
        <v>90400</v>
      </c>
      <c r="O672" s="989">
        <v>90400</v>
      </c>
      <c r="P672" s="989"/>
      <c r="Q672" s="989">
        <f t="shared" si="67"/>
        <v>90400</v>
      </c>
      <c r="R672" s="989">
        <f t="shared" si="71"/>
        <v>100</v>
      </c>
      <c r="S672" s="1011"/>
      <c r="T672" s="989">
        <f t="shared" si="68"/>
        <v>0</v>
      </c>
      <c r="U672" s="989">
        <f t="shared" si="69"/>
        <v>90400</v>
      </c>
      <c r="V672" s="989">
        <f t="shared" si="70"/>
        <v>100</v>
      </c>
      <c r="W672" s="989"/>
      <c r="X672" s="989">
        <f t="shared" si="66"/>
        <v>0</v>
      </c>
      <c r="Y672" s="1012"/>
    </row>
    <row r="673" spans="1:39" s="969" customFormat="1" ht="63" customHeight="1">
      <c r="A673" s="1006">
        <v>555</v>
      </c>
      <c r="B673" s="1007" t="s">
        <v>2187</v>
      </c>
      <c r="C673" s="1008"/>
      <c r="D673" s="1008" t="s">
        <v>3967</v>
      </c>
      <c r="E673" s="1007" t="s">
        <v>2188</v>
      </c>
      <c r="F673" s="1010" t="s">
        <v>549</v>
      </c>
      <c r="G673" s="989">
        <v>624000</v>
      </c>
      <c r="H673" s="937"/>
      <c r="I673" s="1046"/>
      <c r="J673" s="1046"/>
      <c r="K673" s="1047"/>
      <c r="L673" s="1046"/>
      <c r="M673" s="1094">
        <v>-12806</v>
      </c>
      <c r="N673" s="989">
        <f>624000+M673</f>
        <v>611194</v>
      </c>
      <c r="O673" s="989">
        <v>0</v>
      </c>
      <c r="P673" s="989">
        <v>611194</v>
      </c>
      <c r="Q673" s="989">
        <f t="shared" si="67"/>
        <v>611194</v>
      </c>
      <c r="R673" s="989">
        <f t="shared" si="71"/>
        <v>100</v>
      </c>
      <c r="S673" s="1011">
        <v>0</v>
      </c>
      <c r="T673" s="989">
        <f t="shared" si="68"/>
        <v>0</v>
      </c>
      <c r="U673" s="989">
        <f t="shared" si="69"/>
        <v>611194</v>
      </c>
      <c r="V673" s="989">
        <f t="shared" si="70"/>
        <v>100</v>
      </c>
      <c r="W673" s="989"/>
      <c r="X673" s="989">
        <f t="shared" si="66"/>
        <v>0</v>
      </c>
      <c r="Y673" s="1012"/>
      <c r="Z673" s="941"/>
      <c r="AA673" s="941"/>
      <c r="AB673" s="941"/>
      <c r="AC673" s="941"/>
      <c r="AD673" s="941"/>
      <c r="AE673" s="941"/>
      <c r="AF673" s="941"/>
      <c r="AG673" s="941"/>
      <c r="AH673" s="941"/>
      <c r="AI673" s="941"/>
      <c r="AJ673" s="941"/>
      <c r="AK673" s="941"/>
      <c r="AL673" s="941"/>
      <c r="AM673" s="941"/>
    </row>
    <row r="674" spans="1:39" s="969" customFormat="1" ht="63" customHeight="1">
      <c r="A674" s="1006">
        <v>556</v>
      </c>
      <c r="B674" s="1007" t="s">
        <v>2189</v>
      </c>
      <c r="C674" s="1008"/>
      <c r="D674" s="1008" t="s">
        <v>3968</v>
      </c>
      <c r="E674" s="1007" t="s">
        <v>2190</v>
      </c>
      <c r="F674" s="1010" t="s">
        <v>550</v>
      </c>
      <c r="G674" s="989">
        <v>180800</v>
      </c>
      <c r="H674" s="937"/>
      <c r="I674" s="1046"/>
      <c r="J674" s="1046"/>
      <c r="K674" s="1047"/>
      <c r="L674" s="1046"/>
      <c r="M674" s="1094"/>
      <c r="N674" s="989">
        <v>180800</v>
      </c>
      <c r="O674" s="989">
        <v>0</v>
      </c>
      <c r="P674" s="989">
        <v>180800</v>
      </c>
      <c r="Q674" s="989">
        <f t="shared" si="67"/>
        <v>180800</v>
      </c>
      <c r="R674" s="989">
        <f t="shared" si="71"/>
        <v>100</v>
      </c>
      <c r="S674" s="1011">
        <v>0</v>
      </c>
      <c r="T674" s="989">
        <f t="shared" si="68"/>
        <v>0</v>
      </c>
      <c r="U674" s="989">
        <f t="shared" si="69"/>
        <v>180800</v>
      </c>
      <c r="V674" s="989">
        <f t="shared" si="70"/>
        <v>100</v>
      </c>
      <c r="W674" s="989"/>
      <c r="X674" s="989">
        <f t="shared" si="66"/>
        <v>0</v>
      </c>
      <c r="Y674" s="1012"/>
      <c r="Z674" s="941"/>
      <c r="AA674" s="941"/>
      <c r="AB674" s="941"/>
      <c r="AC674" s="941"/>
      <c r="AD674" s="941"/>
      <c r="AE674" s="941"/>
      <c r="AF674" s="941"/>
      <c r="AG674" s="941"/>
      <c r="AH674" s="941"/>
      <c r="AI674" s="941"/>
      <c r="AJ674" s="941"/>
      <c r="AK674" s="941"/>
      <c r="AL674" s="941"/>
      <c r="AM674" s="941"/>
    </row>
    <row r="675" spans="1:39" s="969" customFormat="1" ht="63" customHeight="1">
      <c r="A675" s="1006">
        <v>557</v>
      </c>
      <c r="B675" s="1007" t="s">
        <v>2191</v>
      </c>
      <c r="C675" s="1008"/>
      <c r="D675" s="1008" t="s">
        <v>3969</v>
      </c>
      <c r="E675" s="1007" t="s">
        <v>2192</v>
      </c>
      <c r="F675" s="1010" t="s">
        <v>549</v>
      </c>
      <c r="G675" s="989">
        <v>312000</v>
      </c>
      <c r="H675" s="937"/>
      <c r="I675" s="1046"/>
      <c r="J675" s="1046"/>
      <c r="K675" s="1047"/>
      <c r="L675" s="1046"/>
      <c r="M675" s="1094">
        <v>-69100</v>
      </c>
      <c r="N675" s="989">
        <f>312000+M675</f>
        <v>242900</v>
      </c>
      <c r="O675" s="989">
        <v>0</v>
      </c>
      <c r="P675" s="989">
        <v>242900</v>
      </c>
      <c r="Q675" s="989">
        <f t="shared" si="67"/>
        <v>242900</v>
      </c>
      <c r="R675" s="989">
        <f t="shared" si="71"/>
        <v>100</v>
      </c>
      <c r="S675" s="1011">
        <v>0</v>
      </c>
      <c r="T675" s="989">
        <f t="shared" si="68"/>
        <v>0</v>
      </c>
      <c r="U675" s="989">
        <f t="shared" si="69"/>
        <v>242900</v>
      </c>
      <c r="V675" s="989">
        <f t="shared" si="70"/>
        <v>100</v>
      </c>
      <c r="W675" s="989"/>
      <c r="X675" s="989">
        <f t="shared" si="66"/>
        <v>0</v>
      </c>
      <c r="Y675" s="1012"/>
      <c r="Z675" s="941"/>
      <c r="AA675" s="941"/>
      <c r="AB675" s="941"/>
      <c r="AC675" s="941"/>
      <c r="AD675" s="941"/>
      <c r="AE675" s="941"/>
      <c r="AF675" s="941"/>
      <c r="AG675" s="941"/>
      <c r="AH675" s="941"/>
      <c r="AI675" s="941"/>
      <c r="AJ675" s="941"/>
      <c r="AK675" s="941"/>
      <c r="AL675" s="941"/>
      <c r="AM675" s="941"/>
    </row>
    <row r="676" spans="1:39" s="969" customFormat="1" ht="63" customHeight="1">
      <c r="A676" s="1006">
        <v>558</v>
      </c>
      <c r="B676" s="1007" t="s">
        <v>2193</v>
      </c>
      <c r="C676" s="1008"/>
      <c r="D676" s="1008" t="s">
        <v>3970</v>
      </c>
      <c r="E676" s="1007" t="s">
        <v>2194</v>
      </c>
      <c r="F676" s="1010" t="s">
        <v>550</v>
      </c>
      <c r="G676" s="989">
        <v>180800</v>
      </c>
      <c r="H676" s="937"/>
      <c r="I676" s="1046"/>
      <c r="J676" s="1046"/>
      <c r="K676" s="1047"/>
      <c r="L676" s="1046"/>
      <c r="M676" s="1094"/>
      <c r="N676" s="989">
        <v>180800</v>
      </c>
      <c r="O676" s="989">
        <v>0</v>
      </c>
      <c r="P676" s="989">
        <v>180800</v>
      </c>
      <c r="Q676" s="989">
        <f t="shared" si="67"/>
        <v>180800</v>
      </c>
      <c r="R676" s="989">
        <f t="shared" si="71"/>
        <v>100</v>
      </c>
      <c r="S676" s="1011">
        <v>0</v>
      </c>
      <c r="T676" s="989">
        <f t="shared" si="68"/>
        <v>0</v>
      </c>
      <c r="U676" s="989">
        <f t="shared" si="69"/>
        <v>180800</v>
      </c>
      <c r="V676" s="989">
        <f t="shared" si="70"/>
        <v>100</v>
      </c>
      <c r="W676" s="989"/>
      <c r="X676" s="989">
        <f t="shared" si="66"/>
        <v>0</v>
      </c>
      <c r="Y676" s="1012"/>
      <c r="Z676" s="941"/>
      <c r="AA676" s="941"/>
      <c r="AB676" s="941"/>
      <c r="AC676" s="941"/>
      <c r="AD676" s="941"/>
      <c r="AE676" s="941"/>
      <c r="AF676" s="941"/>
      <c r="AG676" s="941"/>
      <c r="AH676" s="941"/>
      <c r="AI676" s="941"/>
      <c r="AJ676" s="941"/>
      <c r="AK676" s="941"/>
      <c r="AL676" s="941"/>
      <c r="AM676" s="941"/>
    </row>
    <row r="677" spans="1:39" s="969" customFormat="1" ht="63" customHeight="1">
      <c r="A677" s="1006">
        <v>559</v>
      </c>
      <c r="B677" s="1007" t="s">
        <v>2195</v>
      </c>
      <c r="C677" s="1008"/>
      <c r="D677" s="1008" t="s">
        <v>3971</v>
      </c>
      <c r="E677" s="1007" t="s">
        <v>2196</v>
      </c>
      <c r="F677" s="1010" t="s">
        <v>549</v>
      </c>
      <c r="G677" s="989">
        <v>104000</v>
      </c>
      <c r="H677" s="937"/>
      <c r="I677" s="1046"/>
      <c r="J677" s="1046"/>
      <c r="K677" s="1047"/>
      <c r="L677" s="1046"/>
      <c r="M677" s="1094">
        <v>-1074.51</v>
      </c>
      <c r="N677" s="989">
        <f>104000+M677</f>
        <v>102925.49</v>
      </c>
      <c r="O677" s="989">
        <v>0</v>
      </c>
      <c r="P677" s="989">
        <v>102925.49</v>
      </c>
      <c r="Q677" s="989">
        <f t="shared" si="67"/>
        <v>102925.49</v>
      </c>
      <c r="R677" s="989">
        <f t="shared" si="71"/>
        <v>100</v>
      </c>
      <c r="S677" s="1011">
        <v>0</v>
      </c>
      <c r="T677" s="989">
        <f t="shared" si="68"/>
        <v>0</v>
      </c>
      <c r="U677" s="989">
        <f t="shared" si="69"/>
        <v>102925.49</v>
      </c>
      <c r="V677" s="989">
        <f t="shared" si="70"/>
        <v>100</v>
      </c>
      <c r="W677" s="989"/>
      <c r="X677" s="989">
        <f t="shared" si="66"/>
        <v>0</v>
      </c>
      <c r="Y677" s="1012"/>
      <c r="Z677" s="941"/>
      <c r="AA677" s="941"/>
      <c r="AB677" s="941"/>
      <c r="AC677" s="941"/>
      <c r="AD677" s="941"/>
      <c r="AE677" s="941"/>
      <c r="AF677" s="941"/>
      <c r="AG677" s="941"/>
      <c r="AH677" s="941"/>
      <c r="AI677" s="941"/>
      <c r="AJ677" s="941"/>
      <c r="AK677" s="941"/>
      <c r="AL677" s="941"/>
      <c r="AM677" s="941"/>
    </row>
    <row r="678" spans="1:39" s="969" customFormat="1" ht="63" customHeight="1">
      <c r="A678" s="1006">
        <v>560</v>
      </c>
      <c r="B678" s="1007" t="s">
        <v>2197</v>
      </c>
      <c r="C678" s="1008"/>
      <c r="D678" s="1008" t="s">
        <v>3972</v>
      </c>
      <c r="E678" s="1007" t="s">
        <v>2198</v>
      </c>
      <c r="F678" s="1010" t="s">
        <v>549</v>
      </c>
      <c r="G678" s="989">
        <v>728000</v>
      </c>
      <c r="H678" s="937"/>
      <c r="I678" s="1046"/>
      <c r="J678" s="1046"/>
      <c r="K678" s="1047"/>
      <c r="L678" s="1046"/>
      <c r="M678" s="1094">
        <v>-27804.79</v>
      </c>
      <c r="N678" s="989">
        <f>728000+M678</f>
        <v>700195.21</v>
      </c>
      <c r="O678" s="989">
        <v>0</v>
      </c>
      <c r="P678" s="989">
        <v>700195.21</v>
      </c>
      <c r="Q678" s="989">
        <f t="shared" si="67"/>
        <v>700195.21</v>
      </c>
      <c r="R678" s="989">
        <f t="shared" si="71"/>
        <v>100</v>
      </c>
      <c r="S678" s="1011">
        <v>0</v>
      </c>
      <c r="T678" s="989">
        <f t="shared" si="68"/>
        <v>0</v>
      </c>
      <c r="U678" s="989">
        <f t="shared" si="69"/>
        <v>700195.21</v>
      </c>
      <c r="V678" s="989">
        <f t="shared" si="70"/>
        <v>100</v>
      </c>
      <c r="W678" s="989"/>
      <c r="X678" s="989">
        <f t="shared" si="66"/>
        <v>0</v>
      </c>
      <c r="Y678" s="1012"/>
      <c r="Z678" s="941"/>
      <c r="AA678" s="941"/>
      <c r="AB678" s="941"/>
      <c r="AC678" s="941"/>
      <c r="AD678" s="941"/>
      <c r="AE678" s="941"/>
      <c r="AF678" s="941"/>
      <c r="AG678" s="941"/>
      <c r="AH678" s="941"/>
      <c r="AI678" s="941"/>
      <c r="AJ678" s="941"/>
      <c r="AK678" s="941"/>
      <c r="AL678" s="941"/>
      <c r="AM678" s="941"/>
    </row>
    <row r="679" spans="1:39" s="969" customFormat="1" ht="63" customHeight="1">
      <c r="A679" s="1006">
        <v>561</v>
      </c>
      <c r="B679" s="1007" t="s">
        <v>2199</v>
      </c>
      <c r="C679" s="1008"/>
      <c r="D679" s="1008" t="s">
        <v>3973</v>
      </c>
      <c r="E679" s="1007" t="s">
        <v>2200</v>
      </c>
      <c r="F679" s="1010" t="s">
        <v>549</v>
      </c>
      <c r="G679" s="989">
        <v>104000</v>
      </c>
      <c r="H679" s="937"/>
      <c r="I679" s="1046"/>
      <c r="J679" s="1046"/>
      <c r="K679" s="1047"/>
      <c r="L679" s="1046"/>
      <c r="M679" s="1094">
        <v>-27970.12</v>
      </c>
      <c r="N679" s="989">
        <f>104000+M679</f>
        <v>76029.88</v>
      </c>
      <c r="O679" s="989">
        <v>0</v>
      </c>
      <c r="P679" s="989">
        <v>76029.88</v>
      </c>
      <c r="Q679" s="989">
        <f t="shared" si="67"/>
        <v>76029.88</v>
      </c>
      <c r="R679" s="989">
        <f t="shared" si="71"/>
        <v>100</v>
      </c>
      <c r="S679" s="1011">
        <v>0</v>
      </c>
      <c r="T679" s="989">
        <f t="shared" si="68"/>
        <v>0</v>
      </c>
      <c r="U679" s="989">
        <f t="shared" si="69"/>
        <v>76029.88</v>
      </c>
      <c r="V679" s="989">
        <f t="shared" si="70"/>
        <v>100</v>
      </c>
      <c r="W679" s="989"/>
      <c r="X679" s="989">
        <f t="shared" si="66"/>
        <v>0</v>
      </c>
      <c r="Y679" s="1012"/>
      <c r="Z679" s="941"/>
      <c r="AA679" s="941"/>
      <c r="AB679" s="941"/>
      <c r="AC679" s="941"/>
      <c r="AD679" s="941"/>
      <c r="AE679" s="941"/>
      <c r="AF679" s="941"/>
      <c r="AG679" s="941"/>
      <c r="AH679" s="941"/>
      <c r="AI679" s="941"/>
      <c r="AJ679" s="941"/>
      <c r="AK679" s="941"/>
      <c r="AL679" s="941"/>
      <c r="AM679" s="941"/>
    </row>
    <row r="680" spans="1:39" s="969" customFormat="1" ht="63" customHeight="1">
      <c r="A680" s="1006">
        <v>562</v>
      </c>
      <c r="B680" s="1007" t="s">
        <v>2201</v>
      </c>
      <c r="C680" s="1008"/>
      <c r="D680" s="1008" t="s">
        <v>3974</v>
      </c>
      <c r="E680" s="1007" t="s">
        <v>2202</v>
      </c>
      <c r="F680" s="1010" t="s">
        <v>549</v>
      </c>
      <c r="G680" s="989">
        <v>832000</v>
      </c>
      <c r="H680" s="937"/>
      <c r="I680" s="1046"/>
      <c r="J680" s="1046"/>
      <c r="K680" s="1047"/>
      <c r="L680" s="1046"/>
      <c r="M680" s="1094">
        <v>-31280</v>
      </c>
      <c r="N680" s="989">
        <f>832000+M680</f>
        <v>800720</v>
      </c>
      <c r="O680" s="989">
        <v>0</v>
      </c>
      <c r="P680" s="989">
        <v>800720</v>
      </c>
      <c r="Q680" s="989">
        <f t="shared" si="67"/>
        <v>800720</v>
      </c>
      <c r="R680" s="989">
        <f t="shared" si="71"/>
        <v>100</v>
      </c>
      <c r="S680" s="1011">
        <v>0</v>
      </c>
      <c r="T680" s="989">
        <f t="shared" si="68"/>
        <v>0</v>
      </c>
      <c r="U680" s="989">
        <f t="shared" si="69"/>
        <v>800720</v>
      </c>
      <c r="V680" s="989">
        <f t="shared" si="70"/>
        <v>100</v>
      </c>
      <c r="W680" s="989"/>
      <c r="X680" s="989">
        <f t="shared" si="66"/>
        <v>0</v>
      </c>
      <c r="Y680" s="1012"/>
      <c r="Z680" s="941"/>
      <c r="AA680" s="941"/>
      <c r="AB680" s="941"/>
      <c r="AC680" s="941"/>
      <c r="AD680" s="941"/>
      <c r="AE680" s="941"/>
      <c r="AF680" s="941"/>
      <c r="AG680" s="941"/>
      <c r="AH680" s="941"/>
      <c r="AI680" s="941"/>
      <c r="AJ680" s="941"/>
      <c r="AK680" s="941"/>
      <c r="AL680" s="941"/>
      <c r="AM680" s="941"/>
    </row>
    <row r="681" spans="1:39" s="969" customFormat="1" ht="63" customHeight="1">
      <c r="A681" s="1006">
        <v>563</v>
      </c>
      <c r="B681" s="1007" t="s">
        <v>2203</v>
      </c>
      <c r="C681" s="1008"/>
      <c r="D681" s="1008" t="s">
        <v>3975</v>
      </c>
      <c r="E681" s="1007" t="s">
        <v>2204</v>
      </c>
      <c r="F681" s="1010" t="s">
        <v>549</v>
      </c>
      <c r="G681" s="989">
        <v>208000</v>
      </c>
      <c r="H681" s="937"/>
      <c r="I681" s="1046"/>
      <c r="J681" s="1046"/>
      <c r="K681" s="1047"/>
      <c r="L681" s="1046"/>
      <c r="M681" s="1094"/>
      <c r="N681" s="989">
        <v>208000</v>
      </c>
      <c r="O681" s="989">
        <v>0</v>
      </c>
      <c r="P681" s="989">
        <v>208000</v>
      </c>
      <c r="Q681" s="989">
        <f t="shared" si="67"/>
        <v>208000</v>
      </c>
      <c r="R681" s="989">
        <f t="shared" si="71"/>
        <v>100</v>
      </c>
      <c r="S681" s="1011">
        <v>0</v>
      </c>
      <c r="T681" s="989">
        <f t="shared" si="68"/>
        <v>0</v>
      </c>
      <c r="U681" s="989">
        <f t="shared" si="69"/>
        <v>208000</v>
      </c>
      <c r="V681" s="989">
        <f t="shared" si="70"/>
        <v>100</v>
      </c>
      <c r="W681" s="989"/>
      <c r="X681" s="989">
        <f t="shared" si="66"/>
        <v>0</v>
      </c>
      <c r="Y681" s="1012"/>
      <c r="Z681" s="941"/>
      <c r="AA681" s="941"/>
      <c r="AB681" s="941"/>
      <c r="AC681" s="941"/>
      <c r="AD681" s="941"/>
      <c r="AE681" s="941"/>
      <c r="AF681" s="941"/>
      <c r="AG681" s="941"/>
      <c r="AH681" s="941"/>
      <c r="AI681" s="941"/>
      <c r="AJ681" s="941"/>
      <c r="AK681" s="941"/>
      <c r="AL681" s="941"/>
      <c r="AM681" s="941"/>
    </row>
    <row r="682" spans="1:39" s="969" customFormat="1" ht="63" customHeight="1">
      <c r="A682" s="1006">
        <v>564</v>
      </c>
      <c r="B682" s="1007" t="s">
        <v>2205</v>
      </c>
      <c r="C682" s="1008"/>
      <c r="D682" s="1008" t="s">
        <v>3976</v>
      </c>
      <c r="E682" s="1007" t="s">
        <v>2206</v>
      </c>
      <c r="F682" s="1010" t="s">
        <v>549</v>
      </c>
      <c r="G682" s="989">
        <v>416000</v>
      </c>
      <c r="H682" s="937"/>
      <c r="I682" s="1046"/>
      <c r="J682" s="1046"/>
      <c r="K682" s="1047"/>
      <c r="L682" s="1046"/>
      <c r="M682" s="1094">
        <v>-25559.69</v>
      </c>
      <c r="N682" s="989">
        <f>416000+M682</f>
        <v>390440.31</v>
      </c>
      <c r="O682" s="989">
        <v>0</v>
      </c>
      <c r="P682" s="989">
        <v>390440.31</v>
      </c>
      <c r="Q682" s="989">
        <f t="shared" si="67"/>
        <v>390440.31</v>
      </c>
      <c r="R682" s="989">
        <f t="shared" si="71"/>
        <v>100</v>
      </c>
      <c r="S682" s="1011">
        <v>0</v>
      </c>
      <c r="T682" s="989">
        <f t="shared" si="68"/>
        <v>0</v>
      </c>
      <c r="U682" s="989">
        <f t="shared" si="69"/>
        <v>390440.31</v>
      </c>
      <c r="V682" s="989">
        <f t="shared" si="70"/>
        <v>100</v>
      </c>
      <c r="W682" s="989"/>
      <c r="X682" s="989">
        <f t="shared" si="66"/>
        <v>0</v>
      </c>
      <c r="Y682" s="1012"/>
      <c r="Z682" s="941"/>
      <c r="AA682" s="941"/>
      <c r="AB682" s="941"/>
      <c r="AC682" s="941"/>
      <c r="AD682" s="941"/>
      <c r="AE682" s="941"/>
      <c r="AF682" s="941"/>
      <c r="AG682" s="941"/>
      <c r="AH682" s="941"/>
      <c r="AI682" s="941"/>
      <c r="AJ682" s="941"/>
      <c r="AK682" s="941"/>
      <c r="AL682" s="941"/>
      <c r="AM682" s="941"/>
    </row>
    <row r="683" spans="1:39" s="969" customFormat="1" ht="63" customHeight="1">
      <c r="A683" s="1006">
        <v>565</v>
      </c>
      <c r="B683" s="1007" t="s">
        <v>2207</v>
      </c>
      <c r="C683" s="1008"/>
      <c r="D683" s="1008" t="s">
        <v>3977</v>
      </c>
      <c r="E683" s="1007" t="s">
        <v>2208</v>
      </c>
      <c r="F683" s="1010" t="s">
        <v>549</v>
      </c>
      <c r="G683" s="989">
        <v>208000</v>
      </c>
      <c r="H683" s="937"/>
      <c r="I683" s="1046"/>
      <c r="J683" s="1046"/>
      <c r="K683" s="1047"/>
      <c r="L683" s="1046"/>
      <c r="M683" s="1094">
        <v>-34100</v>
      </c>
      <c r="N683" s="989">
        <f>208000+M683</f>
        <v>173900</v>
      </c>
      <c r="O683" s="989">
        <v>0</v>
      </c>
      <c r="P683" s="989">
        <v>173900</v>
      </c>
      <c r="Q683" s="989">
        <f t="shared" si="67"/>
        <v>173900</v>
      </c>
      <c r="R683" s="989">
        <f t="shared" si="71"/>
        <v>100</v>
      </c>
      <c r="S683" s="1011">
        <v>0</v>
      </c>
      <c r="T683" s="989">
        <f t="shared" si="68"/>
        <v>0</v>
      </c>
      <c r="U683" s="989">
        <f t="shared" si="69"/>
        <v>173900</v>
      </c>
      <c r="V683" s="989">
        <f t="shared" si="70"/>
        <v>100</v>
      </c>
      <c r="W683" s="989"/>
      <c r="X683" s="989">
        <f t="shared" si="66"/>
        <v>0</v>
      </c>
      <c r="Y683" s="1012"/>
      <c r="Z683" s="941"/>
      <c r="AA683" s="941"/>
      <c r="AB683" s="941"/>
      <c r="AC683" s="941"/>
      <c r="AD683" s="941"/>
      <c r="AE683" s="941"/>
      <c r="AF683" s="941"/>
      <c r="AG683" s="941"/>
      <c r="AH683" s="941"/>
      <c r="AI683" s="941"/>
      <c r="AJ683" s="941"/>
      <c r="AK683" s="941"/>
      <c r="AL683" s="941"/>
      <c r="AM683" s="941"/>
    </row>
    <row r="684" spans="1:39" s="969" customFormat="1" ht="63" customHeight="1">
      <c r="A684" s="1006">
        <v>566</v>
      </c>
      <c r="B684" s="1007" t="s">
        <v>2209</v>
      </c>
      <c r="C684" s="1008"/>
      <c r="D684" s="1008" t="s">
        <v>3978</v>
      </c>
      <c r="E684" s="1007" t="s">
        <v>2210</v>
      </c>
      <c r="F684" s="1010" t="s">
        <v>549</v>
      </c>
      <c r="G684" s="989">
        <v>104000</v>
      </c>
      <c r="H684" s="937"/>
      <c r="I684" s="1046"/>
      <c r="J684" s="1046"/>
      <c r="K684" s="1047"/>
      <c r="L684" s="1046"/>
      <c r="M684" s="1094"/>
      <c r="N684" s="989">
        <v>104000</v>
      </c>
      <c r="O684" s="989">
        <v>0</v>
      </c>
      <c r="P684" s="989">
        <v>104000</v>
      </c>
      <c r="Q684" s="989">
        <f t="shared" si="67"/>
        <v>104000</v>
      </c>
      <c r="R684" s="989">
        <f t="shared" si="71"/>
        <v>100</v>
      </c>
      <c r="S684" s="1011">
        <v>0</v>
      </c>
      <c r="T684" s="989">
        <f t="shared" si="68"/>
        <v>0</v>
      </c>
      <c r="U684" s="989">
        <f t="shared" si="69"/>
        <v>104000</v>
      </c>
      <c r="V684" s="989">
        <f t="shared" si="70"/>
        <v>100</v>
      </c>
      <c r="W684" s="989"/>
      <c r="X684" s="989">
        <f t="shared" si="66"/>
        <v>0</v>
      </c>
      <c r="Y684" s="1012"/>
      <c r="Z684" s="941"/>
      <c r="AA684" s="941"/>
      <c r="AB684" s="941"/>
      <c r="AC684" s="941"/>
      <c r="AD684" s="941"/>
      <c r="AE684" s="941"/>
      <c r="AF684" s="941"/>
      <c r="AG684" s="941"/>
      <c r="AH684" s="941"/>
      <c r="AI684" s="941"/>
      <c r="AJ684" s="941"/>
      <c r="AK684" s="941"/>
      <c r="AL684" s="941"/>
      <c r="AM684" s="941"/>
    </row>
    <row r="685" spans="1:39" s="969" customFormat="1" ht="63" customHeight="1">
      <c r="A685" s="1006">
        <v>567</v>
      </c>
      <c r="B685" s="1007" t="s">
        <v>2211</v>
      </c>
      <c r="C685" s="1008"/>
      <c r="D685" s="1008" t="s">
        <v>3979</v>
      </c>
      <c r="E685" s="1007" t="s">
        <v>2212</v>
      </c>
      <c r="F685" s="1010" t="s">
        <v>549</v>
      </c>
      <c r="G685" s="989">
        <v>104000</v>
      </c>
      <c r="H685" s="937"/>
      <c r="I685" s="1046"/>
      <c r="J685" s="1046"/>
      <c r="K685" s="1047"/>
      <c r="L685" s="1046"/>
      <c r="M685" s="1094"/>
      <c r="N685" s="989">
        <v>104000</v>
      </c>
      <c r="O685" s="989">
        <v>0</v>
      </c>
      <c r="P685" s="989">
        <v>104000</v>
      </c>
      <c r="Q685" s="989">
        <f t="shared" si="67"/>
        <v>104000</v>
      </c>
      <c r="R685" s="989">
        <f t="shared" si="71"/>
        <v>100</v>
      </c>
      <c r="S685" s="1011">
        <v>0</v>
      </c>
      <c r="T685" s="989">
        <f t="shared" si="68"/>
        <v>0</v>
      </c>
      <c r="U685" s="989">
        <f t="shared" si="69"/>
        <v>104000</v>
      </c>
      <c r="V685" s="989">
        <f t="shared" si="70"/>
        <v>100</v>
      </c>
      <c r="W685" s="989"/>
      <c r="X685" s="989">
        <f t="shared" si="66"/>
        <v>0</v>
      </c>
      <c r="Y685" s="1012"/>
      <c r="Z685" s="941"/>
      <c r="AA685" s="941"/>
      <c r="AB685" s="941"/>
      <c r="AC685" s="941"/>
      <c r="AD685" s="941"/>
      <c r="AE685" s="941"/>
      <c r="AF685" s="941"/>
      <c r="AG685" s="941"/>
      <c r="AH685" s="941"/>
      <c r="AI685" s="941"/>
      <c r="AJ685" s="941"/>
      <c r="AK685" s="941"/>
      <c r="AL685" s="941"/>
      <c r="AM685" s="941"/>
    </row>
    <row r="686" spans="1:39" s="969" customFormat="1" ht="63" customHeight="1">
      <c r="A686" s="1006">
        <v>568</v>
      </c>
      <c r="B686" s="1007" t="s">
        <v>2213</v>
      </c>
      <c r="C686" s="1008"/>
      <c r="D686" s="1008" t="s">
        <v>3980</v>
      </c>
      <c r="E686" s="1007" t="s">
        <v>2214</v>
      </c>
      <c r="F686" s="1010" t="s">
        <v>549</v>
      </c>
      <c r="G686" s="989">
        <v>312000</v>
      </c>
      <c r="H686" s="937"/>
      <c r="I686" s="1046"/>
      <c r="J686" s="1046"/>
      <c r="K686" s="1047"/>
      <c r="L686" s="1046"/>
      <c r="M686" s="1094">
        <v>-30000</v>
      </c>
      <c r="N686" s="989">
        <f>312000+M686</f>
        <v>282000</v>
      </c>
      <c r="O686" s="989">
        <v>0</v>
      </c>
      <c r="P686" s="989">
        <v>282000</v>
      </c>
      <c r="Q686" s="989">
        <f t="shared" si="67"/>
        <v>282000</v>
      </c>
      <c r="R686" s="989">
        <f t="shared" si="71"/>
        <v>100</v>
      </c>
      <c r="S686" s="1011">
        <v>0</v>
      </c>
      <c r="T686" s="989">
        <f t="shared" si="68"/>
        <v>0</v>
      </c>
      <c r="U686" s="989">
        <f t="shared" si="69"/>
        <v>282000</v>
      </c>
      <c r="V686" s="989">
        <f t="shared" si="70"/>
        <v>100</v>
      </c>
      <c r="W686" s="989"/>
      <c r="X686" s="989">
        <f t="shared" si="66"/>
        <v>0</v>
      </c>
      <c r="Y686" s="1012"/>
      <c r="Z686" s="941"/>
      <c r="AA686" s="941"/>
      <c r="AB686" s="941"/>
      <c r="AC686" s="941"/>
      <c r="AD686" s="941"/>
      <c r="AE686" s="941"/>
      <c r="AF686" s="941"/>
      <c r="AG686" s="941"/>
      <c r="AH686" s="941"/>
      <c r="AI686" s="941"/>
      <c r="AJ686" s="941"/>
      <c r="AK686" s="941"/>
      <c r="AL686" s="941"/>
      <c r="AM686" s="941"/>
    </row>
    <row r="687" spans="1:39" s="969" customFormat="1" ht="63" customHeight="1">
      <c r="A687" s="1006">
        <v>569</v>
      </c>
      <c r="B687" s="1007" t="s">
        <v>2215</v>
      </c>
      <c r="C687" s="1008"/>
      <c r="D687" s="1008" t="s">
        <v>3981</v>
      </c>
      <c r="E687" s="1007" t="s">
        <v>2216</v>
      </c>
      <c r="F687" s="1010" t="s">
        <v>549</v>
      </c>
      <c r="G687" s="989">
        <v>208000</v>
      </c>
      <c r="H687" s="937"/>
      <c r="I687" s="1046"/>
      <c r="J687" s="1046"/>
      <c r="K687" s="1047"/>
      <c r="L687" s="1046"/>
      <c r="M687" s="1094"/>
      <c r="N687" s="989">
        <v>208000</v>
      </c>
      <c r="O687" s="989">
        <v>0</v>
      </c>
      <c r="P687" s="989">
        <v>208000</v>
      </c>
      <c r="Q687" s="989">
        <f t="shared" si="67"/>
        <v>208000</v>
      </c>
      <c r="R687" s="989">
        <f t="shared" si="71"/>
        <v>100</v>
      </c>
      <c r="S687" s="1011">
        <v>0</v>
      </c>
      <c r="T687" s="989">
        <f t="shared" si="68"/>
        <v>0</v>
      </c>
      <c r="U687" s="989">
        <f t="shared" si="69"/>
        <v>208000</v>
      </c>
      <c r="V687" s="989">
        <f t="shared" si="70"/>
        <v>100</v>
      </c>
      <c r="W687" s="989"/>
      <c r="X687" s="989">
        <f t="shared" si="66"/>
        <v>0</v>
      </c>
      <c r="Y687" s="1012"/>
      <c r="Z687" s="941"/>
      <c r="AA687" s="941"/>
      <c r="AB687" s="941"/>
      <c r="AC687" s="941"/>
      <c r="AD687" s="941"/>
      <c r="AE687" s="941"/>
      <c r="AF687" s="941"/>
      <c r="AG687" s="941"/>
      <c r="AH687" s="941"/>
      <c r="AI687" s="941"/>
      <c r="AJ687" s="941"/>
      <c r="AK687" s="941"/>
      <c r="AL687" s="941"/>
      <c r="AM687" s="941"/>
    </row>
    <row r="688" spans="1:39" s="969" customFormat="1" ht="63" customHeight="1">
      <c r="A688" s="1006">
        <v>570</v>
      </c>
      <c r="B688" s="1007" t="s">
        <v>2217</v>
      </c>
      <c r="C688" s="1008"/>
      <c r="D688" s="1008" t="s">
        <v>3982</v>
      </c>
      <c r="E688" s="1007" t="s">
        <v>2218</v>
      </c>
      <c r="F688" s="1010" t="s">
        <v>549</v>
      </c>
      <c r="G688" s="989">
        <v>416000</v>
      </c>
      <c r="H688" s="937"/>
      <c r="I688" s="1046"/>
      <c r="J688" s="1046"/>
      <c r="K688" s="1047"/>
      <c r="L688" s="1046"/>
      <c r="M688" s="1094">
        <v>-10054.06</v>
      </c>
      <c r="N688" s="989">
        <f>416000+M688</f>
        <v>405945.94</v>
      </c>
      <c r="O688" s="989">
        <v>0</v>
      </c>
      <c r="P688" s="989">
        <v>405945.94</v>
      </c>
      <c r="Q688" s="989">
        <f t="shared" si="67"/>
        <v>405945.94</v>
      </c>
      <c r="R688" s="989">
        <f t="shared" si="71"/>
        <v>100</v>
      </c>
      <c r="S688" s="1011">
        <v>0</v>
      </c>
      <c r="T688" s="989">
        <f t="shared" si="68"/>
        <v>0</v>
      </c>
      <c r="U688" s="989">
        <f t="shared" si="69"/>
        <v>405945.94</v>
      </c>
      <c r="V688" s="989">
        <f t="shared" si="70"/>
        <v>100</v>
      </c>
      <c r="W688" s="989"/>
      <c r="X688" s="989">
        <f t="shared" si="66"/>
        <v>0</v>
      </c>
      <c r="Y688" s="1012"/>
      <c r="Z688" s="941"/>
      <c r="AA688" s="941"/>
      <c r="AB688" s="941"/>
      <c r="AC688" s="941"/>
      <c r="AD688" s="941"/>
      <c r="AE688" s="941"/>
      <c r="AF688" s="941"/>
      <c r="AG688" s="941"/>
      <c r="AH688" s="941"/>
      <c r="AI688" s="941"/>
      <c r="AJ688" s="941"/>
      <c r="AK688" s="941"/>
      <c r="AL688" s="941"/>
      <c r="AM688" s="941"/>
    </row>
    <row r="689" spans="1:25" ht="63" customHeight="1">
      <c r="A689" s="1006">
        <v>571</v>
      </c>
      <c r="B689" s="1007" t="s">
        <v>2219</v>
      </c>
      <c r="C689" s="1008"/>
      <c r="D689" s="1008" t="s">
        <v>3983</v>
      </c>
      <c r="E689" s="1007" t="s">
        <v>2220</v>
      </c>
      <c r="F689" s="1010" t="s">
        <v>549</v>
      </c>
      <c r="G689" s="989">
        <v>312000</v>
      </c>
      <c r="H689" s="937"/>
      <c r="I689" s="1046"/>
      <c r="J689" s="1046"/>
      <c r="K689" s="1047"/>
      <c r="L689" s="1046"/>
      <c r="M689" s="1094">
        <v>-64543.75</v>
      </c>
      <c r="N689" s="989">
        <f>312000+M689</f>
        <v>247456.25</v>
      </c>
      <c r="O689" s="989">
        <v>0</v>
      </c>
      <c r="P689" s="989">
        <v>247456.25</v>
      </c>
      <c r="Q689" s="989">
        <f t="shared" si="67"/>
        <v>247456.25</v>
      </c>
      <c r="R689" s="989">
        <f t="shared" si="71"/>
        <v>100</v>
      </c>
      <c r="S689" s="1011">
        <v>0</v>
      </c>
      <c r="T689" s="989">
        <f t="shared" si="68"/>
        <v>0</v>
      </c>
      <c r="U689" s="989">
        <f t="shared" si="69"/>
        <v>247456.25</v>
      </c>
      <c r="V689" s="989">
        <f t="shared" si="70"/>
        <v>100</v>
      </c>
      <c r="W689" s="989"/>
      <c r="X689" s="989">
        <f t="shared" si="66"/>
        <v>0</v>
      </c>
      <c r="Y689" s="1012"/>
    </row>
    <row r="690" spans="1:25" ht="63" customHeight="1">
      <c r="A690" s="1006">
        <v>572</v>
      </c>
      <c r="B690" s="1007" t="s">
        <v>2221</v>
      </c>
      <c r="C690" s="1008"/>
      <c r="D690" s="1008" t="s">
        <v>3984</v>
      </c>
      <c r="E690" s="1007" t="s">
        <v>2222</v>
      </c>
      <c r="F690" s="1010" t="s">
        <v>549</v>
      </c>
      <c r="G690" s="989">
        <v>104000</v>
      </c>
      <c r="H690" s="937"/>
      <c r="I690" s="1046"/>
      <c r="J690" s="1046"/>
      <c r="K690" s="1047"/>
      <c r="L690" s="1046"/>
      <c r="M690" s="1094" t="s">
        <v>311</v>
      </c>
      <c r="N690" s="989">
        <v>104000</v>
      </c>
      <c r="O690" s="989">
        <v>104000</v>
      </c>
      <c r="P690" s="989"/>
      <c r="Q690" s="989">
        <f t="shared" si="67"/>
        <v>104000</v>
      </c>
      <c r="R690" s="989">
        <f t="shared" si="71"/>
        <v>100</v>
      </c>
      <c r="S690" s="1011"/>
      <c r="T690" s="989">
        <f t="shared" si="68"/>
        <v>0</v>
      </c>
      <c r="U690" s="989">
        <f t="shared" si="69"/>
        <v>104000</v>
      </c>
      <c r="V690" s="989">
        <f t="shared" si="70"/>
        <v>100</v>
      </c>
      <c r="W690" s="989"/>
      <c r="X690" s="989">
        <f t="shared" si="66"/>
        <v>0</v>
      </c>
      <c r="Y690" s="1012"/>
    </row>
    <row r="691" spans="1:25" ht="63" customHeight="1">
      <c r="A691" s="1006">
        <v>573</v>
      </c>
      <c r="B691" s="1007" t="s">
        <v>2223</v>
      </c>
      <c r="C691" s="1008"/>
      <c r="D691" s="1008" t="s">
        <v>3985</v>
      </c>
      <c r="E691" s="1007" t="s">
        <v>2224</v>
      </c>
      <c r="F691" s="1010" t="s">
        <v>549</v>
      </c>
      <c r="G691" s="989">
        <v>104000</v>
      </c>
      <c r="H691" s="937"/>
      <c r="I691" s="1046"/>
      <c r="J691" s="1046"/>
      <c r="K691" s="1047"/>
      <c r="L691" s="1046"/>
      <c r="M691" s="1094">
        <v>-19400</v>
      </c>
      <c r="N691" s="989">
        <f>104000+M691</f>
        <v>84600</v>
      </c>
      <c r="O691" s="989">
        <v>0</v>
      </c>
      <c r="P691" s="989">
        <v>84600</v>
      </c>
      <c r="Q691" s="989">
        <f t="shared" si="67"/>
        <v>84600</v>
      </c>
      <c r="R691" s="989">
        <f t="shared" si="71"/>
        <v>100</v>
      </c>
      <c r="S691" s="1011">
        <v>0</v>
      </c>
      <c r="T691" s="989">
        <f t="shared" si="68"/>
        <v>0</v>
      </c>
      <c r="U691" s="989">
        <f t="shared" si="69"/>
        <v>84600</v>
      </c>
      <c r="V691" s="989">
        <f t="shared" si="70"/>
        <v>100</v>
      </c>
      <c r="W691" s="989"/>
      <c r="X691" s="989">
        <f t="shared" si="66"/>
        <v>0</v>
      </c>
      <c r="Y691" s="1012"/>
    </row>
    <row r="692" spans="1:25" ht="63" customHeight="1">
      <c r="A692" s="1006">
        <v>574</v>
      </c>
      <c r="B692" s="1007" t="s">
        <v>2225</v>
      </c>
      <c r="C692" s="1008"/>
      <c r="D692" s="1008" t="s">
        <v>3986</v>
      </c>
      <c r="E692" s="1007" t="s">
        <v>2226</v>
      </c>
      <c r="F692" s="1010" t="s">
        <v>549</v>
      </c>
      <c r="G692" s="989">
        <v>208000</v>
      </c>
      <c r="H692" s="937"/>
      <c r="I692" s="1046"/>
      <c r="J692" s="1046"/>
      <c r="K692" s="1047"/>
      <c r="L692" s="1046"/>
      <c r="M692" s="1094"/>
      <c r="N692" s="989">
        <v>208000</v>
      </c>
      <c r="O692" s="989">
        <v>0</v>
      </c>
      <c r="P692" s="989">
        <v>208000</v>
      </c>
      <c r="Q692" s="989">
        <f t="shared" si="67"/>
        <v>208000</v>
      </c>
      <c r="R692" s="989">
        <f t="shared" si="71"/>
        <v>100</v>
      </c>
      <c r="S692" s="1011">
        <v>0</v>
      </c>
      <c r="T692" s="989">
        <f t="shared" si="68"/>
        <v>0</v>
      </c>
      <c r="U692" s="989">
        <f t="shared" si="69"/>
        <v>208000</v>
      </c>
      <c r="V692" s="989">
        <f t="shared" si="70"/>
        <v>100</v>
      </c>
      <c r="W692" s="989"/>
      <c r="X692" s="989">
        <f t="shared" si="66"/>
        <v>0</v>
      </c>
      <c r="Y692" s="1012"/>
    </row>
    <row r="693" spans="1:25" ht="63" customHeight="1">
      <c r="A693" s="1006">
        <v>575</v>
      </c>
      <c r="B693" s="1007" t="s">
        <v>2227</v>
      </c>
      <c r="C693" s="1008"/>
      <c r="D693" s="1008" t="s">
        <v>3987</v>
      </c>
      <c r="E693" s="1007" t="s">
        <v>2228</v>
      </c>
      <c r="F693" s="1010" t="s">
        <v>550</v>
      </c>
      <c r="G693" s="989">
        <f>90400-3630</f>
        <v>86770</v>
      </c>
      <c r="H693" s="937"/>
      <c r="I693" s="1046"/>
      <c r="J693" s="1046"/>
      <c r="K693" s="1047"/>
      <c r="L693" s="1046"/>
      <c r="M693" s="1094">
        <f>-3630+3630</f>
        <v>0</v>
      </c>
      <c r="N693" s="989">
        <f>G693+M693</f>
        <v>86770</v>
      </c>
      <c r="O693" s="989">
        <v>86770</v>
      </c>
      <c r="P693" s="989">
        <v>0</v>
      </c>
      <c r="Q693" s="989">
        <f t="shared" si="67"/>
        <v>86770</v>
      </c>
      <c r="R693" s="989">
        <f t="shared" si="71"/>
        <v>100</v>
      </c>
      <c r="S693" s="1011">
        <v>0</v>
      </c>
      <c r="T693" s="989">
        <f t="shared" si="68"/>
        <v>0</v>
      </c>
      <c r="U693" s="989">
        <f t="shared" si="69"/>
        <v>86770</v>
      </c>
      <c r="V693" s="989">
        <f t="shared" si="70"/>
        <v>100</v>
      </c>
      <c r="W693" s="989"/>
      <c r="X693" s="989">
        <f t="shared" ref="X693:X756" si="73">N693-U693</f>
        <v>0</v>
      </c>
      <c r="Y693" s="1012"/>
    </row>
    <row r="694" spans="1:25" ht="63" customHeight="1">
      <c r="A694" s="1006">
        <v>576</v>
      </c>
      <c r="B694" s="1007" t="s">
        <v>2229</v>
      </c>
      <c r="C694" s="1008"/>
      <c r="D694" s="1008" t="s">
        <v>3988</v>
      </c>
      <c r="E694" s="1007" t="s">
        <v>2230</v>
      </c>
      <c r="F694" s="1010" t="s">
        <v>1178</v>
      </c>
      <c r="G694" s="989">
        <v>312000</v>
      </c>
      <c r="H694" s="937"/>
      <c r="I694" s="1046"/>
      <c r="J694" s="1046"/>
      <c r="K694" s="1047"/>
      <c r="L694" s="1046"/>
      <c r="M694" s="1094"/>
      <c r="N694" s="989">
        <v>312000</v>
      </c>
      <c r="O694" s="989">
        <v>0</v>
      </c>
      <c r="P694" s="989">
        <v>312000</v>
      </c>
      <c r="Q694" s="989">
        <f t="shared" si="67"/>
        <v>312000</v>
      </c>
      <c r="R694" s="989">
        <f t="shared" si="71"/>
        <v>100</v>
      </c>
      <c r="S694" s="1011">
        <v>0</v>
      </c>
      <c r="T694" s="989">
        <f t="shared" si="68"/>
        <v>0</v>
      </c>
      <c r="U694" s="989">
        <f t="shared" si="69"/>
        <v>312000</v>
      </c>
      <c r="V694" s="989">
        <f t="shared" si="70"/>
        <v>100</v>
      </c>
      <c r="W694" s="989"/>
      <c r="X694" s="989">
        <f t="shared" si="73"/>
        <v>0</v>
      </c>
      <c r="Y694" s="1012"/>
    </row>
    <row r="695" spans="1:25" ht="63" customHeight="1">
      <c r="A695" s="1006">
        <v>577</v>
      </c>
      <c r="B695" s="1007" t="s">
        <v>2231</v>
      </c>
      <c r="C695" s="1008"/>
      <c r="D695" s="1008" t="s">
        <v>3989</v>
      </c>
      <c r="E695" s="1007" t="s">
        <v>2232</v>
      </c>
      <c r="F695" s="1010" t="s">
        <v>550</v>
      </c>
      <c r="G695" s="989">
        <v>90400</v>
      </c>
      <c r="H695" s="937"/>
      <c r="I695" s="1046"/>
      <c r="J695" s="1046"/>
      <c r="K695" s="1047"/>
      <c r="L695" s="1046"/>
      <c r="M695" s="1094"/>
      <c r="N695" s="989">
        <v>90400</v>
      </c>
      <c r="O695" s="989">
        <v>0</v>
      </c>
      <c r="P695" s="989">
        <v>90400</v>
      </c>
      <c r="Q695" s="989">
        <f t="shared" ref="Q695:Q758" si="74">P695+O695</f>
        <v>90400</v>
      </c>
      <c r="R695" s="989">
        <f t="shared" si="71"/>
        <v>100</v>
      </c>
      <c r="S695" s="1011">
        <v>0</v>
      </c>
      <c r="T695" s="989">
        <f t="shared" ref="T695:T733" si="75">S695/N695*100</f>
        <v>0</v>
      </c>
      <c r="U695" s="989">
        <f t="shared" ref="U695:U758" si="76">S695+Q695</f>
        <v>90400</v>
      </c>
      <c r="V695" s="989">
        <f t="shared" ref="V695:V758" si="77">U695/N695*100</f>
        <v>100</v>
      </c>
      <c r="W695" s="989"/>
      <c r="X695" s="989">
        <f t="shared" si="73"/>
        <v>0</v>
      </c>
      <c r="Y695" s="1012"/>
    </row>
    <row r="696" spans="1:25" ht="63" customHeight="1">
      <c r="A696" s="1006">
        <v>578</v>
      </c>
      <c r="B696" s="1007" t="s">
        <v>2233</v>
      </c>
      <c r="C696" s="1008"/>
      <c r="D696" s="1008" t="s">
        <v>3990</v>
      </c>
      <c r="E696" s="1007" t="s">
        <v>2234</v>
      </c>
      <c r="F696" s="1010" t="s">
        <v>1178</v>
      </c>
      <c r="G696" s="989">
        <v>208000</v>
      </c>
      <c r="H696" s="937"/>
      <c r="I696" s="1046"/>
      <c r="J696" s="1046"/>
      <c r="K696" s="1047"/>
      <c r="L696" s="1046"/>
      <c r="M696" s="1094"/>
      <c r="N696" s="989">
        <v>208000</v>
      </c>
      <c r="O696" s="989">
        <v>0</v>
      </c>
      <c r="P696" s="989">
        <v>208000</v>
      </c>
      <c r="Q696" s="989">
        <f t="shared" si="74"/>
        <v>208000</v>
      </c>
      <c r="R696" s="989">
        <f t="shared" ref="R696:R759" si="78">Q696/N696*100</f>
        <v>100</v>
      </c>
      <c r="S696" s="1011">
        <v>0</v>
      </c>
      <c r="T696" s="989">
        <f t="shared" si="75"/>
        <v>0</v>
      </c>
      <c r="U696" s="989">
        <f t="shared" si="76"/>
        <v>208000</v>
      </c>
      <c r="V696" s="989">
        <f t="shared" si="77"/>
        <v>100</v>
      </c>
      <c r="W696" s="989"/>
      <c r="X696" s="989">
        <f t="shared" si="73"/>
        <v>0</v>
      </c>
      <c r="Y696" s="1012"/>
    </row>
    <row r="697" spans="1:25" s="950" customFormat="1" ht="63" customHeight="1">
      <c r="A697" s="1006">
        <v>579</v>
      </c>
      <c r="B697" s="1007" t="s">
        <v>4516</v>
      </c>
      <c r="C697" s="1008"/>
      <c r="D697" s="1008" t="s">
        <v>4517</v>
      </c>
      <c r="E697" s="1007" t="s">
        <v>4399</v>
      </c>
      <c r="F697" s="1010" t="s">
        <v>1178</v>
      </c>
      <c r="G697" s="989">
        <v>0</v>
      </c>
      <c r="H697" s="937"/>
      <c r="I697" s="1046"/>
      <c r="J697" s="1046"/>
      <c r="K697" s="1047"/>
      <c r="L697" s="1046"/>
      <c r="M697" s="1094"/>
      <c r="N697" s="989">
        <v>0</v>
      </c>
      <c r="O697" s="989">
        <v>0</v>
      </c>
      <c r="P697" s="989"/>
      <c r="Q697" s="989">
        <f t="shared" si="74"/>
        <v>0</v>
      </c>
      <c r="R697" s="989" t="e">
        <f t="shared" si="78"/>
        <v>#DIV/0!</v>
      </c>
      <c r="S697" s="1011"/>
      <c r="T697" s="989">
        <v>0</v>
      </c>
      <c r="U697" s="989">
        <f t="shared" si="76"/>
        <v>0</v>
      </c>
      <c r="V697" s="989">
        <v>0</v>
      </c>
      <c r="W697" s="989"/>
      <c r="X697" s="989">
        <f t="shared" si="73"/>
        <v>0</v>
      </c>
      <c r="Y697" s="1012"/>
    </row>
    <row r="698" spans="1:25" ht="63" customHeight="1">
      <c r="A698" s="1006">
        <v>580</v>
      </c>
      <c r="B698" s="1007" t="s">
        <v>2235</v>
      </c>
      <c r="C698" s="1008"/>
      <c r="D698" s="1008" t="s">
        <v>3991</v>
      </c>
      <c r="E698" s="1007" t="s">
        <v>2236</v>
      </c>
      <c r="F698" s="1010" t="s">
        <v>1178</v>
      </c>
      <c r="G698" s="989">
        <v>104000</v>
      </c>
      <c r="H698" s="937"/>
      <c r="I698" s="1046"/>
      <c r="J698" s="1046"/>
      <c r="K698" s="1047"/>
      <c r="L698" s="1046"/>
      <c r="M698" s="1094"/>
      <c r="N698" s="989">
        <v>104000</v>
      </c>
      <c r="O698" s="989">
        <v>0</v>
      </c>
      <c r="P698" s="989">
        <v>71000</v>
      </c>
      <c r="Q698" s="989">
        <f t="shared" si="74"/>
        <v>71000</v>
      </c>
      <c r="R698" s="989">
        <f t="shared" si="78"/>
        <v>68.269230769230774</v>
      </c>
      <c r="S698" s="1011">
        <v>0</v>
      </c>
      <c r="T698" s="989">
        <f t="shared" si="75"/>
        <v>0</v>
      </c>
      <c r="U698" s="989">
        <f t="shared" si="76"/>
        <v>71000</v>
      </c>
      <c r="V698" s="989">
        <f t="shared" si="77"/>
        <v>68.269230769230774</v>
      </c>
      <c r="W698" s="989"/>
      <c r="X698" s="989">
        <f t="shared" si="73"/>
        <v>33000</v>
      </c>
      <c r="Y698" s="1012"/>
    </row>
    <row r="699" spans="1:25" ht="63" customHeight="1">
      <c r="A699" s="1006">
        <v>581</v>
      </c>
      <c r="B699" s="1007" t="s">
        <v>2237</v>
      </c>
      <c r="C699" s="1008"/>
      <c r="D699" s="1008" t="s">
        <v>3992</v>
      </c>
      <c r="E699" s="1007" t="s">
        <v>2238</v>
      </c>
      <c r="F699" s="1010" t="s">
        <v>550</v>
      </c>
      <c r="G699" s="989">
        <v>90400</v>
      </c>
      <c r="H699" s="937"/>
      <c r="I699" s="1046"/>
      <c r="J699" s="1046"/>
      <c r="K699" s="1047"/>
      <c r="L699" s="1046"/>
      <c r="M699" s="1094"/>
      <c r="N699" s="989">
        <v>90400</v>
      </c>
      <c r="O699" s="989">
        <v>90400</v>
      </c>
      <c r="P699" s="989"/>
      <c r="Q699" s="989">
        <f t="shared" si="74"/>
        <v>90400</v>
      </c>
      <c r="R699" s="989">
        <f t="shared" si="78"/>
        <v>100</v>
      </c>
      <c r="S699" s="1011"/>
      <c r="T699" s="989">
        <f t="shared" si="75"/>
        <v>0</v>
      </c>
      <c r="U699" s="989">
        <f t="shared" si="76"/>
        <v>90400</v>
      </c>
      <c r="V699" s="989">
        <f t="shared" si="77"/>
        <v>100</v>
      </c>
      <c r="W699" s="989"/>
      <c r="X699" s="989">
        <f t="shared" si="73"/>
        <v>0</v>
      </c>
      <c r="Y699" s="1012"/>
    </row>
    <row r="700" spans="1:25" ht="63" customHeight="1">
      <c r="A700" s="1006">
        <v>582</v>
      </c>
      <c r="B700" s="1007" t="s">
        <v>2239</v>
      </c>
      <c r="C700" s="1008"/>
      <c r="D700" s="1008" t="s">
        <v>3993</v>
      </c>
      <c r="E700" s="1007" t="s">
        <v>2240</v>
      </c>
      <c r="F700" s="1010" t="s">
        <v>550</v>
      </c>
      <c r="G700" s="989">
        <v>90400</v>
      </c>
      <c r="H700" s="937"/>
      <c r="I700" s="1046"/>
      <c r="J700" s="1046"/>
      <c r="K700" s="1047"/>
      <c r="L700" s="1046"/>
      <c r="M700" s="1094"/>
      <c r="N700" s="989">
        <v>90400</v>
      </c>
      <c r="O700" s="989">
        <v>90400</v>
      </c>
      <c r="P700" s="989"/>
      <c r="Q700" s="989">
        <f t="shared" si="74"/>
        <v>90400</v>
      </c>
      <c r="R700" s="989">
        <f t="shared" si="78"/>
        <v>100</v>
      </c>
      <c r="S700" s="1011"/>
      <c r="T700" s="989">
        <f t="shared" si="75"/>
        <v>0</v>
      </c>
      <c r="U700" s="989">
        <f t="shared" si="76"/>
        <v>90400</v>
      </c>
      <c r="V700" s="989">
        <f t="shared" si="77"/>
        <v>100</v>
      </c>
      <c r="W700" s="989"/>
      <c r="X700" s="989">
        <f t="shared" si="73"/>
        <v>0</v>
      </c>
      <c r="Y700" s="1012"/>
    </row>
    <row r="701" spans="1:25" ht="63" customHeight="1">
      <c r="A701" s="1006">
        <v>583</v>
      </c>
      <c r="B701" s="1007" t="s">
        <v>2241</v>
      </c>
      <c r="C701" s="1008"/>
      <c r="D701" s="1008" t="s">
        <v>3994</v>
      </c>
      <c r="E701" s="1007" t="s">
        <v>2242</v>
      </c>
      <c r="F701" s="1010" t="s">
        <v>343</v>
      </c>
      <c r="G701" s="989">
        <f>104000-47987.49</f>
        <v>56012.51</v>
      </c>
      <c r="H701" s="937"/>
      <c r="I701" s="1046"/>
      <c r="J701" s="1046"/>
      <c r="K701" s="1047"/>
      <c r="L701" s="1046"/>
      <c r="M701" s="1094">
        <f>-47987.49+47987.49</f>
        <v>0</v>
      </c>
      <c r="N701" s="989">
        <f>G701+M701</f>
        <v>56012.51</v>
      </c>
      <c r="O701" s="989">
        <v>0</v>
      </c>
      <c r="P701" s="989">
        <v>56012.51</v>
      </c>
      <c r="Q701" s="989">
        <f t="shared" si="74"/>
        <v>56012.51</v>
      </c>
      <c r="R701" s="989">
        <f t="shared" si="78"/>
        <v>100</v>
      </c>
      <c r="S701" s="1011">
        <v>0</v>
      </c>
      <c r="T701" s="989">
        <f t="shared" si="75"/>
        <v>0</v>
      </c>
      <c r="U701" s="989">
        <f t="shared" si="76"/>
        <v>56012.51</v>
      </c>
      <c r="V701" s="989">
        <f t="shared" si="77"/>
        <v>100</v>
      </c>
      <c r="W701" s="989"/>
      <c r="X701" s="989">
        <f t="shared" si="73"/>
        <v>0</v>
      </c>
      <c r="Y701" s="1012"/>
    </row>
    <row r="702" spans="1:25" ht="63" customHeight="1">
      <c r="A702" s="1006">
        <v>584</v>
      </c>
      <c r="B702" s="1007" t="s">
        <v>2243</v>
      </c>
      <c r="C702" s="1008"/>
      <c r="D702" s="1008" t="s">
        <v>3995</v>
      </c>
      <c r="E702" s="1007" t="s">
        <v>2244</v>
      </c>
      <c r="F702" s="1010" t="s">
        <v>550</v>
      </c>
      <c r="G702" s="989">
        <v>226000</v>
      </c>
      <c r="H702" s="937"/>
      <c r="I702" s="1046"/>
      <c r="J702" s="1046"/>
      <c r="K702" s="1047"/>
      <c r="L702" s="1046"/>
      <c r="M702" s="1094"/>
      <c r="N702" s="989">
        <v>226000</v>
      </c>
      <c r="O702" s="989">
        <v>226000</v>
      </c>
      <c r="P702" s="989"/>
      <c r="Q702" s="989">
        <f t="shared" si="74"/>
        <v>226000</v>
      </c>
      <c r="R702" s="989">
        <f t="shared" si="78"/>
        <v>100</v>
      </c>
      <c r="S702" s="1011"/>
      <c r="T702" s="989">
        <f t="shared" si="75"/>
        <v>0</v>
      </c>
      <c r="U702" s="989">
        <f t="shared" si="76"/>
        <v>226000</v>
      </c>
      <c r="V702" s="989">
        <f t="shared" si="77"/>
        <v>100</v>
      </c>
      <c r="W702" s="989"/>
      <c r="X702" s="989">
        <f t="shared" si="73"/>
        <v>0</v>
      </c>
      <c r="Y702" s="1012"/>
    </row>
    <row r="703" spans="1:25" ht="63" customHeight="1">
      <c r="A703" s="1006">
        <v>585</v>
      </c>
      <c r="B703" s="1007" t="s">
        <v>2245</v>
      </c>
      <c r="C703" s="1008"/>
      <c r="D703" s="1008" t="s">
        <v>3996</v>
      </c>
      <c r="E703" s="1007" t="s">
        <v>2246</v>
      </c>
      <c r="F703" s="1010" t="s">
        <v>550</v>
      </c>
      <c r="G703" s="989">
        <f>90400-1000</f>
        <v>89400</v>
      </c>
      <c r="H703" s="937"/>
      <c r="I703" s="1046"/>
      <c r="J703" s="1046"/>
      <c r="K703" s="1047"/>
      <c r="L703" s="1046"/>
      <c r="M703" s="1094">
        <f>-1000+1000</f>
        <v>0</v>
      </c>
      <c r="N703" s="989">
        <f>G703+M703:M703</f>
        <v>89400</v>
      </c>
      <c r="O703" s="989">
        <v>89400</v>
      </c>
      <c r="P703" s="989">
        <v>0</v>
      </c>
      <c r="Q703" s="989">
        <f t="shared" si="74"/>
        <v>89400</v>
      </c>
      <c r="R703" s="989">
        <f t="shared" si="78"/>
        <v>100</v>
      </c>
      <c r="S703" s="1011">
        <v>0</v>
      </c>
      <c r="T703" s="989">
        <f t="shared" si="75"/>
        <v>0</v>
      </c>
      <c r="U703" s="989">
        <f t="shared" si="76"/>
        <v>89400</v>
      </c>
      <c r="V703" s="989">
        <f t="shared" si="77"/>
        <v>100</v>
      </c>
      <c r="W703" s="989"/>
      <c r="X703" s="989">
        <f t="shared" si="73"/>
        <v>0</v>
      </c>
      <c r="Y703" s="1012"/>
    </row>
    <row r="704" spans="1:25" ht="57.75" customHeight="1">
      <c r="A704" s="1006">
        <v>586</v>
      </c>
      <c r="B704" s="1007" t="s">
        <v>2247</v>
      </c>
      <c r="C704" s="1008"/>
      <c r="D704" s="1008" t="s">
        <v>3997</v>
      </c>
      <c r="E704" s="1007" t="s">
        <v>2984</v>
      </c>
      <c r="F704" s="1010" t="s">
        <v>1181</v>
      </c>
      <c r="G704" s="989">
        <v>832000</v>
      </c>
      <c r="H704" s="937"/>
      <c r="I704" s="1046"/>
      <c r="J704" s="1046"/>
      <c r="K704" s="1047"/>
      <c r="L704" s="1046"/>
      <c r="M704" s="1094"/>
      <c r="N704" s="989">
        <v>832000</v>
      </c>
      <c r="O704" s="989">
        <v>0</v>
      </c>
      <c r="P704" s="989">
        <v>832000</v>
      </c>
      <c r="Q704" s="989">
        <f t="shared" si="74"/>
        <v>832000</v>
      </c>
      <c r="R704" s="989">
        <f t="shared" si="78"/>
        <v>100</v>
      </c>
      <c r="S704" s="1011">
        <v>0</v>
      </c>
      <c r="T704" s="989">
        <f t="shared" si="75"/>
        <v>0</v>
      </c>
      <c r="U704" s="989">
        <f t="shared" si="76"/>
        <v>832000</v>
      </c>
      <c r="V704" s="989">
        <f t="shared" si="77"/>
        <v>100</v>
      </c>
      <c r="W704" s="989"/>
      <c r="X704" s="989">
        <f t="shared" si="73"/>
        <v>0</v>
      </c>
      <c r="Y704" s="1012"/>
    </row>
    <row r="705" spans="1:25" ht="57" customHeight="1">
      <c r="A705" s="1006">
        <v>587</v>
      </c>
      <c r="B705" s="1007" t="s">
        <v>2248</v>
      </c>
      <c r="C705" s="1008"/>
      <c r="D705" s="1008" t="s">
        <v>3998</v>
      </c>
      <c r="E705" s="1007" t="s">
        <v>2249</v>
      </c>
      <c r="F705" s="1010" t="s">
        <v>550</v>
      </c>
      <c r="G705" s="989">
        <f>90400-24414.39</f>
        <v>65985.61</v>
      </c>
      <c r="H705" s="937"/>
      <c r="I705" s="1046"/>
      <c r="J705" s="1046"/>
      <c r="K705" s="1047"/>
      <c r="L705" s="1046"/>
      <c r="M705" s="1094">
        <f>-24414.39+24414.39</f>
        <v>0</v>
      </c>
      <c r="N705" s="989">
        <f>G705+M705+L705</f>
        <v>65985.61</v>
      </c>
      <c r="O705" s="989">
        <v>65985.61</v>
      </c>
      <c r="P705" s="989">
        <v>0</v>
      </c>
      <c r="Q705" s="989">
        <f t="shared" si="74"/>
        <v>65985.61</v>
      </c>
      <c r="R705" s="989">
        <f t="shared" si="78"/>
        <v>100</v>
      </c>
      <c r="S705" s="1011">
        <v>0</v>
      </c>
      <c r="T705" s="989">
        <f t="shared" si="75"/>
        <v>0</v>
      </c>
      <c r="U705" s="989">
        <f t="shared" si="76"/>
        <v>65985.61</v>
      </c>
      <c r="V705" s="989">
        <f t="shared" si="77"/>
        <v>100</v>
      </c>
      <c r="W705" s="989"/>
      <c r="X705" s="989">
        <f t="shared" si="73"/>
        <v>0</v>
      </c>
      <c r="Y705" s="1012"/>
    </row>
    <row r="706" spans="1:25" ht="54" customHeight="1">
      <c r="A706" s="1006">
        <v>588</v>
      </c>
      <c r="B706" s="1007" t="s">
        <v>2250</v>
      </c>
      <c r="C706" s="1008"/>
      <c r="D706" s="1008" t="s">
        <v>3999</v>
      </c>
      <c r="E706" s="1007" t="s">
        <v>2985</v>
      </c>
      <c r="F706" s="1010" t="s">
        <v>1181</v>
      </c>
      <c r="G706" s="989">
        <v>208000</v>
      </c>
      <c r="H706" s="937"/>
      <c r="I706" s="1046"/>
      <c r="J706" s="1046"/>
      <c r="K706" s="1047"/>
      <c r="L706" s="1046"/>
      <c r="M706" s="1094"/>
      <c r="N706" s="989">
        <v>208000</v>
      </c>
      <c r="O706" s="989">
        <v>0</v>
      </c>
      <c r="P706" s="989">
        <v>208000</v>
      </c>
      <c r="Q706" s="989">
        <f t="shared" si="74"/>
        <v>208000</v>
      </c>
      <c r="R706" s="989">
        <f t="shared" si="78"/>
        <v>100</v>
      </c>
      <c r="S706" s="1011">
        <v>0</v>
      </c>
      <c r="T706" s="989">
        <f t="shared" si="75"/>
        <v>0</v>
      </c>
      <c r="U706" s="989">
        <f t="shared" si="76"/>
        <v>208000</v>
      </c>
      <c r="V706" s="989">
        <f t="shared" si="77"/>
        <v>100</v>
      </c>
      <c r="W706" s="989"/>
      <c r="X706" s="989">
        <f t="shared" si="73"/>
        <v>0</v>
      </c>
      <c r="Y706" s="1012"/>
    </row>
    <row r="707" spans="1:25" ht="63" customHeight="1">
      <c r="A707" s="1006">
        <v>589</v>
      </c>
      <c r="B707" s="1007" t="s">
        <v>2251</v>
      </c>
      <c r="C707" s="1008"/>
      <c r="D707" s="1008" t="s">
        <v>4000</v>
      </c>
      <c r="E707" s="1007" t="s">
        <v>2252</v>
      </c>
      <c r="F707" s="1010" t="s">
        <v>550</v>
      </c>
      <c r="G707" s="989">
        <v>90400</v>
      </c>
      <c r="H707" s="937"/>
      <c r="I707" s="1046"/>
      <c r="J707" s="1046"/>
      <c r="K707" s="1047"/>
      <c r="L707" s="1046"/>
      <c r="M707" s="1094"/>
      <c r="N707" s="989">
        <v>90400</v>
      </c>
      <c r="O707" s="989">
        <v>90400</v>
      </c>
      <c r="P707" s="989"/>
      <c r="Q707" s="989">
        <f t="shared" si="74"/>
        <v>90400</v>
      </c>
      <c r="R707" s="989">
        <f t="shared" si="78"/>
        <v>100</v>
      </c>
      <c r="S707" s="1011"/>
      <c r="T707" s="989">
        <f t="shared" si="75"/>
        <v>0</v>
      </c>
      <c r="U707" s="989">
        <f t="shared" si="76"/>
        <v>90400</v>
      </c>
      <c r="V707" s="989">
        <f t="shared" si="77"/>
        <v>100</v>
      </c>
      <c r="W707" s="989"/>
      <c r="X707" s="989">
        <f t="shared" si="73"/>
        <v>0</v>
      </c>
      <c r="Y707" s="1012"/>
    </row>
    <row r="708" spans="1:25" ht="63" customHeight="1">
      <c r="A708" s="1006">
        <v>590</v>
      </c>
      <c r="B708" s="1007" t="s">
        <v>2253</v>
      </c>
      <c r="C708" s="1008"/>
      <c r="D708" s="1008" t="s">
        <v>4001</v>
      </c>
      <c r="E708" s="1007" t="s">
        <v>2254</v>
      </c>
      <c r="F708" s="1010" t="s">
        <v>550</v>
      </c>
      <c r="G708" s="989">
        <v>90400</v>
      </c>
      <c r="H708" s="937"/>
      <c r="I708" s="1046"/>
      <c r="J708" s="1046"/>
      <c r="K708" s="1047"/>
      <c r="L708" s="1046"/>
      <c r="M708" s="1094"/>
      <c r="N708" s="989">
        <v>90400</v>
      </c>
      <c r="O708" s="989">
        <v>90400</v>
      </c>
      <c r="P708" s="989"/>
      <c r="Q708" s="989">
        <f t="shared" si="74"/>
        <v>90400</v>
      </c>
      <c r="R708" s="989">
        <f t="shared" si="78"/>
        <v>100</v>
      </c>
      <c r="S708" s="1011"/>
      <c r="T708" s="989">
        <f t="shared" si="75"/>
        <v>0</v>
      </c>
      <c r="U708" s="989">
        <f t="shared" si="76"/>
        <v>90400</v>
      </c>
      <c r="V708" s="989">
        <f t="shared" si="77"/>
        <v>100</v>
      </c>
      <c r="W708" s="989"/>
      <c r="X708" s="989">
        <f t="shared" si="73"/>
        <v>0</v>
      </c>
      <c r="Y708" s="1012"/>
    </row>
    <row r="709" spans="1:25" ht="63" customHeight="1">
      <c r="A709" s="1006">
        <v>591</v>
      </c>
      <c r="B709" s="1007" t="s">
        <v>2255</v>
      </c>
      <c r="C709" s="1008"/>
      <c r="D709" s="1008" t="s">
        <v>4002</v>
      </c>
      <c r="E709" s="1007" t="s">
        <v>2986</v>
      </c>
      <c r="F709" s="1010" t="s">
        <v>1181</v>
      </c>
      <c r="G709" s="989">
        <v>520000</v>
      </c>
      <c r="H709" s="937"/>
      <c r="I709" s="1046"/>
      <c r="J709" s="1046"/>
      <c r="K709" s="1047"/>
      <c r="L709" s="1046"/>
      <c r="M709" s="1094">
        <v>-100</v>
      </c>
      <c r="N709" s="989">
        <f>520000+M709</f>
        <v>519900</v>
      </c>
      <c r="O709" s="989">
        <v>0</v>
      </c>
      <c r="P709" s="989">
        <v>519900</v>
      </c>
      <c r="Q709" s="989">
        <f t="shared" si="74"/>
        <v>519900</v>
      </c>
      <c r="R709" s="989">
        <f t="shared" si="78"/>
        <v>100</v>
      </c>
      <c r="S709" s="1011">
        <v>0</v>
      </c>
      <c r="T709" s="989">
        <f t="shared" si="75"/>
        <v>0</v>
      </c>
      <c r="U709" s="989">
        <f t="shared" si="76"/>
        <v>519900</v>
      </c>
      <c r="V709" s="989">
        <f t="shared" si="77"/>
        <v>100</v>
      </c>
      <c r="W709" s="989"/>
      <c r="X709" s="989">
        <f t="shared" si="73"/>
        <v>0</v>
      </c>
      <c r="Y709" s="1012"/>
    </row>
    <row r="710" spans="1:25" ht="63" customHeight="1">
      <c r="A710" s="1006">
        <v>592</v>
      </c>
      <c r="B710" s="1007" t="s">
        <v>2256</v>
      </c>
      <c r="C710" s="1008"/>
      <c r="D710" s="1008" t="s">
        <v>4003</v>
      </c>
      <c r="E710" s="1007" t="s">
        <v>2257</v>
      </c>
      <c r="F710" s="1010" t="s">
        <v>550</v>
      </c>
      <c r="G710" s="989">
        <v>45200</v>
      </c>
      <c r="H710" s="937"/>
      <c r="I710" s="1046"/>
      <c r="J710" s="1046"/>
      <c r="K710" s="1047"/>
      <c r="L710" s="1046"/>
      <c r="M710" s="1094"/>
      <c r="N710" s="989">
        <v>45200</v>
      </c>
      <c r="O710" s="989">
        <v>0</v>
      </c>
      <c r="P710" s="989">
        <v>45200</v>
      </c>
      <c r="Q710" s="989">
        <f t="shared" si="74"/>
        <v>45200</v>
      </c>
      <c r="R710" s="989">
        <f t="shared" si="78"/>
        <v>100</v>
      </c>
      <c r="S710" s="1011">
        <v>0</v>
      </c>
      <c r="T710" s="989">
        <f t="shared" si="75"/>
        <v>0</v>
      </c>
      <c r="U710" s="989">
        <f t="shared" si="76"/>
        <v>45200</v>
      </c>
      <c r="V710" s="989">
        <f t="shared" si="77"/>
        <v>100</v>
      </c>
      <c r="W710" s="989"/>
      <c r="X710" s="989">
        <f t="shared" si="73"/>
        <v>0</v>
      </c>
      <c r="Y710" s="1012"/>
    </row>
    <row r="711" spans="1:25" ht="63" customHeight="1">
      <c r="A711" s="1006">
        <v>593</v>
      </c>
      <c r="B711" s="1007" t="s">
        <v>2258</v>
      </c>
      <c r="C711" s="1008"/>
      <c r="D711" s="1008" t="s">
        <v>4004</v>
      </c>
      <c r="E711" s="1007" t="s">
        <v>2987</v>
      </c>
      <c r="F711" s="1010" t="s">
        <v>1181</v>
      </c>
      <c r="G711" s="989">
        <v>312000</v>
      </c>
      <c r="H711" s="937"/>
      <c r="I711" s="1046"/>
      <c r="J711" s="1046"/>
      <c r="K711" s="1047"/>
      <c r="L711" s="1046"/>
      <c r="M711" s="1094"/>
      <c r="N711" s="989">
        <v>312000</v>
      </c>
      <c r="O711" s="989">
        <v>0</v>
      </c>
      <c r="P711" s="989">
        <v>312000</v>
      </c>
      <c r="Q711" s="989">
        <f t="shared" si="74"/>
        <v>312000</v>
      </c>
      <c r="R711" s="989">
        <f t="shared" si="78"/>
        <v>100</v>
      </c>
      <c r="S711" s="1011">
        <v>0</v>
      </c>
      <c r="T711" s="989">
        <f t="shared" si="75"/>
        <v>0</v>
      </c>
      <c r="U711" s="989">
        <f t="shared" si="76"/>
        <v>312000</v>
      </c>
      <c r="V711" s="989">
        <f t="shared" si="77"/>
        <v>100</v>
      </c>
      <c r="W711" s="989"/>
      <c r="X711" s="989">
        <f t="shared" si="73"/>
        <v>0</v>
      </c>
      <c r="Y711" s="1012"/>
    </row>
    <row r="712" spans="1:25" ht="63" customHeight="1">
      <c r="A712" s="1006">
        <v>594</v>
      </c>
      <c r="B712" s="1007" t="s">
        <v>2259</v>
      </c>
      <c r="C712" s="1008"/>
      <c r="D712" s="1008" t="s">
        <v>4005</v>
      </c>
      <c r="E712" s="1007" t="s">
        <v>2260</v>
      </c>
      <c r="F712" s="1010" t="s">
        <v>556</v>
      </c>
      <c r="G712" s="989">
        <f>135600-33078.54</f>
        <v>102521.45999999999</v>
      </c>
      <c r="H712" s="937"/>
      <c r="I712" s="1046"/>
      <c r="J712" s="1046"/>
      <c r="K712" s="1047">
        <f>-13001.16-8999.71</f>
        <v>-22000.87</v>
      </c>
      <c r="L712" s="1046"/>
      <c r="M712" s="1094">
        <f>-15251-17827.54+33078.54</f>
        <v>0</v>
      </c>
      <c r="N712" s="989">
        <f>G712++M712+L712+K712</f>
        <v>80520.59</v>
      </c>
      <c r="O712" s="989">
        <v>0</v>
      </c>
      <c r="P712" s="989">
        <v>38699.42</v>
      </c>
      <c r="Q712" s="989">
        <f t="shared" si="74"/>
        <v>38699.42</v>
      </c>
      <c r="R712" s="989">
        <f t="shared" si="78"/>
        <v>48.061520661982229</v>
      </c>
      <c r="S712" s="1011">
        <v>41821.17</v>
      </c>
      <c r="T712" s="989">
        <f t="shared" si="75"/>
        <v>51.938479338017764</v>
      </c>
      <c r="U712" s="989">
        <f t="shared" si="76"/>
        <v>80520.59</v>
      </c>
      <c r="V712" s="989">
        <f t="shared" si="77"/>
        <v>100</v>
      </c>
      <c r="W712" s="989"/>
      <c r="X712" s="989">
        <f t="shared" si="73"/>
        <v>0</v>
      </c>
      <c r="Y712" s="1012"/>
    </row>
    <row r="713" spans="1:25" ht="63" customHeight="1">
      <c r="A713" s="1006">
        <v>595</v>
      </c>
      <c r="B713" s="1007" t="s">
        <v>2261</v>
      </c>
      <c r="C713" s="1008"/>
      <c r="D713" s="1008" t="s">
        <v>4006</v>
      </c>
      <c r="E713" s="1007" t="s">
        <v>2988</v>
      </c>
      <c r="F713" s="1010" t="s">
        <v>556</v>
      </c>
      <c r="G713" s="989">
        <f>135600-34615.17</f>
        <v>100984.83</v>
      </c>
      <c r="H713" s="937"/>
      <c r="I713" s="1046"/>
      <c r="J713" s="1046"/>
      <c r="K713" s="1047"/>
      <c r="L713" s="1046"/>
      <c r="M713" s="1094">
        <f>-30900-3715.17+34615.17</f>
        <v>0</v>
      </c>
      <c r="N713" s="989">
        <f>G713+M713</f>
        <v>100984.83</v>
      </c>
      <c r="O713" s="989">
        <v>0</v>
      </c>
      <c r="P713" s="989">
        <v>100984.83</v>
      </c>
      <c r="Q713" s="989">
        <f t="shared" si="74"/>
        <v>100984.83</v>
      </c>
      <c r="R713" s="989">
        <f t="shared" si="78"/>
        <v>100</v>
      </c>
      <c r="S713" s="1011">
        <v>0</v>
      </c>
      <c r="T713" s="989">
        <f t="shared" si="75"/>
        <v>0</v>
      </c>
      <c r="U713" s="989">
        <f t="shared" si="76"/>
        <v>100984.83</v>
      </c>
      <c r="V713" s="989">
        <f t="shared" si="77"/>
        <v>100</v>
      </c>
      <c r="W713" s="989"/>
      <c r="X713" s="989">
        <f t="shared" si="73"/>
        <v>0</v>
      </c>
      <c r="Y713" s="1012"/>
    </row>
    <row r="714" spans="1:25" ht="63" customHeight="1">
      <c r="A714" s="1006">
        <v>596</v>
      </c>
      <c r="B714" s="1007" t="s">
        <v>2262</v>
      </c>
      <c r="C714" s="1008"/>
      <c r="D714" s="1008" t="s">
        <v>4007</v>
      </c>
      <c r="E714" s="1007" t="s">
        <v>2263</v>
      </c>
      <c r="F714" s="1010" t="s">
        <v>556</v>
      </c>
      <c r="G714" s="989">
        <v>271200</v>
      </c>
      <c r="H714" s="937"/>
      <c r="I714" s="1046"/>
      <c r="J714" s="1046"/>
      <c r="K714" s="1047"/>
      <c r="L714" s="1046"/>
      <c r="M714" s="1094"/>
      <c r="N714" s="989">
        <v>271200</v>
      </c>
      <c r="O714" s="989">
        <v>0</v>
      </c>
      <c r="P714" s="989">
        <v>271200</v>
      </c>
      <c r="Q714" s="989">
        <f t="shared" si="74"/>
        <v>271200</v>
      </c>
      <c r="R714" s="989">
        <f t="shared" si="78"/>
        <v>100</v>
      </c>
      <c r="S714" s="1011">
        <v>0</v>
      </c>
      <c r="T714" s="989">
        <f t="shared" si="75"/>
        <v>0</v>
      </c>
      <c r="U714" s="989">
        <f t="shared" si="76"/>
        <v>271200</v>
      </c>
      <c r="V714" s="989">
        <f t="shared" si="77"/>
        <v>100</v>
      </c>
      <c r="W714" s="989"/>
      <c r="X714" s="989">
        <f t="shared" si="73"/>
        <v>0</v>
      </c>
      <c r="Y714" s="1012"/>
    </row>
    <row r="715" spans="1:25" ht="63" customHeight="1">
      <c r="A715" s="1006">
        <v>597</v>
      </c>
      <c r="B715" s="1007" t="s">
        <v>4518</v>
      </c>
      <c r="C715" s="1008"/>
      <c r="D715" s="1008" t="s">
        <v>4519</v>
      </c>
      <c r="E715" s="1007" t="s">
        <v>4400</v>
      </c>
      <c r="F715" s="1010" t="s">
        <v>556</v>
      </c>
      <c r="G715" s="989">
        <v>0</v>
      </c>
      <c r="H715" s="937"/>
      <c r="I715" s="1046"/>
      <c r="J715" s="1046"/>
      <c r="K715" s="1047"/>
      <c r="L715" s="1046"/>
      <c r="M715" s="1094"/>
      <c r="N715" s="989">
        <v>0</v>
      </c>
      <c r="O715" s="989">
        <v>0</v>
      </c>
      <c r="P715" s="989"/>
      <c r="Q715" s="989">
        <f t="shared" si="74"/>
        <v>0</v>
      </c>
      <c r="R715" s="989" t="e">
        <f t="shared" si="78"/>
        <v>#DIV/0!</v>
      </c>
      <c r="S715" s="1011"/>
      <c r="T715" s="989">
        <v>0</v>
      </c>
      <c r="U715" s="989">
        <f t="shared" si="76"/>
        <v>0</v>
      </c>
      <c r="V715" s="989">
        <v>0</v>
      </c>
      <c r="W715" s="989"/>
      <c r="X715" s="989">
        <f t="shared" si="73"/>
        <v>0</v>
      </c>
      <c r="Y715" s="1012"/>
    </row>
    <row r="716" spans="1:25" ht="63" customHeight="1">
      <c r="A716" s="1006">
        <v>598</v>
      </c>
      <c r="B716" s="1007" t="s">
        <v>2264</v>
      </c>
      <c r="C716" s="1008"/>
      <c r="D716" s="1008" t="s">
        <v>4008</v>
      </c>
      <c r="E716" s="1007" t="s">
        <v>2989</v>
      </c>
      <c r="F716" s="1010" t="s">
        <v>556</v>
      </c>
      <c r="G716" s="989">
        <f>90400-8400</f>
        <v>82000</v>
      </c>
      <c r="H716" s="937"/>
      <c r="I716" s="1046"/>
      <c r="J716" s="1046"/>
      <c r="K716" s="1047">
        <v>-18000</v>
      </c>
      <c r="L716" s="1046"/>
      <c r="M716" s="1094">
        <f>-8400+8400</f>
        <v>0</v>
      </c>
      <c r="N716" s="989">
        <f>G716+M716+K716</f>
        <v>64000</v>
      </c>
      <c r="O716" s="989">
        <v>0</v>
      </c>
      <c r="P716" s="989">
        <v>64000</v>
      </c>
      <c r="Q716" s="989">
        <f t="shared" si="74"/>
        <v>64000</v>
      </c>
      <c r="R716" s="989">
        <f t="shared" si="78"/>
        <v>100</v>
      </c>
      <c r="S716" s="1011">
        <v>0</v>
      </c>
      <c r="T716" s="989">
        <f t="shared" si="75"/>
        <v>0</v>
      </c>
      <c r="U716" s="989">
        <f t="shared" si="76"/>
        <v>64000</v>
      </c>
      <c r="V716" s="989">
        <f t="shared" si="77"/>
        <v>100</v>
      </c>
      <c r="W716" s="989"/>
      <c r="X716" s="989">
        <f t="shared" si="73"/>
        <v>0</v>
      </c>
      <c r="Y716" s="1012"/>
    </row>
    <row r="717" spans="1:25" ht="63" customHeight="1">
      <c r="A717" s="1006">
        <v>599</v>
      </c>
      <c r="B717" s="1007" t="s">
        <v>2265</v>
      </c>
      <c r="C717" s="1008"/>
      <c r="D717" s="1008" t="s">
        <v>4009</v>
      </c>
      <c r="E717" s="1007" t="s">
        <v>2266</v>
      </c>
      <c r="F717" s="1010" t="s">
        <v>556</v>
      </c>
      <c r="G717" s="989">
        <f>271200-91695.04</f>
        <v>179504.96000000002</v>
      </c>
      <c r="H717" s="937"/>
      <c r="I717" s="1046"/>
      <c r="J717" s="1046"/>
      <c r="K717" s="1047">
        <v>-54000</v>
      </c>
      <c r="L717" s="1046"/>
      <c r="M717" s="1094">
        <f>-91200-495.04+91695.04</f>
        <v>0</v>
      </c>
      <c r="N717" s="989">
        <f>G717+M717+K717</f>
        <v>125504.96000000002</v>
      </c>
      <c r="O717" s="989">
        <v>0</v>
      </c>
      <c r="P717" s="989">
        <v>125504.96000000001</v>
      </c>
      <c r="Q717" s="989">
        <f t="shared" si="74"/>
        <v>125504.96000000001</v>
      </c>
      <c r="R717" s="989">
        <f t="shared" si="78"/>
        <v>99.999999999999986</v>
      </c>
      <c r="S717" s="1011">
        <v>0</v>
      </c>
      <c r="T717" s="989">
        <f t="shared" si="75"/>
        <v>0</v>
      </c>
      <c r="U717" s="989">
        <f t="shared" si="76"/>
        <v>125504.96000000001</v>
      </c>
      <c r="V717" s="989">
        <f t="shared" si="77"/>
        <v>99.999999999999986</v>
      </c>
      <c r="W717" s="989"/>
      <c r="X717" s="989">
        <f t="shared" si="73"/>
        <v>0</v>
      </c>
      <c r="Y717" s="1012"/>
    </row>
    <row r="718" spans="1:25" ht="63" customHeight="1">
      <c r="A718" s="1006">
        <v>600</v>
      </c>
      <c r="B718" s="1007" t="s">
        <v>2267</v>
      </c>
      <c r="C718" s="1008"/>
      <c r="D718" s="1008" t="s">
        <v>4010</v>
      </c>
      <c r="E718" s="1007" t="s">
        <v>2268</v>
      </c>
      <c r="F718" s="1010" t="s">
        <v>556</v>
      </c>
      <c r="G718" s="989">
        <v>45200</v>
      </c>
      <c r="H718" s="937"/>
      <c r="I718" s="1046"/>
      <c r="J718" s="1046"/>
      <c r="K718" s="1047">
        <v>-5200</v>
      </c>
      <c r="L718" s="1046"/>
      <c r="M718" s="1094"/>
      <c r="N718" s="989">
        <f>45200+K718</f>
        <v>40000</v>
      </c>
      <c r="O718" s="989">
        <v>0</v>
      </c>
      <c r="P718" s="989">
        <v>40000</v>
      </c>
      <c r="Q718" s="989">
        <f t="shared" si="74"/>
        <v>40000</v>
      </c>
      <c r="R718" s="989">
        <f t="shared" si="78"/>
        <v>100</v>
      </c>
      <c r="S718" s="1011">
        <v>0</v>
      </c>
      <c r="T718" s="989">
        <f t="shared" si="75"/>
        <v>0</v>
      </c>
      <c r="U718" s="989">
        <f t="shared" si="76"/>
        <v>40000</v>
      </c>
      <c r="V718" s="989">
        <f t="shared" si="77"/>
        <v>100</v>
      </c>
      <c r="W718" s="989"/>
      <c r="X718" s="989">
        <f t="shared" si="73"/>
        <v>0</v>
      </c>
      <c r="Y718" s="1012"/>
    </row>
    <row r="719" spans="1:25" ht="63" customHeight="1">
      <c r="A719" s="1006">
        <v>601</v>
      </c>
      <c r="B719" s="1007" t="s">
        <v>2269</v>
      </c>
      <c r="C719" s="1008"/>
      <c r="D719" s="1008" t="s">
        <v>4011</v>
      </c>
      <c r="E719" s="1007" t="s">
        <v>2270</v>
      </c>
      <c r="F719" s="1010" t="s">
        <v>1183</v>
      </c>
      <c r="G719" s="989">
        <f>45200-1719.45</f>
        <v>43480.55</v>
      </c>
      <c r="H719" s="937"/>
      <c r="I719" s="1046"/>
      <c r="J719" s="1046"/>
      <c r="K719" s="1047"/>
      <c r="L719" s="1046"/>
      <c r="M719" s="1094">
        <f>-1719.45+1719.45</f>
        <v>0</v>
      </c>
      <c r="N719" s="989">
        <f>G719+M719</f>
        <v>43480.55</v>
      </c>
      <c r="O719" s="989">
        <v>0</v>
      </c>
      <c r="P719" s="989">
        <v>43480.55</v>
      </c>
      <c r="Q719" s="989">
        <f t="shared" si="74"/>
        <v>43480.55</v>
      </c>
      <c r="R719" s="989">
        <f t="shared" si="78"/>
        <v>100</v>
      </c>
      <c r="S719" s="1011">
        <v>0</v>
      </c>
      <c r="T719" s="989">
        <f t="shared" si="75"/>
        <v>0</v>
      </c>
      <c r="U719" s="989">
        <f t="shared" si="76"/>
        <v>43480.55</v>
      </c>
      <c r="V719" s="989">
        <f t="shared" si="77"/>
        <v>100</v>
      </c>
      <c r="W719" s="989"/>
      <c r="X719" s="989">
        <f t="shared" si="73"/>
        <v>0</v>
      </c>
      <c r="Y719" s="1012"/>
    </row>
    <row r="720" spans="1:25" ht="63" customHeight="1">
      <c r="A720" s="1006">
        <v>602</v>
      </c>
      <c r="B720" s="1007" t="s">
        <v>2271</v>
      </c>
      <c r="C720" s="1008"/>
      <c r="D720" s="1008" t="s">
        <v>4012</v>
      </c>
      <c r="E720" s="1007" t="s">
        <v>2272</v>
      </c>
      <c r="F720" s="1010" t="s">
        <v>1183</v>
      </c>
      <c r="G720" s="989">
        <v>180800</v>
      </c>
      <c r="H720" s="937"/>
      <c r="I720" s="1046"/>
      <c r="J720" s="1046"/>
      <c r="K720" s="1047"/>
      <c r="L720" s="1046"/>
      <c r="M720" s="1094"/>
      <c r="N720" s="989">
        <v>180800</v>
      </c>
      <c r="O720" s="989">
        <v>0</v>
      </c>
      <c r="P720" s="989">
        <v>180800</v>
      </c>
      <c r="Q720" s="989">
        <f t="shared" si="74"/>
        <v>180800</v>
      </c>
      <c r="R720" s="989">
        <f t="shared" si="78"/>
        <v>100</v>
      </c>
      <c r="S720" s="1011">
        <v>0</v>
      </c>
      <c r="T720" s="989">
        <f t="shared" si="75"/>
        <v>0</v>
      </c>
      <c r="U720" s="989">
        <f t="shared" si="76"/>
        <v>180800</v>
      </c>
      <c r="V720" s="989">
        <f t="shared" si="77"/>
        <v>100</v>
      </c>
      <c r="W720" s="989"/>
      <c r="X720" s="989">
        <f t="shared" si="73"/>
        <v>0</v>
      </c>
      <c r="Y720" s="1012"/>
    </row>
    <row r="721" spans="1:39" s="969" customFormat="1" ht="63" customHeight="1">
      <c r="A721" s="1006">
        <v>603</v>
      </c>
      <c r="B721" s="1007" t="s">
        <v>2273</v>
      </c>
      <c r="C721" s="1008"/>
      <c r="D721" s="1008" t="s">
        <v>4013</v>
      </c>
      <c r="E721" s="1007" t="s">
        <v>2274</v>
      </c>
      <c r="F721" s="1010" t="s">
        <v>1183</v>
      </c>
      <c r="G721" s="989">
        <f>226000-25600.47</f>
        <v>200399.53</v>
      </c>
      <c r="H721" s="937"/>
      <c r="I721" s="1046"/>
      <c r="J721" s="1046"/>
      <c r="K721" s="1047"/>
      <c r="L721" s="1046"/>
      <c r="M721" s="1094">
        <f>-25600.47+25600.47</f>
        <v>0</v>
      </c>
      <c r="N721" s="989">
        <f>G721+M721</f>
        <v>200399.53</v>
      </c>
      <c r="O721" s="989">
        <v>45200</v>
      </c>
      <c r="P721" s="989">
        <v>155199.53</v>
      </c>
      <c r="Q721" s="989">
        <f t="shared" si="74"/>
        <v>200399.53</v>
      </c>
      <c r="R721" s="989">
        <f t="shared" si="78"/>
        <v>100</v>
      </c>
      <c r="S721" s="1011">
        <v>0</v>
      </c>
      <c r="T721" s="989">
        <f t="shared" si="75"/>
        <v>0</v>
      </c>
      <c r="U721" s="989">
        <f t="shared" si="76"/>
        <v>200399.53</v>
      </c>
      <c r="V721" s="989">
        <f t="shared" si="77"/>
        <v>100</v>
      </c>
      <c r="W721" s="989"/>
      <c r="X721" s="989">
        <f t="shared" si="73"/>
        <v>0</v>
      </c>
      <c r="Y721" s="1012"/>
      <c r="Z721" s="941"/>
      <c r="AA721" s="941"/>
      <c r="AB721" s="941"/>
      <c r="AC721" s="941"/>
      <c r="AD721" s="941"/>
      <c r="AE721" s="941"/>
      <c r="AF721" s="941"/>
      <c r="AG721" s="941"/>
      <c r="AH721" s="941"/>
      <c r="AI721" s="941"/>
      <c r="AJ721" s="941"/>
      <c r="AK721" s="941"/>
      <c r="AL721" s="941"/>
      <c r="AM721" s="941"/>
    </row>
    <row r="722" spans="1:39" s="969" customFormat="1" ht="63" customHeight="1">
      <c r="A722" s="1006">
        <v>604</v>
      </c>
      <c r="B722" s="1007" t="s">
        <v>2275</v>
      </c>
      <c r="C722" s="1008"/>
      <c r="D722" s="1008" t="s">
        <v>4014</v>
      </c>
      <c r="E722" s="1007" t="s">
        <v>2276</v>
      </c>
      <c r="F722" s="1010" t="s">
        <v>1183</v>
      </c>
      <c r="G722" s="989">
        <f>226000-21269.86</f>
        <v>204730.14</v>
      </c>
      <c r="H722" s="937"/>
      <c r="I722" s="1046"/>
      <c r="J722" s="1046"/>
      <c r="K722" s="1047"/>
      <c r="L722" s="1046"/>
      <c r="M722" s="1094">
        <f>-21269.86+21269.86</f>
        <v>0</v>
      </c>
      <c r="N722" s="989">
        <f>G722+M722</f>
        <v>204730.14</v>
      </c>
      <c r="O722" s="989">
        <v>0</v>
      </c>
      <c r="P722" s="989">
        <v>204730.14</v>
      </c>
      <c r="Q722" s="989">
        <f t="shared" si="74"/>
        <v>204730.14</v>
      </c>
      <c r="R722" s="989">
        <f t="shared" si="78"/>
        <v>100</v>
      </c>
      <c r="S722" s="1011">
        <v>0</v>
      </c>
      <c r="T722" s="989">
        <f t="shared" si="75"/>
        <v>0</v>
      </c>
      <c r="U722" s="989">
        <f t="shared" si="76"/>
        <v>204730.14</v>
      </c>
      <c r="V722" s="989">
        <f t="shared" si="77"/>
        <v>100</v>
      </c>
      <c r="W722" s="989"/>
      <c r="X722" s="989">
        <f t="shared" si="73"/>
        <v>0</v>
      </c>
      <c r="Y722" s="1012"/>
      <c r="Z722" s="941"/>
      <c r="AA722" s="941"/>
      <c r="AB722" s="941"/>
      <c r="AC722" s="941"/>
      <c r="AD722" s="941"/>
      <c r="AE722" s="941"/>
      <c r="AF722" s="941"/>
      <c r="AG722" s="941"/>
      <c r="AH722" s="941"/>
      <c r="AI722" s="941"/>
      <c r="AJ722" s="941"/>
      <c r="AK722" s="941"/>
      <c r="AL722" s="941"/>
      <c r="AM722" s="941"/>
    </row>
    <row r="723" spans="1:39" s="969" customFormat="1" ht="63" customHeight="1">
      <c r="A723" s="1006">
        <v>605</v>
      </c>
      <c r="B723" s="1007" t="s">
        <v>2277</v>
      </c>
      <c r="C723" s="1008"/>
      <c r="D723" s="1008" t="s">
        <v>4015</v>
      </c>
      <c r="E723" s="1007" t="s">
        <v>2278</v>
      </c>
      <c r="F723" s="1010" t="s">
        <v>1183</v>
      </c>
      <c r="G723" s="989">
        <f>135600-41600</f>
        <v>94000</v>
      </c>
      <c r="H723" s="937"/>
      <c r="I723" s="1046"/>
      <c r="J723" s="1046"/>
      <c r="K723" s="1047"/>
      <c r="L723" s="1046"/>
      <c r="M723" s="1094">
        <f>-41600+41600</f>
        <v>0</v>
      </c>
      <c r="N723" s="989">
        <f>G723+M723</f>
        <v>94000</v>
      </c>
      <c r="O723" s="989">
        <v>0</v>
      </c>
      <c r="P723" s="989">
        <v>94000</v>
      </c>
      <c r="Q723" s="989">
        <f t="shared" si="74"/>
        <v>94000</v>
      </c>
      <c r="R723" s="989">
        <f t="shared" si="78"/>
        <v>100</v>
      </c>
      <c r="S723" s="1011">
        <v>0</v>
      </c>
      <c r="T723" s="989">
        <f t="shared" si="75"/>
        <v>0</v>
      </c>
      <c r="U723" s="989">
        <f t="shared" si="76"/>
        <v>94000</v>
      </c>
      <c r="V723" s="989">
        <f t="shared" si="77"/>
        <v>100</v>
      </c>
      <c r="W723" s="989"/>
      <c r="X723" s="989">
        <f t="shared" si="73"/>
        <v>0</v>
      </c>
      <c r="Y723" s="1012"/>
      <c r="Z723" s="941"/>
      <c r="AA723" s="941"/>
      <c r="AB723" s="941"/>
      <c r="AC723" s="941"/>
      <c r="AD723" s="941"/>
      <c r="AE723" s="941"/>
      <c r="AF723" s="941"/>
      <c r="AG723" s="941"/>
      <c r="AH723" s="941"/>
      <c r="AI723" s="941"/>
      <c r="AJ723" s="941"/>
      <c r="AK723" s="941"/>
      <c r="AL723" s="941"/>
      <c r="AM723" s="941"/>
    </row>
    <row r="724" spans="1:39" s="969" customFormat="1" ht="63" customHeight="1">
      <c r="A724" s="1006">
        <v>606</v>
      </c>
      <c r="B724" s="1007" t="s">
        <v>2279</v>
      </c>
      <c r="C724" s="1008"/>
      <c r="D724" s="1008" t="s">
        <v>4016</v>
      </c>
      <c r="E724" s="1007" t="s">
        <v>2280</v>
      </c>
      <c r="F724" s="1010" t="s">
        <v>1183</v>
      </c>
      <c r="G724" s="989">
        <v>135600</v>
      </c>
      <c r="H724" s="937"/>
      <c r="I724" s="1046"/>
      <c r="J724" s="1046"/>
      <c r="K724" s="1047"/>
      <c r="L724" s="1046"/>
      <c r="M724" s="1094"/>
      <c r="N724" s="989">
        <v>135600</v>
      </c>
      <c r="O724" s="989">
        <v>0</v>
      </c>
      <c r="P724" s="989">
        <v>135600</v>
      </c>
      <c r="Q724" s="989">
        <f t="shared" si="74"/>
        <v>135600</v>
      </c>
      <c r="R724" s="989">
        <f t="shared" si="78"/>
        <v>100</v>
      </c>
      <c r="S724" s="1011">
        <v>0</v>
      </c>
      <c r="T724" s="989">
        <f t="shared" si="75"/>
        <v>0</v>
      </c>
      <c r="U724" s="989">
        <f t="shared" si="76"/>
        <v>135600</v>
      </c>
      <c r="V724" s="989">
        <f t="shared" si="77"/>
        <v>100</v>
      </c>
      <c r="W724" s="989"/>
      <c r="X724" s="989">
        <f t="shared" si="73"/>
        <v>0</v>
      </c>
      <c r="Y724" s="1012"/>
      <c r="Z724" s="941"/>
      <c r="AA724" s="941"/>
      <c r="AB724" s="941"/>
      <c r="AC724" s="941"/>
      <c r="AD724" s="941"/>
      <c r="AE724" s="941"/>
      <c r="AF724" s="941"/>
      <c r="AG724" s="941"/>
      <c r="AH724" s="941"/>
      <c r="AI724" s="941"/>
      <c r="AJ724" s="941"/>
      <c r="AK724" s="941"/>
      <c r="AL724" s="941"/>
      <c r="AM724" s="941"/>
    </row>
    <row r="725" spans="1:39" s="969" customFormat="1" ht="63" customHeight="1">
      <c r="A725" s="1006">
        <v>607</v>
      </c>
      <c r="B725" s="1007" t="s">
        <v>2281</v>
      </c>
      <c r="C725" s="1008"/>
      <c r="D725" s="1008" t="s">
        <v>4017</v>
      </c>
      <c r="E725" s="1007" t="s">
        <v>2282</v>
      </c>
      <c r="F725" s="1010" t="s">
        <v>541</v>
      </c>
      <c r="G725" s="989">
        <f>90400-26851</f>
        <v>63549</v>
      </c>
      <c r="H725" s="937"/>
      <c r="I725" s="1046"/>
      <c r="J725" s="1046"/>
      <c r="K725" s="1047"/>
      <c r="L725" s="1046"/>
      <c r="M725" s="1094">
        <f>-1183.94-25667.06+26851</f>
        <v>0</v>
      </c>
      <c r="N725" s="989">
        <f t="shared" ref="N725:N730" si="79">G725+M725</f>
        <v>63549</v>
      </c>
      <c r="O725" s="989">
        <v>63549</v>
      </c>
      <c r="P725" s="989">
        <v>0</v>
      </c>
      <c r="Q725" s="989">
        <f t="shared" si="74"/>
        <v>63549</v>
      </c>
      <c r="R725" s="989">
        <f t="shared" si="78"/>
        <v>100</v>
      </c>
      <c r="S725" s="1011">
        <v>0</v>
      </c>
      <c r="T725" s="989">
        <f t="shared" si="75"/>
        <v>0</v>
      </c>
      <c r="U725" s="989">
        <f t="shared" si="76"/>
        <v>63549</v>
      </c>
      <c r="V725" s="989">
        <f t="shared" si="77"/>
        <v>100</v>
      </c>
      <c r="W725" s="989"/>
      <c r="X725" s="989">
        <f t="shared" si="73"/>
        <v>0</v>
      </c>
      <c r="Y725" s="1012"/>
      <c r="Z725" s="941"/>
      <c r="AA725" s="941"/>
      <c r="AB725" s="941"/>
      <c r="AC725" s="941"/>
      <c r="AD725" s="941"/>
      <c r="AE725" s="941"/>
      <c r="AF725" s="941"/>
      <c r="AG725" s="941"/>
      <c r="AH725" s="941"/>
      <c r="AI725" s="941"/>
      <c r="AJ725" s="941"/>
      <c r="AK725" s="941"/>
      <c r="AL725" s="941"/>
      <c r="AM725" s="941"/>
    </row>
    <row r="726" spans="1:39" s="969" customFormat="1" ht="63" customHeight="1">
      <c r="A726" s="1006">
        <v>608</v>
      </c>
      <c r="B726" s="1007" t="s">
        <v>2283</v>
      </c>
      <c r="C726" s="1008"/>
      <c r="D726" s="1008" t="s">
        <v>4018</v>
      </c>
      <c r="E726" s="1007" t="s">
        <v>2284</v>
      </c>
      <c r="F726" s="1010" t="s">
        <v>1188</v>
      </c>
      <c r="G726" s="989">
        <f>104000-21000</f>
        <v>83000</v>
      </c>
      <c r="H726" s="937"/>
      <c r="I726" s="1046"/>
      <c r="J726" s="1046"/>
      <c r="K726" s="1047"/>
      <c r="L726" s="1046"/>
      <c r="M726" s="1094">
        <f>-21000+21000</f>
        <v>0</v>
      </c>
      <c r="N726" s="989">
        <f t="shared" si="79"/>
        <v>83000</v>
      </c>
      <c r="O726" s="989">
        <v>83000</v>
      </c>
      <c r="P726" s="989">
        <v>0</v>
      </c>
      <c r="Q726" s="989">
        <f t="shared" si="74"/>
        <v>83000</v>
      </c>
      <c r="R726" s="989">
        <f t="shared" si="78"/>
        <v>100</v>
      </c>
      <c r="S726" s="1011">
        <v>0</v>
      </c>
      <c r="T726" s="989">
        <f t="shared" si="75"/>
        <v>0</v>
      </c>
      <c r="U726" s="989">
        <f t="shared" si="76"/>
        <v>83000</v>
      </c>
      <c r="V726" s="989">
        <f t="shared" si="77"/>
        <v>100</v>
      </c>
      <c r="W726" s="989"/>
      <c r="X726" s="989">
        <f t="shared" si="73"/>
        <v>0</v>
      </c>
      <c r="Y726" s="1012"/>
      <c r="Z726" s="941"/>
      <c r="AA726" s="941"/>
      <c r="AB726" s="941"/>
      <c r="AC726" s="941"/>
      <c r="AD726" s="941"/>
      <c r="AE726" s="941"/>
      <c r="AF726" s="941"/>
      <c r="AG726" s="941"/>
      <c r="AH726" s="941"/>
      <c r="AI726" s="941"/>
      <c r="AJ726" s="941"/>
      <c r="AK726" s="941"/>
      <c r="AL726" s="941"/>
      <c r="AM726" s="941"/>
    </row>
    <row r="727" spans="1:39" s="969" customFormat="1" ht="63" customHeight="1">
      <c r="A727" s="1006">
        <v>609</v>
      </c>
      <c r="B727" s="1007" t="s">
        <v>2285</v>
      </c>
      <c r="C727" s="1008"/>
      <c r="D727" s="1008" t="s">
        <v>4019</v>
      </c>
      <c r="E727" s="1007" t="s">
        <v>2286</v>
      </c>
      <c r="F727" s="1010" t="s">
        <v>1188</v>
      </c>
      <c r="G727" s="989">
        <f>104000-33712.2</f>
        <v>70287.8</v>
      </c>
      <c r="H727" s="937"/>
      <c r="I727" s="1046"/>
      <c r="J727" s="1046"/>
      <c r="K727" s="1047"/>
      <c r="L727" s="1046"/>
      <c r="M727" s="1094">
        <f>-33712.2+33712.2</f>
        <v>0</v>
      </c>
      <c r="N727" s="989">
        <f t="shared" si="79"/>
        <v>70287.8</v>
      </c>
      <c r="O727" s="989">
        <v>0</v>
      </c>
      <c r="P727" s="989">
        <v>70287.8</v>
      </c>
      <c r="Q727" s="989">
        <f t="shared" si="74"/>
        <v>70287.8</v>
      </c>
      <c r="R727" s="989">
        <f t="shared" si="78"/>
        <v>100</v>
      </c>
      <c r="S727" s="1011">
        <v>0</v>
      </c>
      <c r="T727" s="989">
        <f t="shared" si="75"/>
        <v>0</v>
      </c>
      <c r="U727" s="989">
        <f t="shared" si="76"/>
        <v>70287.8</v>
      </c>
      <c r="V727" s="989">
        <f t="shared" si="77"/>
        <v>100</v>
      </c>
      <c r="W727" s="989"/>
      <c r="X727" s="989">
        <f t="shared" si="73"/>
        <v>0</v>
      </c>
      <c r="Y727" s="1012"/>
      <c r="Z727" s="941"/>
      <c r="AA727" s="941"/>
      <c r="AB727" s="941"/>
      <c r="AC727" s="941"/>
      <c r="AD727" s="941"/>
      <c r="AE727" s="941"/>
      <c r="AF727" s="941"/>
      <c r="AG727" s="941"/>
      <c r="AH727" s="941"/>
      <c r="AI727" s="941"/>
      <c r="AJ727" s="941"/>
      <c r="AK727" s="941"/>
      <c r="AL727" s="941"/>
      <c r="AM727" s="941"/>
    </row>
    <row r="728" spans="1:39" s="969" customFormat="1" ht="63" customHeight="1">
      <c r="A728" s="1006">
        <v>610</v>
      </c>
      <c r="B728" s="1007" t="s">
        <v>2287</v>
      </c>
      <c r="C728" s="1008"/>
      <c r="D728" s="1008" t="s">
        <v>4020</v>
      </c>
      <c r="E728" s="1007" t="s">
        <v>2288</v>
      </c>
      <c r="F728" s="1010" t="s">
        <v>541</v>
      </c>
      <c r="G728" s="989">
        <f>45200-10584.94</f>
        <v>34615.06</v>
      </c>
      <c r="H728" s="937"/>
      <c r="I728" s="1046"/>
      <c r="J728" s="1046"/>
      <c r="K728" s="1047"/>
      <c r="L728" s="1046"/>
      <c r="M728" s="1094">
        <f>-10089.88-495.06+10584.94</f>
        <v>0</v>
      </c>
      <c r="N728" s="989">
        <f t="shared" si="79"/>
        <v>34615.06</v>
      </c>
      <c r="O728" s="989">
        <v>34615.06</v>
      </c>
      <c r="P728" s="989">
        <v>0</v>
      </c>
      <c r="Q728" s="989">
        <f t="shared" si="74"/>
        <v>34615.06</v>
      </c>
      <c r="R728" s="989">
        <f t="shared" si="78"/>
        <v>100</v>
      </c>
      <c r="S728" s="1011">
        <v>0</v>
      </c>
      <c r="T728" s="989">
        <f t="shared" si="75"/>
        <v>0</v>
      </c>
      <c r="U728" s="989">
        <f t="shared" si="76"/>
        <v>34615.06</v>
      </c>
      <c r="V728" s="989">
        <f t="shared" si="77"/>
        <v>100</v>
      </c>
      <c r="W728" s="989"/>
      <c r="X728" s="989">
        <f t="shared" si="73"/>
        <v>0</v>
      </c>
      <c r="Y728" s="1012"/>
      <c r="Z728" s="941"/>
      <c r="AA728" s="941"/>
      <c r="AB728" s="941"/>
      <c r="AC728" s="941"/>
      <c r="AD728" s="941"/>
      <c r="AE728" s="941"/>
      <c r="AF728" s="941"/>
      <c r="AG728" s="941"/>
      <c r="AH728" s="941"/>
      <c r="AI728" s="941"/>
      <c r="AJ728" s="941"/>
      <c r="AK728" s="941"/>
      <c r="AL728" s="941"/>
      <c r="AM728" s="941"/>
    </row>
    <row r="729" spans="1:39" s="969" customFormat="1" ht="63" customHeight="1">
      <c r="A729" s="1006">
        <v>611</v>
      </c>
      <c r="B729" s="1007" t="s">
        <v>2289</v>
      </c>
      <c r="C729" s="1008"/>
      <c r="D729" s="1008" t="s">
        <v>4021</v>
      </c>
      <c r="E729" s="1007" t="s">
        <v>2290</v>
      </c>
      <c r="F729" s="1010" t="s">
        <v>541</v>
      </c>
      <c r="G729" s="989">
        <f>45200-19538.97</f>
        <v>25661.03</v>
      </c>
      <c r="H729" s="937"/>
      <c r="I729" s="1046"/>
      <c r="J729" s="1046"/>
      <c r="K729" s="1047"/>
      <c r="L729" s="1046"/>
      <c r="M729" s="1094">
        <f>-17577.36-1961.61+19538.97</f>
        <v>0</v>
      </c>
      <c r="N729" s="989">
        <f t="shared" si="79"/>
        <v>25661.03</v>
      </c>
      <c r="O729" s="989">
        <v>25661.03</v>
      </c>
      <c r="P729" s="989">
        <v>0</v>
      </c>
      <c r="Q729" s="989">
        <f t="shared" si="74"/>
        <v>25661.03</v>
      </c>
      <c r="R729" s="989">
        <f t="shared" si="78"/>
        <v>100</v>
      </c>
      <c r="S729" s="1011">
        <v>0</v>
      </c>
      <c r="T729" s="989">
        <f t="shared" si="75"/>
        <v>0</v>
      </c>
      <c r="U729" s="989">
        <f t="shared" si="76"/>
        <v>25661.03</v>
      </c>
      <c r="V729" s="989">
        <f t="shared" si="77"/>
        <v>100</v>
      </c>
      <c r="W729" s="989"/>
      <c r="X729" s="989">
        <f t="shared" si="73"/>
        <v>0</v>
      </c>
      <c r="Y729" s="1012"/>
      <c r="Z729" s="941"/>
      <c r="AA729" s="941"/>
      <c r="AB729" s="941"/>
      <c r="AC729" s="941"/>
      <c r="AD729" s="941"/>
      <c r="AE729" s="941"/>
      <c r="AF729" s="941"/>
      <c r="AG729" s="941"/>
      <c r="AH729" s="941"/>
      <c r="AI729" s="941"/>
      <c r="AJ729" s="941"/>
      <c r="AK729" s="941"/>
      <c r="AL729" s="941"/>
      <c r="AM729" s="941"/>
    </row>
    <row r="730" spans="1:39" s="969" customFormat="1" ht="63" customHeight="1">
      <c r="A730" s="1006">
        <v>612</v>
      </c>
      <c r="B730" s="1007" t="s">
        <v>2291</v>
      </c>
      <c r="C730" s="1008"/>
      <c r="D730" s="1008" t="s">
        <v>4022</v>
      </c>
      <c r="E730" s="1007" t="s">
        <v>2292</v>
      </c>
      <c r="F730" s="1010" t="s">
        <v>541</v>
      </c>
      <c r="G730" s="989">
        <f>135600-29993.74</f>
        <v>105606.26</v>
      </c>
      <c r="H730" s="937"/>
      <c r="I730" s="1046"/>
      <c r="J730" s="1046"/>
      <c r="K730" s="1047"/>
      <c r="L730" s="1046"/>
      <c r="M730" s="1094">
        <f>-10416.22+-4785.61-11391.86-3400.05+29993.74</f>
        <v>0</v>
      </c>
      <c r="N730" s="989">
        <f t="shared" si="79"/>
        <v>105606.26</v>
      </c>
      <c r="O730" s="989">
        <v>75198.17</v>
      </c>
      <c r="P730" s="989">
        <v>30408.09</v>
      </c>
      <c r="Q730" s="989">
        <f t="shared" si="74"/>
        <v>105606.26</v>
      </c>
      <c r="R730" s="989">
        <f t="shared" si="78"/>
        <v>100</v>
      </c>
      <c r="S730" s="1011">
        <v>0</v>
      </c>
      <c r="T730" s="989">
        <f t="shared" si="75"/>
        <v>0</v>
      </c>
      <c r="U730" s="989">
        <f t="shared" si="76"/>
        <v>105606.26</v>
      </c>
      <c r="V730" s="989">
        <f t="shared" si="77"/>
        <v>100</v>
      </c>
      <c r="W730" s="989"/>
      <c r="X730" s="989">
        <f t="shared" si="73"/>
        <v>0</v>
      </c>
      <c r="Y730" s="1012"/>
      <c r="Z730" s="941"/>
      <c r="AA730" s="941"/>
      <c r="AB730" s="941"/>
      <c r="AC730" s="941"/>
      <c r="AD730" s="941"/>
      <c r="AE730" s="941"/>
      <c r="AF730" s="941"/>
      <c r="AG730" s="941"/>
      <c r="AH730" s="941"/>
      <c r="AI730" s="941"/>
      <c r="AJ730" s="941"/>
      <c r="AK730" s="941"/>
      <c r="AL730" s="941"/>
      <c r="AM730" s="941"/>
    </row>
    <row r="731" spans="1:39" s="969" customFormat="1" ht="63" customHeight="1">
      <c r="A731" s="1006">
        <v>613</v>
      </c>
      <c r="B731" s="1007" t="s">
        <v>2293</v>
      </c>
      <c r="C731" s="1008"/>
      <c r="D731" s="1008" t="s">
        <v>4023</v>
      </c>
      <c r="E731" s="1007" t="s">
        <v>2294</v>
      </c>
      <c r="F731" s="1010" t="s">
        <v>1188</v>
      </c>
      <c r="G731" s="989">
        <v>208000</v>
      </c>
      <c r="H731" s="937"/>
      <c r="I731" s="1046"/>
      <c r="J731" s="1046"/>
      <c r="K731" s="1047"/>
      <c r="L731" s="1046"/>
      <c r="M731" s="1094"/>
      <c r="N731" s="989">
        <v>208000</v>
      </c>
      <c r="O731" s="989">
        <v>208000</v>
      </c>
      <c r="P731" s="989"/>
      <c r="Q731" s="989">
        <f t="shared" si="74"/>
        <v>208000</v>
      </c>
      <c r="R731" s="989">
        <f t="shared" si="78"/>
        <v>100</v>
      </c>
      <c r="S731" s="1011"/>
      <c r="T731" s="989">
        <f t="shared" si="75"/>
        <v>0</v>
      </c>
      <c r="U731" s="989">
        <f t="shared" si="76"/>
        <v>208000</v>
      </c>
      <c r="V731" s="989">
        <f t="shared" si="77"/>
        <v>100</v>
      </c>
      <c r="W731" s="989"/>
      <c r="X731" s="989">
        <f t="shared" si="73"/>
        <v>0</v>
      </c>
      <c r="Y731" s="1012"/>
      <c r="Z731" s="941"/>
      <c r="AA731" s="941"/>
      <c r="AB731" s="941"/>
      <c r="AC731" s="941"/>
      <c r="AD731" s="941"/>
      <c r="AE731" s="941"/>
      <c r="AF731" s="941"/>
      <c r="AG731" s="941"/>
      <c r="AH731" s="941"/>
      <c r="AI731" s="941"/>
      <c r="AJ731" s="941"/>
      <c r="AK731" s="941"/>
      <c r="AL731" s="941"/>
      <c r="AM731" s="941"/>
    </row>
    <row r="732" spans="1:39" s="969" customFormat="1" ht="63" customHeight="1">
      <c r="A732" s="1006">
        <v>614</v>
      </c>
      <c r="B732" s="1007" t="s">
        <v>2295</v>
      </c>
      <c r="C732" s="1008"/>
      <c r="D732" s="1008" t="s">
        <v>4024</v>
      </c>
      <c r="E732" s="1007" t="s">
        <v>2296</v>
      </c>
      <c r="F732" s="1010" t="s">
        <v>541</v>
      </c>
      <c r="G732" s="989">
        <f>45200-22935.54</f>
        <v>22264.46</v>
      </c>
      <c r="H732" s="937"/>
      <c r="I732" s="1046"/>
      <c r="J732" s="1046"/>
      <c r="K732" s="1047"/>
      <c r="L732" s="1046"/>
      <c r="M732" s="1094">
        <f>-8325.39-14610.15+22935.54</f>
        <v>0</v>
      </c>
      <c r="N732" s="989">
        <f>G732+M732</f>
        <v>22264.46</v>
      </c>
      <c r="O732" s="989">
        <v>22264.46</v>
      </c>
      <c r="P732" s="989">
        <v>0</v>
      </c>
      <c r="Q732" s="989">
        <f t="shared" si="74"/>
        <v>22264.46</v>
      </c>
      <c r="R732" s="989">
        <f t="shared" si="78"/>
        <v>100</v>
      </c>
      <c r="S732" s="1011">
        <v>0</v>
      </c>
      <c r="T732" s="989">
        <f t="shared" si="75"/>
        <v>0</v>
      </c>
      <c r="U732" s="989">
        <f t="shared" si="76"/>
        <v>22264.46</v>
      </c>
      <c r="V732" s="989">
        <f t="shared" si="77"/>
        <v>100</v>
      </c>
      <c r="W732" s="989"/>
      <c r="X732" s="989">
        <f t="shared" si="73"/>
        <v>0</v>
      </c>
      <c r="Y732" s="1012"/>
      <c r="Z732" s="941"/>
      <c r="AA732" s="941"/>
      <c r="AB732" s="941"/>
      <c r="AC732" s="941"/>
      <c r="AD732" s="941"/>
      <c r="AE732" s="941"/>
      <c r="AF732" s="941"/>
      <c r="AG732" s="941"/>
      <c r="AH732" s="941"/>
      <c r="AI732" s="941"/>
      <c r="AJ732" s="941"/>
      <c r="AK732" s="941"/>
      <c r="AL732" s="941"/>
      <c r="AM732" s="941"/>
    </row>
    <row r="733" spans="1:39" s="969" customFormat="1" ht="63" customHeight="1">
      <c r="A733" s="1006">
        <v>615</v>
      </c>
      <c r="B733" s="1007" t="s">
        <v>2297</v>
      </c>
      <c r="C733" s="1008"/>
      <c r="D733" s="1008" t="s">
        <v>4025</v>
      </c>
      <c r="E733" s="1007" t="s">
        <v>2298</v>
      </c>
      <c r="F733" s="1010" t="s">
        <v>1188</v>
      </c>
      <c r="G733" s="989">
        <v>208000</v>
      </c>
      <c r="H733" s="937"/>
      <c r="I733" s="1046"/>
      <c r="J733" s="1046"/>
      <c r="K733" s="1047"/>
      <c r="L733" s="1046"/>
      <c r="M733" s="1094">
        <v>-22400</v>
      </c>
      <c r="N733" s="989">
        <f>208000+M733</f>
        <v>185600</v>
      </c>
      <c r="O733" s="989">
        <v>0</v>
      </c>
      <c r="P733" s="989">
        <v>185600</v>
      </c>
      <c r="Q733" s="989">
        <f t="shared" si="74"/>
        <v>185600</v>
      </c>
      <c r="R733" s="989">
        <f t="shared" si="78"/>
        <v>100</v>
      </c>
      <c r="S733" s="1011">
        <v>0</v>
      </c>
      <c r="T733" s="989">
        <f t="shared" si="75"/>
        <v>0</v>
      </c>
      <c r="U733" s="989">
        <f t="shared" si="76"/>
        <v>185600</v>
      </c>
      <c r="V733" s="989">
        <f t="shared" si="77"/>
        <v>100</v>
      </c>
      <c r="W733" s="989"/>
      <c r="X733" s="989">
        <f t="shared" si="73"/>
        <v>0</v>
      </c>
      <c r="Y733" s="1012"/>
      <c r="Z733" s="941"/>
      <c r="AA733" s="941"/>
      <c r="AB733" s="941"/>
      <c r="AC733" s="941"/>
      <c r="AD733" s="941"/>
      <c r="AE733" s="941"/>
      <c r="AF733" s="941"/>
      <c r="AG733" s="941"/>
      <c r="AH733" s="941"/>
      <c r="AI733" s="941"/>
      <c r="AJ733" s="941"/>
      <c r="AK733" s="941"/>
      <c r="AL733" s="941"/>
      <c r="AM733" s="941"/>
    </row>
    <row r="734" spans="1:39" s="969" customFormat="1" ht="63" customHeight="1">
      <c r="A734" s="1006">
        <v>616</v>
      </c>
      <c r="B734" s="1007" t="s">
        <v>2299</v>
      </c>
      <c r="C734" s="1008"/>
      <c r="D734" s="1008" t="s">
        <v>4026</v>
      </c>
      <c r="E734" s="1007" t="s">
        <v>2300</v>
      </c>
      <c r="F734" s="1010" t="s">
        <v>553</v>
      </c>
      <c r="G734" s="989">
        <v>45200</v>
      </c>
      <c r="H734" s="937"/>
      <c r="I734" s="1046"/>
      <c r="J734" s="1046"/>
      <c r="K734" s="1047"/>
      <c r="L734" s="1046"/>
      <c r="M734" s="1094"/>
      <c r="N734" s="989">
        <v>45200</v>
      </c>
      <c r="O734" s="989">
        <v>45200</v>
      </c>
      <c r="P734" s="989"/>
      <c r="Q734" s="989">
        <f t="shared" si="74"/>
        <v>45200</v>
      </c>
      <c r="R734" s="989">
        <f t="shared" si="78"/>
        <v>100</v>
      </c>
      <c r="S734" s="1026"/>
      <c r="T734" s="989">
        <f>S735/N734*100</f>
        <v>0</v>
      </c>
      <c r="U734" s="989">
        <f t="shared" si="76"/>
        <v>45200</v>
      </c>
      <c r="V734" s="989">
        <f t="shared" si="77"/>
        <v>100</v>
      </c>
      <c r="W734" s="989"/>
      <c r="X734" s="989">
        <f t="shared" si="73"/>
        <v>0</v>
      </c>
      <c r="Y734" s="1012"/>
      <c r="Z734" s="941"/>
      <c r="AA734" s="941"/>
      <c r="AB734" s="941"/>
      <c r="AC734" s="941"/>
      <c r="AD734" s="941"/>
      <c r="AE734" s="941"/>
      <c r="AF734" s="941"/>
      <c r="AG734" s="941"/>
      <c r="AH734" s="941"/>
      <c r="AI734" s="941"/>
      <c r="AJ734" s="941"/>
      <c r="AK734" s="941"/>
      <c r="AL734" s="941"/>
      <c r="AM734" s="941"/>
    </row>
    <row r="735" spans="1:39" s="969" customFormat="1" ht="63" customHeight="1">
      <c r="A735" s="1006">
        <v>617</v>
      </c>
      <c r="B735" s="1007" t="s">
        <v>2301</v>
      </c>
      <c r="C735" s="1008"/>
      <c r="D735" s="1008" t="s">
        <v>4027</v>
      </c>
      <c r="E735" s="1007" t="s">
        <v>2302</v>
      </c>
      <c r="F735" s="1010" t="s">
        <v>553</v>
      </c>
      <c r="G735" s="989">
        <v>180800</v>
      </c>
      <c r="H735" s="937"/>
      <c r="I735" s="1046"/>
      <c r="J735" s="1046"/>
      <c r="K735" s="1047"/>
      <c r="L735" s="1046"/>
      <c r="M735" s="1094"/>
      <c r="N735" s="989">
        <v>180800</v>
      </c>
      <c r="O735" s="989">
        <v>135600</v>
      </c>
      <c r="P735" s="989">
        <v>45200</v>
      </c>
      <c r="Q735" s="989">
        <f t="shared" si="74"/>
        <v>180800</v>
      </c>
      <c r="R735" s="989">
        <f t="shared" si="78"/>
        <v>100</v>
      </c>
      <c r="S735" s="1011">
        <v>0</v>
      </c>
      <c r="T735" s="989">
        <f>S736/N735*100</f>
        <v>0</v>
      </c>
      <c r="U735" s="989">
        <f t="shared" si="76"/>
        <v>180800</v>
      </c>
      <c r="V735" s="989">
        <f t="shared" si="77"/>
        <v>100</v>
      </c>
      <c r="W735" s="989"/>
      <c r="X735" s="989">
        <f t="shared" si="73"/>
        <v>0</v>
      </c>
      <c r="Y735" s="1012"/>
      <c r="Z735" s="941"/>
      <c r="AA735" s="941"/>
      <c r="AB735" s="941"/>
      <c r="AC735" s="941"/>
      <c r="AD735" s="941"/>
      <c r="AE735" s="941"/>
      <c r="AF735" s="941"/>
      <c r="AG735" s="941"/>
      <c r="AH735" s="941"/>
      <c r="AI735" s="941"/>
      <c r="AJ735" s="941"/>
      <c r="AK735" s="941"/>
      <c r="AL735" s="941"/>
      <c r="AM735" s="941"/>
    </row>
    <row r="736" spans="1:39" s="969" customFormat="1" ht="63" customHeight="1">
      <c r="A736" s="1006">
        <v>618</v>
      </c>
      <c r="B736" s="1007" t="s">
        <v>2303</v>
      </c>
      <c r="C736" s="1008"/>
      <c r="D736" s="1008" t="s">
        <v>4028</v>
      </c>
      <c r="E736" s="1007" t="s">
        <v>2304</v>
      </c>
      <c r="F736" s="1010" t="s">
        <v>553</v>
      </c>
      <c r="G736" s="989">
        <f>180800-700</f>
        <v>180100</v>
      </c>
      <c r="H736" s="937"/>
      <c r="I736" s="1046"/>
      <c r="J736" s="1046"/>
      <c r="K736" s="1047"/>
      <c r="L736" s="1046"/>
      <c r="M736" s="1094">
        <f>-700+700</f>
        <v>0</v>
      </c>
      <c r="N736" s="989">
        <f>G736+M736</f>
        <v>180100</v>
      </c>
      <c r="O736" s="989">
        <v>180100</v>
      </c>
      <c r="P736" s="989">
        <v>0</v>
      </c>
      <c r="Q736" s="989">
        <f t="shared" si="74"/>
        <v>180100</v>
      </c>
      <c r="R736" s="989">
        <f t="shared" si="78"/>
        <v>100</v>
      </c>
      <c r="S736" s="1011">
        <v>0</v>
      </c>
      <c r="T736" s="989">
        <f t="shared" ref="T736:T799" si="80">S736/N736*100</f>
        <v>0</v>
      </c>
      <c r="U736" s="989">
        <f t="shared" si="76"/>
        <v>180100</v>
      </c>
      <c r="V736" s="989">
        <f t="shared" si="77"/>
        <v>100</v>
      </c>
      <c r="W736" s="989"/>
      <c r="X736" s="989">
        <f t="shared" si="73"/>
        <v>0</v>
      </c>
      <c r="Y736" s="1012"/>
      <c r="Z736" s="941"/>
      <c r="AA736" s="941"/>
      <c r="AB736" s="941"/>
      <c r="AC736" s="941"/>
      <c r="AD736" s="941"/>
      <c r="AE736" s="941"/>
      <c r="AF736" s="941"/>
      <c r="AG736" s="941"/>
      <c r="AH736" s="941"/>
      <c r="AI736" s="941"/>
      <c r="AJ736" s="941"/>
      <c r="AK736" s="941"/>
      <c r="AL736" s="941"/>
      <c r="AM736" s="941"/>
    </row>
    <row r="737" spans="1:25" ht="63" customHeight="1">
      <c r="A737" s="1006">
        <v>619</v>
      </c>
      <c r="B737" s="1007" t="s">
        <v>2305</v>
      </c>
      <c r="C737" s="1008"/>
      <c r="D737" s="1008" t="s">
        <v>4029</v>
      </c>
      <c r="E737" s="1007" t="s">
        <v>2306</v>
      </c>
      <c r="F737" s="1010" t="s">
        <v>553</v>
      </c>
      <c r="G737" s="989">
        <v>135600</v>
      </c>
      <c r="H737" s="937"/>
      <c r="I737" s="1046"/>
      <c r="J737" s="1046"/>
      <c r="K737" s="1047"/>
      <c r="L737" s="1046"/>
      <c r="M737" s="1094"/>
      <c r="N737" s="989">
        <v>135600</v>
      </c>
      <c r="O737" s="989">
        <v>0</v>
      </c>
      <c r="P737" s="989">
        <v>135600</v>
      </c>
      <c r="Q737" s="989">
        <f t="shared" si="74"/>
        <v>135600</v>
      </c>
      <c r="R737" s="989">
        <f t="shared" si="78"/>
        <v>100</v>
      </c>
      <c r="S737" s="1011">
        <v>0</v>
      </c>
      <c r="T737" s="989">
        <f t="shared" si="80"/>
        <v>0</v>
      </c>
      <c r="U737" s="989">
        <f t="shared" si="76"/>
        <v>135600</v>
      </c>
      <c r="V737" s="989">
        <f t="shared" si="77"/>
        <v>100</v>
      </c>
      <c r="W737" s="989"/>
      <c r="X737" s="989">
        <f t="shared" si="73"/>
        <v>0</v>
      </c>
      <c r="Y737" s="1012"/>
    </row>
    <row r="738" spans="1:25" ht="63" customHeight="1">
      <c r="A738" s="1006">
        <v>620</v>
      </c>
      <c r="B738" s="1007" t="s">
        <v>2307</v>
      </c>
      <c r="C738" s="1008"/>
      <c r="D738" s="1008" t="s">
        <v>4030</v>
      </c>
      <c r="E738" s="1007" t="s">
        <v>2308</v>
      </c>
      <c r="F738" s="1010" t="s">
        <v>553</v>
      </c>
      <c r="G738" s="989">
        <f>180800-6500</f>
        <v>174300</v>
      </c>
      <c r="H738" s="937"/>
      <c r="I738" s="1046"/>
      <c r="J738" s="1046"/>
      <c r="K738" s="1047"/>
      <c r="L738" s="1046"/>
      <c r="M738" s="1094">
        <f>-6500+6500</f>
        <v>0</v>
      </c>
      <c r="N738" s="989">
        <f>G738+M738</f>
        <v>174300</v>
      </c>
      <c r="O738" s="989">
        <v>174300</v>
      </c>
      <c r="P738" s="989">
        <v>0</v>
      </c>
      <c r="Q738" s="989">
        <f t="shared" si="74"/>
        <v>174300</v>
      </c>
      <c r="R738" s="989">
        <f t="shared" si="78"/>
        <v>100</v>
      </c>
      <c r="S738" s="1011">
        <v>0</v>
      </c>
      <c r="T738" s="989">
        <f t="shared" si="80"/>
        <v>0</v>
      </c>
      <c r="U738" s="989">
        <f t="shared" si="76"/>
        <v>174300</v>
      </c>
      <c r="V738" s="989">
        <f t="shared" si="77"/>
        <v>100</v>
      </c>
      <c r="W738" s="989"/>
      <c r="X738" s="989">
        <f t="shared" si="73"/>
        <v>0</v>
      </c>
      <c r="Y738" s="1012"/>
    </row>
    <row r="739" spans="1:25" ht="63" customHeight="1">
      <c r="A739" s="1006">
        <v>621</v>
      </c>
      <c r="B739" s="1007" t="s">
        <v>2309</v>
      </c>
      <c r="C739" s="1008"/>
      <c r="D739" s="1008" t="s">
        <v>4031</v>
      </c>
      <c r="E739" s="1007" t="s">
        <v>2310</v>
      </c>
      <c r="F739" s="1010" t="s">
        <v>553</v>
      </c>
      <c r="G739" s="989">
        <f>361600-69885.48</f>
        <v>291714.52</v>
      </c>
      <c r="H739" s="937"/>
      <c r="I739" s="1046"/>
      <c r="J739" s="1046"/>
      <c r="K739" s="1047"/>
      <c r="L739" s="1046"/>
      <c r="M739" s="1094">
        <f>-69885.48+69885.48</f>
        <v>0</v>
      </c>
      <c r="N739" s="989">
        <f>G739+M739</f>
        <v>291714.52</v>
      </c>
      <c r="O739" s="989">
        <v>0</v>
      </c>
      <c r="P739" s="989">
        <v>291714.52</v>
      </c>
      <c r="Q739" s="989">
        <f t="shared" si="74"/>
        <v>291714.52</v>
      </c>
      <c r="R739" s="989">
        <f t="shared" si="78"/>
        <v>100</v>
      </c>
      <c r="S739" s="1011">
        <v>0</v>
      </c>
      <c r="T739" s="989">
        <f t="shared" si="80"/>
        <v>0</v>
      </c>
      <c r="U739" s="989">
        <f t="shared" si="76"/>
        <v>291714.52</v>
      </c>
      <c r="V739" s="989">
        <f t="shared" si="77"/>
        <v>100</v>
      </c>
      <c r="W739" s="989"/>
      <c r="X739" s="989">
        <f t="shared" si="73"/>
        <v>0</v>
      </c>
      <c r="Y739" s="1012"/>
    </row>
    <row r="740" spans="1:25" ht="63" customHeight="1">
      <c r="A740" s="1006">
        <v>622</v>
      </c>
      <c r="B740" s="1007" t="s">
        <v>4520</v>
      </c>
      <c r="C740" s="1008"/>
      <c r="D740" s="1008" t="s">
        <v>4521</v>
      </c>
      <c r="E740" s="1007" t="s">
        <v>4401</v>
      </c>
      <c r="F740" s="1010" t="s">
        <v>339</v>
      </c>
      <c r="G740" s="989">
        <v>0</v>
      </c>
      <c r="H740" s="937"/>
      <c r="I740" s="1046"/>
      <c r="J740" s="1046"/>
      <c r="K740" s="1047"/>
      <c r="L740" s="1046"/>
      <c r="M740" s="1094"/>
      <c r="N740" s="989">
        <v>0</v>
      </c>
      <c r="O740" s="989">
        <v>0</v>
      </c>
      <c r="P740" s="989"/>
      <c r="Q740" s="989">
        <f t="shared" si="74"/>
        <v>0</v>
      </c>
      <c r="R740" s="989" t="e">
        <f t="shared" si="78"/>
        <v>#DIV/0!</v>
      </c>
      <c r="S740" s="1011"/>
      <c r="T740" s="989">
        <v>0</v>
      </c>
      <c r="U740" s="989">
        <f t="shared" si="76"/>
        <v>0</v>
      </c>
      <c r="V740" s="989">
        <v>0</v>
      </c>
      <c r="W740" s="989"/>
      <c r="X740" s="989">
        <f t="shared" si="73"/>
        <v>0</v>
      </c>
      <c r="Y740" s="1012"/>
    </row>
    <row r="741" spans="1:25" ht="63" customHeight="1">
      <c r="A741" s="1006">
        <v>623</v>
      </c>
      <c r="B741" s="1007" t="s">
        <v>2311</v>
      </c>
      <c r="C741" s="1008"/>
      <c r="D741" s="1008" t="s">
        <v>4032</v>
      </c>
      <c r="E741" s="1007" t="s">
        <v>2312</v>
      </c>
      <c r="F741" s="1010" t="s">
        <v>1184</v>
      </c>
      <c r="G741" s="989">
        <v>135600</v>
      </c>
      <c r="H741" s="937"/>
      <c r="I741" s="1046"/>
      <c r="J741" s="1046"/>
      <c r="K741" s="1047"/>
      <c r="L741" s="1046"/>
      <c r="M741" s="1094"/>
      <c r="N741" s="989">
        <v>135600</v>
      </c>
      <c r="O741" s="989">
        <v>135600</v>
      </c>
      <c r="P741" s="989"/>
      <c r="Q741" s="989">
        <f t="shared" si="74"/>
        <v>135600</v>
      </c>
      <c r="R741" s="989">
        <f t="shared" si="78"/>
        <v>100</v>
      </c>
      <c r="S741" s="1011"/>
      <c r="T741" s="989">
        <f t="shared" si="80"/>
        <v>0</v>
      </c>
      <c r="U741" s="989">
        <f t="shared" si="76"/>
        <v>135600</v>
      </c>
      <c r="V741" s="989">
        <f t="shared" si="77"/>
        <v>100</v>
      </c>
      <c r="W741" s="989"/>
      <c r="X741" s="989">
        <f t="shared" si="73"/>
        <v>0</v>
      </c>
      <c r="Y741" s="1012"/>
    </row>
    <row r="742" spans="1:25" ht="63" customHeight="1">
      <c r="A742" s="1006">
        <v>624</v>
      </c>
      <c r="B742" s="1007" t="s">
        <v>2313</v>
      </c>
      <c r="C742" s="1008"/>
      <c r="D742" s="1008" t="s">
        <v>4033</v>
      </c>
      <c r="E742" s="1007" t="s">
        <v>3174</v>
      </c>
      <c r="F742" s="1010" t="s">
        <v>339</v>
      </c>
      <c r="G742" s="989">
        <f>104000-87376</f>
        <v>16624</v>
      </c>
      <c r="H742" s="937"/>
      <c r="I742" s="1046"/>
      <c r="J742" s="1046"/>
      <c r="K742" s="1047"/>
      <c r="L742" s="1046"/>
      <c r="M742" s="1094">
        <f>-87376+87376</f>
        <v>0</v>
      </c>
      <c r="N742" s="989">
        <f>G742+M742</f>
        <v>16624</v>
      </c>
      <c r="O742" s="989">
        <v>0</v>
      </c>
      <c r="P742" s="989">
        <v>16624</v>
      </c>
      <c r="Q742" s="989">
        <f t="shared" si="74"/>
        <v>16624</v>
      </c>
      <c r="R742" s="989">
        <f t="shared" si="78"/>
        <v>100</v>
      </c>
      <c r="S742" s="1011">
        <v>0</v>
      </c>
      <c r="T742" s="989">
        <f t="shared" si="80"/>
        <v>0</v>
      </c>
      <c r="U742" s="989">
        <f t="shared" si="76"/>
        <v>16624</v>
      </c>
      <c r="V742" s="989">
        <f t="shared" si="77"/>
        <v>100</v>
      </c>
      <c r="W742" s="989"/>
      <c r="X742" s="989">
        <f t="shared" si="73"/>
        <v>0</v>
      </c>
      <c r="Y742" s="1012"/>
    </row>
    <row r="743" spans="1:25" ht="63" customHeight="1">
      <c r="A743" s="1006">
        <v>625</v>
      </c>
      <c r="B743" s="1007" t="s">
        <v>2314</v>
      </c>
      <c r="C743" s="1008"/>
      <c r="D743" s="1008" t="s">
        <v>4034</v>
      </c>
      <c r="E743" s="1007" t="s">
        <v>2315</v>
      </c>
      <c r="F743" s="1010" t="s">
        <v>1184</v>
      </c>
      <c r="G743" s="989">
        <v>135600</v>
      </c>
      <c r="H743" s="937"/>
      <c r="I743" s="1046"/>
      <c r="J743" s="1046"/>
      <c r="K743" s="1047"/>
      <c r="L743" s="1046"/>
      <c r="M743" s="1094"/>
      <c r="N743" s="989">
        <v>135600</v>
      </c>
      <c r="O743" s="989">
        <v>0</v>
      </c>
      <c r="P743" s="989">
        <v>135600</v>
      </c>
      <c r="Q743" s="989">
        <f t="shared" si="74"/>
        <v>135600</v>
      </c>
      <c r="R743" s="989">
        <f t="shared" si="78"/>
        <v>100</v>
      </c>
      <c r="S743" s="1011">
        <v>0</v>
      </c>
      <c r="T743" s="989">
        <f t="shared" si="80"/>
        <v>0</v>
      </c>
      <c r="U743" s="989">
        <f t="shared" si="76"/>
        <v>135600</v>
      </c>
      <c r="V743" s="989">
        <f t="shared" si="77"/>
        <v>100</v>
      </c>
      <c r="W743" s="989"/>
      <c r="X743" s="989">
        <f t="shared" si="73"/>
        <v>0</v>
      </c>
      <c r="Y743" s="1012"/>
    </row>
    <row r="744" spans="1:25" ht="63" customHeight="1">
      <c r="A744" s="1006">
        <v>626</v>
      </c>
      <c r="B744" s="1007" t="s">
        <v>2316</v>
      </c>
      <c r="C744" s="1008"/>
      <c r="D744" s="1008" t="s">
        <v>4035</v>
      </c>
      <c r="E744" s="1007" t="s">
        <v>2317</v>
      </c>
      <c r="F744" s="1010" t="s">
        <v>1184</v>
      </c>
      <c r="G744" s="989">
        <f>45200-2300.33</f>
        <v>42899.67</v>
      </c>
      <c r="H744" s="937"/>
      <c r="I744" s="1046"/>
      <c r="J744" s="1046"/>
      <c r="K744" s="1047">
        <v>-8400</v>
      </c>
      <c r="L744" s="1046"/>
      <c r="M744" s="1094">
        <f>-2300.33+2300.33</f>
        <v>0</v>
      </c>
      <c r="N744" s="989">
        <f>G744+K744+L744+M744</f>
        <v>34499.67</v>
      </c>
      <c r="O744" s="989">
        <v>0</v>
      </c>
      <c r="P744" s="989">
        <v>34499.67</v>
      </c>
      <c r="Q744" s="989">
        <f t="shared" si="74"/>
        <v>34499.67</v>
      </c>
      <c r="R744" s="989">
        <f t="shared" si="78"/>
        <v>100</v>
      </c>
      <c r="S744" s="1011">
        <v>0</v>
      </c>
      <c r="T744" s="989">
        <f t="shared" si="80"/>
        <v>0</v>
      </c>
      <c r="U744" s="989">
        <f t="shared" si="76"/>
        <v>34499.67</v>
      </c>
      <c r="V744" s="989">
        <f t="shared" si="77"/>
        <v>100</v>
      </c>
      <c r="W744" s="989"/>
      <c r="X744" s="989">
        <f t="shared" si="73"/>
        <v>0</v>
      </c>
      <c r="Y744" s="1012"/>
    </row>
    <row r="745" spans="1:25" ht="63" customHeight="1">
      <c r="A745" s="1006">
        <v>627</v>
      </c>
      <c r="B745" s="1007" t="s">
        <v>2318</v>
      </c>
      <c r="C745" s="1008"/>
      <c r="D745" s="1008" t="s">
        <v>4036</v>
      </c>
      <c r="E745" s="1007" t="s">
        <v>2319</v>
      </c>
      <c r="F745" s="1010" t="s">
        <v>1184</v>
      </c>
      <c r="G745" s="989">
        <f>45200-16400</f>
        <v>28800</v>
      </c>
      <c r="H745" s="937"/>
      <c r="I745" s="1046"/>
      <c r="J745" s="1046"/>
      <c r="K745" s="1047">
        <v>-9000</v>
      </c>
      <c r="L745" s="1046"/>
      <c r="M745" s="1094">
        <f>-16400+16400</f>
        <v>0</v>
      </c>
      <c r="N745" s="989">
        <f>G745+M745+K745</f>
        <v>19800</v>
      </c>
      <c r="O745" s="989">
        <v>0</v>
      </c>
      <c r="P745" s="989">
        <v>19800</v>
      </c>
      <c r="Q745" s="989">
        <f t="shared" si="74"/>
        <v>19800</v>
      </c>
      <c r="R745" s="989">
        <f t="shared" si="78"/>
        <v>100</v>
      </c>
      <c r="S745" s="1011">
        <v>0</v>
      </c>
      <c r="T745" s="989">
        <f t="shared" si="80"/>
        <v>0</v>
      </c>
      <c r="U745" s="989">
        <f t="shared" si="76"/>
        <v>19800</v>
      </c>
      <c r="V745" s="989">
        <f t="shared" si="77"/>
        <v>100</v>
      </c>
      <c r="W745" s="989"/>
      <c r="X745" s="989">
        <f t="shared" si="73"/>
        <v>0</v>
      </c>
      <c r="Y745" s="1012"/>
    </row>
    <row r="746" spans="1:25" ht="63" customHeight="1">
      <c r="A746" s="1006">
        <v>628</v>
      </c>
      <c r="B746" s="1007" t="s">
        <v>2320</v>
      </c>
      <c r="C746" s="1008"/>
      <c r="D746" s="1008" t="s">
        <v>4037</v>
      </c>
      <c r="E746" s="1007" t="s">
        <v>3175</v>
      </c>
      <c r="F746" s="1010" t="s">
        <v>339</v>
      </c>
      <c r="G746" s="989">
        <f>312000-162652.72</f>
        <v>149347.28</v>
      </c>
      <c r="H746" s="937"/>
      <c r="I746" s="1046"/>
      <c r="J746" s="1046"/>
      <c r="K746" s="1047"/>
      <c r="L746" s="1046"/>
      <c r="M746" s="1094">
        <f>-77500-79608.79-5543.93+162652.72</f>
        <v>0</v>
      </c>
      <c r="N746" s="989">
        <f>G746+M746</f>
        <v>149347.28</v>
      </c>
      <c r="O746" s="989">
        <v>26191.21</v>
      </c>
      <c r="P746" s="989">
        <v>123156.07</v>
      </c>
      <c r="Q746" s="989">
        <f t="shared" si="74"/>
        <v>149347.28</v>
      </c>
      <c r="R746" s="989">
        <f t="shared" si="78"/>
        <v>100</v>
      </c>
      <c r="S746" s="1011">
        <v>0</v>
      </c>
      <c r="T746" s="989">
        <f t="shared" si="80"/>
        <v>0</v>
      </c>
      <c r="U746" s="989">
        <f t="shared" si="76"/>
        <v>149347.28</v>
      </c>
      <c r="V746" s="989">
        <f t="shared" si="77"/>
        <v>100</v>
      </c>
      <c r="W746" s="989"/>
      <c r="X746" s="989">
        <f t="shared" si="73"/>
        <v>0</v>
      </c>
      <c r="Y746" s="1012"/>
    </row>
    <row r="747" spans="1:25" ht="63" customHeight="1">
      <c r="A747" s="1006">
        <v>629</v>
      </c>
      <c r="B747" s="1007" t="s">
        <v>2321</v>
      </c>
      <c r="C747" s="1008"/>
      <c r="D747" s="1008" t="s">
        <v>4038</v>
      </c>
      <c r="E747" s="1007" t="s">
        <v>2322</v>
      </c>
      <c r="F747" s="1010" t="s">
        <v>564</v>
      </c>
      <c r="G747" s="989">
        <v>416000</v>
      </c>
      <c r="H747" s="937"/>
      <c r="I747" s="1046"/>
      <c r="J747" s="1046"/>
      <c r="K747" s="1047">
        <v>-9530</v>
      </c>
      <c r="L747" s="1046"/>
      <c r="M747" s="1094"/>
      <c r="N747" s="989">
        <f>416000+K747</f>
        <v>406470</v>
      </c>
      <c r="O747" s="989">
        <v>0</v>
      </c>
      <c r="P747" s="989">
        <v>406470</v>
      </c>
      <c r="Q747" s="989">
        <f t="shared" si="74"/>
        <v>406470</v>
      </c>
      <c r="R747" s="989">
        <f t="shared" si="78"/>
        <v>100</v>
      </c>
      <c r="S747" s="1011">
        <v>0</v>
      </c>
      <c r="T747" s="989">
        <f t="shared" si="80"/>
        <v>0</v>
      </c>
      <c r="U747" s="989">
        <f t="shared" si="76"/>
        <v>406470</v>
      </c>
      <c r="V747" s="989">
        <f t="shared" si="77"/>
        <v>100</v>
      </c>
      <c r="W747" s="989"/>
      <c r="X747" s="989">
        <f t="shared" si="73"/>
        <v>0</v>
      </c>
      <c r="Y747" s="1012"/>
    </row>
    <row r="748" spans="1:25" ht="63" customHeight="1">
      <c r="A748" s="1006">
        <v>630</v>
      </c>
      <c r="B748" s="1007" t="s">
        <v>2323</v>
      </c>
      <c r="C748" s="1008"/>
      <c r="D748" s="1008" t="s">
        <v>4039</v>
      </c>
      <c r="E748" s="1007" t="s">
        <v>2324</v>
      </c>
      <c r="F748" s="1010" t="s">
        <v>1184</v>
      </c>
      <c r="G748" s="989">
        <f>45200-15099.14</f>
        <v>30100.86</v>
      </c>
      <c r="H748" s="937"/>
      <c r="I748" s="1046"/>
      <c r="J748" s="1046"/>
      <c r="K748" s="1047">
        <v>-9000</v>
      </c>
      <c r="L748" s="1046"/>
      <c r="M748" s="1094">
        <f>-15099.14+15099.14</f>
        <v>0</v>
      </c>
      <c r="N748" s="989">
        <f>G748+M748+K748</f>
        <v>21100.86</v>
      </c>
      <c r="O748" s="989">
        <v>0</v>
      </c>
      <c r="P748" s="989">
        <v>21100.86</v>
      </c>
      <c r="Q748" s="989">
        <f t="shared" si="74"/>
        <v>21100.86</v>
      </c>
      <c r="R748" s="989">
        <f t="shared" si="78"/>
        <v>100</v>
      </c>
      <c r="S748" s="1011">
        <v>0</v>
      </c>
      <c r="T748" s="989">
        <f t="shared" si="80"/>
        <v>0</v>
      </c>
      <c r="U748" s="989">
        <f t="shared" si="76"/>
        <v>21100.86</v>
      </c>
      <c r="V748" s="989">
        <f t="shared" si="77"/>
        <v>100</v>
      </c>
      <c r="W748" s="989"/>
      <c r="X748" s="989">
        <f t="shared" si="73"/>
        <v>0</v>
      </c>
      <c r="Y748" s="1012"/>
    </row>
    <row r="749" spans="1:25" ht="63" customHeight="1">
      <c r="A749" s="1006">
        <v>631</v>
      </c>
      <c r="B749" s="1007" t="s">
        <v>2325</v>
      </c>
      <c r="C749" s="1008"/>
      <c r="D749" s="1008" t="s">
        <v>4040</v>
      </c>
      <c r="E749" s="1007" t="s">
        <v>2326</v>
      </c>
      <c r="F749" s="1010" t="s">
        <v>562</v>
      </c>
      <c r="G749" s="989">
        <f>45200-15100</f>
        <v>30100</v>
      </c>
      <c r="H749" s="937"/>
      <c r="I749" s="1046"/>
      <c r="J749" s="1046"/>
      <c r="K749" s="1047">
        <v>-9000</v>
      </c>
      <c r="L749" s="1046"/>
      <c r="M749" s="1094">
        <f>-15100+15100</f>
        <v>0</v>
      </c>
      <c r="N749" s="989">
        <f>G749+M749+K749</f>
        <v>21100</v>
      </c>
      <c r="O749" s="989">
        <v>0</v>
      </c>
      <c r="P749" s="989">
        <v>21100</v>
      </c>
      <c r="Q749" s="989">
        <f t="shared" si="74"/>
        <v>21100</v>
      </c>
      <c r="R749" s="989">
        <f t="shared" si="78"/>
        <v>100</v>
      </c>
      <c r="S749" s="1011">
        <v>0</v>
      </c>
      <c r="T749" s="989">
        <f t="shared" si="80"/>
        <v>0</v>
      </c>
      <c r="U749" s="989">
        <f t="shared" si="76"/>
        <v>21100</v>
      </c>
      <c r="V749" s="989">
        <f t="shared" si="77"/>
        <v>100</v>
      </c>
      <c r="W749" s="989"/>
      <c r="X749" s="989">
        <f t="shared" si="73"/>
        <v>0</v>
      </c>
      <c r="Y749" s="1012"/>
    </row>
    <row r="750" spans="1:25" ht="63" customHeight="1">
      <c r="A750" s="1006">
        <v>632</v>
      </c>
      <c r="B750" s="1007" t="s">
        <v>2327</v>
      </c>
      <c r="C750" s="1008"/>
      <c r="D750" s="1008" t="s">
        <v>4041</v>
      </c>
      <c r="E750" s="1007" t="s">
        <v>2328</v>
      </c>
      <c r="F750" s="1010" t="s">
        <v>564</v>
      </c>
      <c r="G750" s="989">
        <v>416000</v>
      </c>
      <c r="H750" s="937"/>
      <c r="I750" s="1046"/>
      <c r="J750" s="1046"/>
      <c r="K750" s="1047">
        <v>-17830</v>
      </c>
      <c r="L750" s="1046"/>
      <c r="M750" s="1094">
        <v>-37.5</v>
      </c>
      <c r="N750" s="989">
        <f>416000+K750+M750</f>
        <v>398132.5</v>
      </c>
      <c r="O750" s="989">
        <v>0</v>
      </c>
      <c r="P750" s="989">
        <v>398132.5</v>
      </c>
      <c r="Q750" s="989">
        <f t="shared" si="74"/>
        <v>398132.5</v>
      </c>
      <c r="R750" s="989">
        <f t="shared" si="78"/>
        <v>100</v>
      </c>
      <c r="S750" s="1011">
        <v>0</v>
      </c>
      <c r="T750" s="989">
        <f t="shared" si="80"/>
        <v>0</v>
      </c>
      <c r="U750" s="989">
        <f t="shared" si="76"/>
        <v>398132.5</v>
      </c>
      <c r="V750" s="989">
        <f t="shared" si="77"/>
        <v>100</v>
      </c>
      <c r="W750" s="989"/>
      <c r="X750" s="989">
        <f t="shared" si="73"/>
        <v>0</v>
      </c>
      <c r="Y750" s="1012"/>
    </row>
    <row r="751" spans="1:25" ht="63" customHeight="1">
      <c r="A751" s="1006">
        <v>633</v>
      </c>
      <c r="B751" s="1007" t="s">
        <v>2329</v>
      </c>
      <c r="C751" s="1008"/>
      <c r="D751" s="1008" t="s">
        <v>4042</v>
      </c>
      <c r="E751" s="1007" t="s">
        <v>3176</v>
      </c>
      <c r="F751" s="1010" t="s">
        <v>562</v>
      </c>
      <c r="G751" s="989">
        <f>45200-16350.9</f>
        <v>28849.1</v>
      </c>
      <c r="H751" s="937"/>
      <c r="I751" s="1046"/>
      <c r="J751" s="1046"/>
      <c r="K751" s="1047">
        <v>-8400</v>
      </c>
      <c r="L751" s="1046"/>
      <c r="M751" s="1094">
        <f>-16350.9+16350.9</f>
        <v>0</v>
      </c>
      <c r="N751" s="989">
        <f>G751+M751+K751</f>
        <v>20449.099999999999</v>
      </c>
      <c r="O751" s="989">
        <v>0</v>
      </c>
      <c r="P751" s="989">
        <v>20449.099999999999</v>
      </c>
      <c r="Q751" s="989">
        <f t="shared" si="74"/>
        <v>20449.099999999999</v>
      </c>
      <c r="R751" s="989">
        <f t="shared" si="78"/>
        <v>100</v>
      </c>
      <c r="S751" s="1011">
        <v>0</v>
      </c>
      <c r="T751" s="989">
        <f t="shared" si="80"/>
        <v>0</v>
      </c>
      <c r="U751" s="989">
        <f t="shared" si="76"/>
        <v>20449.099999999999</v>
      </c>
      <c r="V751" s="989">
        <f t="shared" si="77"/>
        <v>100</v>
      </c>
      <c r="W751" s="989"/>
      <c r="X751" s="989">
        <f t="shared" si="73"/>
        <v>0</v>
      </c>
      <c r="Y751" s="1012"/>
    </row>
    <row r="752" spans="1:25" ht="63" customHeight="1">
      <c r="A752" s="1006">
        <v>634</v>
      </c>
      <c r="B752" s="1007" t="s">
        <v>2330</v>
      </c>
      <c r="C752" s="1008"/>
      <c r="D752" s="1008" t="s">
        <v>4043</v>
      </c>
      <c r="E752" s="1007" t="s">
        <v>2331</v>
      </c>
      <c r="F752" s="1010" t="s">
        <v>564</v>
      </c>
      <c r="G752" s="989">
        <v>104000</v>
      </c>
      <c r="H752" s="937"/>
      <c r="I752" s="1046"/>
      <c r="J752" s="1046"/>
      <c r="K752" s="1047">
        <v>-9000</v>
      </c>
      <c r="L752" s="1046"/>
      <c r="M752" s="1094">
        <v>-21985.200000000001</v>
      </c>
      <c r="N752" s="989">
        <f>104000+K752+M752</f>
        <v>73014.8</v>
      </c>
      <c r="O752" s="989">
        <v>0</v>
      </c>
      <c r="P752" s="989">
        <v>73014.8</v>
      </c>
      <c r="Q752" s="989">
        <f t="shared" si="74"/>
        <v>73014.8</v>
      </c>
      <c r="R752" s="989">
        <f t="shared" si="78"/>
        <v>100</v>
      </c>
      <c r="S752" s="1011">
        <v>0</v>
      </c>
      <c r="T752" s="989">
        <f t="shared" si="80"/>
        <v>0</v>
      </c>
      <c r="U752" s="989">
        <f t="shared" si="76"/>
        <v>73014.8</v>
      </c>
      <c r="V752" s="989">
        <f t="shared" si="77"/>
        <v>100</v>
      </c>
      <c r="W752" s="989"/>
      <c r="X752" s="989">
        <f t="shared" si="73"/>
        <v>0</v>
      </c>
      <c r="Y752" s="1012"/>
    </row>
    <row r="753" spans="1:25" ht="63" customHeight="1">
      <c r="A753" s="1006">
        <v>635</v>
      </c>
      <c r="B753" s="1007" t="s">
        <v>2332</v>
      </c>
      <c r="C753" s="1008"/>
      <c r="D753" s="1008" t="s">
        <v>4044</v>
      </c>
      <c r="E753" s="1007" t="s">
        <v>2333</v>
      </c>
      <c r="F753" s="1010" t="s">
        <v>562</v>
      </c>
      <c r="G753" s="989">
        <v>45200</v>
      </c>
      <c r="H753" s="937"/>
      <c r="I753" s="1046"/>
      <c r="J753" s="1046"/>
      <c r="K753" s="1047"/>
      <c r="L753" s="1046"/>
      <c r="M753" s="1094"/>
      <c r="N753" s="989">
        <v>45200</v>
      </c>
      <c r="O753" s="989">
        <v>0</v>
      </c>
      <c r="P753" s="989">
        <v>45200</v>
      </c>
      <c r="Q753" s="989">
        <f t="shared" si="74"/>
        <v>45200</v>
      </c>
      <c r="R753" s="989">
        <f t="shared" si="78"/>
        <v>100</v>
      </c>
      <c r="S753" s="1011">
        <v>0</v>
      </c>
      <c r="T753" s="989">
        <f t="shared" si="80"/>
        <v>0</v>
      </c>
      <c r="U753" s="989">
        <f t="shared" si="76"/>
        <v>45200</v>
      </c>
      <c r="V753" s="989">
        <f t="shared" si="77"/>
        <v>100</v>
      </c>
      <c r="W753" s="989"/>
      <c r="X753" s="989">
        <f t="shared" si="73"/>
        <v>0</v>
      </c>
      <c r="Y753" s="1012"/>
    </row>
    <row r="754" spans="1:25" ht="63" customHeight="1">
      <c r="A754" s="1006">
        <v>636</v>
      </c>
      <c r="B754" s="1007" t="s">
        <v>2334</v>
      </c>
      <c r="C754" s="1008"/>
      <c r="D754" s="1008" t="s">
        <v>4045</v>
      </c>
      <c r="E754" s="1007" t="s">
        <v>2335</v>
      </c>
      <c r="F754" s="1010" t="s">
        <v>564</v>
      </c>
      <c r="G754" s="989">
        <v>104000</v>
      </c>
      <c r="H754" s="937"/>
      <c r="I754" s="1046"/>
      <c r="J754" s="1046"/>
      <c r="K754" s="1047">
        <v>-9000</v>
      </c>
      <c r="L754" s="1046"/>
      <c r="M754" s="1094">
        <v>-34103.43</v>
      </c>
      <c r="N754" s="989">
        <f>104000+K754+M754</f>
        <v>60896.57</v>
      </c>
      <c r="O754" s="989">
        <v>0</v>
      </c>
      <c r="P754" s="989">
        <v>60896.57</v>
      </c>
      <c r="Q754" s="989">
        <f t="shared" si="74"/>
        <v>60896.57</v>
      </c>
      <c r="R754" s="989">
        <f t="shared" si="78"/>
        <v>100</v>
      </c>
      <c r="S754" s="1011">
        <v>0</v>
      </c>
      <c r="T754" s="989">
        <f t="shared" si="80"/>
        <v>0</v>
      </c>
      <c r="U754" s="989">
        <f t="shared" si="76"/>
        <v>60896.57</v>
      </c>
      <c r="V754" s="989">
        <f t="shared" si="77"/>
        <v>100</v>
      </c>
      <c r="W754" s="989"/>
      <c r="X754" s="989">
        <f t="shared" si="73"/>
        <v>0</v>
      </c>
      <c r="Y754" s="1012"/>
    </row>
    <row r="755" spans="1:25" ht="63" customHeight="1">
      <c r="A755" s="1006">
        <v>637</v>
      </c>
      <c r="B755" s="1007" t="s">
        <v>2336</v>
      </c>
      <c r="C755" s="1008"/>
      <c r="D755" s="1008" t="s">
        <v>4046</v>
      </c>
      <c r="E755" s="1007" t="s">
        <v>3177</v>
      </c>
      <c r="F755" s="1010" t="s">
        <v>562</v>
      </c>
      <c r="G755" s="989">
        <f>135600-34700</f>
        <v>100900</v>
      </c>
      <c r="H755" s="937"/>
      <c r="I755" s="1046"/>
      <c r="J755" s="1046"/>
      <c r="K755" s="1047"/>
      <c r="L755" s="1046"/>
      <c r="M755" s="1094">
        <f>-34700+34700</f>
        <v>0</v>
      </c>
      <c r="N755" s="989">
        <f>G755+M755</f>
        <v>100900</v>
      </c>
      <c r="O755" s="989">
        <v>44400</v>
      </c>
      <c r="P755" s="989">
        <v>56500</v>
      </c>
      <c r="Q755" s="989">
        <f t="shared" si="74"/>
        <v>100900</v>
      </c>
      <c r="R755" s="989">
        <f t="shared" si="78"/>
        <v>100</v>
      </c>
      <c r="S755" s="1011">
        <v>0</v>
      </c>
      <c r="T755" s="989">
        <f t="shared" si="80"/>
        <v>0</v>
      </c>
      <c r="U755" s="989">
        <f t="shared" si="76"/>
        <v>100900</v>
      </c>
      <c r="V755" s="989">
        <f t="shared" si="77"/>
        <v>100</v>
      </c>
      <c r="W755" s="989"/>
      <c r="X755" s="989">
        <f t="shared" si="73"/>
        <v>0</v>
      </c>
      <c r="Y755" s="1012"/>
    </row>
    <row r="756" spans="1:25" ht="63" customHeight="1">
      <c r="A756" s="1006">
        <v>638</v>
      </c>
      <c r="B756" s="1007" t="s">
        <v>2337</v>
      </c>
      <c r="C756" s="1008"/>
      <c r="D756" s="1008" t="s">
        <v>4047</v>
      </c>
      <c r="E756" s="1007" t="s">
        <v>2338</v>
      </c>
      <c r="F756" s="1010" t="s">
        <v>564</v>
      </c>
      <c r="G756" s="989">
        <v>312000</v>
      </c>
      <c r="H756" s="937"/>
      <c r="I756" s="1046"/>
      <c r="J756" s="1046"/>
      <c r="K756" s="1047">
        <v>-27000</v>
      </c>
      <c r="L756" s="1046"/>
      <c r="M756" s="1094">
        <v>-1636.08</v>
      </c>
      <c r="N756" s="989">
        <f>312000+K756+M756</f>
        <v>283363.92</v>
      </c>
      <c r="O756" s="989">
        <v>0</v>
      </c>
      <c r="P756" s="989">
        <v>283363.92</v>
      </c>
      <c r="Q756" s="989">
        <f t="shared" si="74"/>
        <v>283363.92</v>
      </c>
      <c r="R756" s="989">
        <f t="shared" si="78"/>
        <v>100</v>
      </c>
      <c r="S756" s="1011">
        <v>0</v>
      </c>
      <c r="T756" s="989">
        <f t="shared" si="80"/>
        <v>0</v>
      </c>
      <c r="U756" s="989">
        <f t="shared" si="76"/>
        <v>283363.92</v>
      </c>
      <c r="V756" s="989">
        <f t="shared" si="77"/>
        <v>100</v>
      </c>
      <c r="W756" s="989"/>
      <c r="X756" s="989">
        <f t="shared" si="73"/>
        <v>0</v>
      </c>
      <c r="Y756" s="1012"/>
    </row>
    <row r="757" spans="1:25" ht="63" customHeight="1">
      <c r="A757" s="1006">
        <v>639</v>
      </c>
      <c r="B757" s="1007" t="s">
        <v>2339</v>
      </c>
      <c r="C757" s="1008"/>
      <c r="D757" s="1008" t="s">
        <v>4048</v>
      </c>
      <c r="E757" s="1007" t="s">
        <v>2340</v>
      </c>
      <c r="F757" s="1010" t="s">
        <v>564</v>
      </c>
      <c r="G757" s="989">
        <v>312000</v>
      </c>
      <c r="H757" s="937"/>
      <c r="I757" s="1046"/>
      <c r="J757" s="1046"/>
      <c r="K757" s="1047">
        <v>-15000</v>
      </c>
      <c r="L757" s="1046"/>
      <c r="M757" s="1094">
        <v>-31000</v>
      </c>
      <c r="N757" s="989">
        <f>312000+K757+M757</f>
        <v>266000</v>
      </c>
      <c r="O757" s="989">
        <v>0</v>
      </c>
      <c r="P757" s="989">
        <v>266000</v>
      </c>
      <c r="Q757" s="989">
        <f t="shared" si="74"/>
        <v>266000</v>
      </c>
      <c r="R757" s="989">
        <f t="shared" si="78"/>
        <v>100</v>
      </c>
      <c r="S757" s="1011">
        <v>0</v>
      </c>
      <c r="T757" s="989">
        <f t="shared" si="80"/>
        <v>0</v>
      </c>
      <c r="U757" s="989">
        <f t="shared" si="76"/>
        <v>266000</v>
      </c>
      <c r="V757" s="989">
        <f t="shared" si="77"/>
        <v>100</v>
      </c>
      <c r="W757" s="989"/>
      <c r="X757" s="989">
        <f t="shared" ref="X757:X820" si="81">N757-U757</f>
        <v>0</v>
      </c>
      <c r="Y757" s="1012"/>
    </row>
    <row r="758" spans="1:25" ht="63" customHeight="1">
      <c r="A758" s="1006">
        <v>640</v>
      </c>
      <c r="B758" s="1007" t="s">
        <v>2341</v>
      </c>
      <c r="C758" s="1008"/>
      <c r="D758" s="1008" t="s">
        <v>4049</v>
      </c>
      <c r="E758" s="1007" t="s">
        <v>3116</v>
      </c>
      <c r="F758" s="1010" t="s">
        <v>567</v>
      </c>
      <c r="G758" s="989">
        <v>180800</v>
      </c>
      <c r="H758" s="937"/>
      <c r="I758" s="1046"/>
      <c r="J758" s="1046"/>
      <c r="K758" s="1047"/>
      <c r="L758" s="1046"/>
      <c r="M758" s="1094"/>
      <c r="N758" s="989">
        <v>180800</v>
      </c>
      <c r="O758" s="989">
        <v>180800</v>
      </c>
      <c r="P758" s="989"/>
      <c r="Q758" s="989">
        <f t="shared" si="74"/>
        <v>180800</v>
      </c>
      <c r="R758" s="989">
        <f t="shared" si="78"/>
        <v>100</v>
      </c>
      <c r="S758" s="1011"/>
      <c r="T758" s="989">
        <f t="shared" si="80"/>
        <v>0</v>
      </c>
      <c r="U758" s="989">
        <f t="shared" si="76"/>
        <v>180800</v>
      </c>
      <c r="V758" s="989">
        <f t="shared" si="77"/>
        <v>100</v>
      </c>
      <c r="W758" s="989"/>
      <c r="X758" s="989">
        <f t="shared" si="81"/>
        <v>0</v>
      </c>
      <c r="Y758" s="1012"/>
    </row>
    <row r="759" spans="1:25" ht="63" customHeight="1">
      <c r="A759" s="1006">
        <v>641</v>
      </c>
      <c r="B759" s="1007" t="s">
        <v>4522</v>
      </c>
      <c r="C759" s="1008"/>
      <c r="D759" s="1008" t="s">
        <v>4523</v>
      </c>
      <c r="E759" s="1007" t="s">
        <v>4402</v>
      </c>
      <c r="F759" s="1010" t="s">
        <v>567</v>
      </c>
      <c r="G759" s="989">
        <v>0</v>
      </c>
      <c r="H759" s="937"/>
      <c r="I759" s="1046"/>
      <c r="J759" s="1046"/>
      <c r="K759" s="1047"/>
      <c r="L759" s="1046"/>
      <c r="M759" s="1094"/>
      <c r="N759" s="989">
        <v>0</v>
      </c>
      <c r="O759" s="989">
        <v>0</v>
      </c>
      <c r="P759" s="989"/>
      <c r="Q759" s="989">
        <f t="shared" ref="Q759:Q822" si="82">P759+O759</f>
        <v>0</v>
      </c>
      <c r="R759" s="989" t="e">
        <f t="shared" si="78"/>
        <v>#DIV/0!</v>
      </c>
      <c r="S759" s="1011"/>
      <c r="T759" s="989">
        <v>0</v>
      </c>
      <c r="U759" s="989">
        <f t="shared" ref="U759:U822" si="83">S759+Q759</f>
        <v>0</v>
      </c>
      <c r="V759" s="989">
        <v>0</v>
      </c>
      <c r="W759" s="989"/>
      <c r="X759" s="989">
        <f t="shared" si="81"/>
        <v>0</v>
      </c>
      <c r="Y759" s="1012"/>
    </row>
    <row r="760" spans="1:25" ht="63" customHeight="1">
      <c r="A760" s="1006">
        <v>642</v>
      </c>
      <c r="B760" s="1007" t="s">
        <v>2342</v>
      </c>
      <c r="C760" s="1008"/>
      <c r="D760" s="1008" t="s">
        <v>4524</v>
      </c>
      <c r="E760" s="1007" t="s">
        <v>4403</v>
      </c>
      <c r="F760" s="1010" t="s">
        <v>567</v>
      </c>
      <c r="G760" s="989">
        <v>0</v>
      </c>
      <c r="H760" s="937"/>
      <c r="I760" s="1046"/>
      <c r="J760" s="1046"/>
      <c r="K760" s="1047"/>
      <c r="L760" s="1046"/>
      <c r="M760" s="1094"/>
      <c r="N760" s="989">
        <v>0</v>
      </c>
      <c r="O760" s="989">
        <v>0</v>
      </c>
      <c r="P760" s="989"/>
      <c r="Q760" s="989">
        <f t="shared" si="82"/>
        <v>0</v>
      </c>
      <c r="R760" s="989" t="e">
        <f t="shared" ref="R760:R823" si="84">Q760/N760*100</f>
        <v>#DIV/0!</v>
      </c>
      <c r="S760" s="1011"/>
      <c r="T760" s="989">
        <v>0</v>
      </c>
      <c r="U760" s="989">
        <f t="shared" si="83"/>
        <v>0</v>
      </c>
      <c r="V760" s="989">
        <v>0</v>
      </c>
      <c r="W760" s="989"/>
      <c r="X760" s="989">
        <f t="shared" si="81"/>
        <v>0</v>
      </c>
      <c r="Y760" s="1012"/>
    </row>
    <row r="761" spans="1:25" ht="63" customHeight="1">
      <c r="A761" s="1006">
        <v>643</v>
      </c>
      <c r="B761" s="1007" t="s">
        <v>2343</v>
      </c>
      <c r="C761" s="1008"/>
      <c r="D761" s="1008" t="s">
        <v>4050</v>
      </c>
      <c r="E761" s="1007" t="s">
        <v>2344</v>
      </c>
      <c r="F761" s="1010" t="s">
        <v>577</v>
      </c>
      <c r="G761" s="989">
        <v>104000</v>
      </c>
      <c r="H761" s="937"/>
      <c r="I761" s="1046"/>
      <c r="J761" s="1046"/>
      <c r="K761" s="1047"/>
      <c r="L761" s="1046"/>
      <c r="M761" s="1094"/>
      <c r="N761" s="989">
        <v>104000</v>
      </c>
      <c r="O761" s="989">
        <v>0</v>
      </c>
      <c r="P761" s="989">
        <v>104000</v>
      </c>
      <c r="Q761" s="989">
        <f t="shared" si="82"/>
        <v>104000</v>
      </c>
      <c r="R761" s="989">
        <f t="shared" si="84"/>
        <v>100</v>
      </c>
      <c r="S761" s="1011">
        <v>0</v>
      </c>
      <c r="T761" s="989">
        <f t="shared" si="80"/>
        <v>0</v>
      </c>
      <c r="U761" s="989">
        <f t="shared" si="83"/>
        <v>104000</v>
      </c>
      <c r="V761" s="989">
        <f t="shared" ref="V761:V824" si="85">U761/N761*100</f>
        <v>100</v>
      </c>
      <c r="W761" s="989"/>
      <c r="X761" s="989">
        <f t="shared" si="81"/>
        <v>0</v>
      </c>
      <c r="Y761" s="1012"/>
    </row>
    <row r="762" spans="1:25" ht="63" customHeight="1">
      <c r="A762" s="1006">
        <v>644</v>
      </c>
      <c r="B762" s="1007" t="s">
        <v>2345</v>
      </c>
      <c r="C762" s="1008"/>
      <c r="D762" s="1008" t="s">
        <v>4051</v>
      </c>
      <c r="E762" s="1007" t="s">
        <v>3366</v>
      </c>
      <c r="F762" s="1010" t="s">
        <v>577</v>
      </c>
      <c r="G762" s="989">
        <v>208000</v>
      </c>
      <c r="H762" s="937"/>
      <c r="I762" s="1046"/>
      <c r="J762" s="1046"/>
      <c r="K762" s="1047"/>
      <c r="L762" s="1046"/>
      <c r="M762" s="1094"/>
      <c r="N762" s="989">
        <v>208000</v>
      </c>
      <c r="O762" s="989">
        <v>0</v>
      </c>
      <c r="P762" s="989">
        <v>208000</v>
      </c>
      <c r="Q762" s="989">
        <f t="shared" si="82"/>
        <v>208000</v>
      </c>
      <c r="R762" s="989">
        <f t="shared" si="84"/>
        <v>100</v>
      </c>
      <c r="S762" s="1011">
        <v>0</v>
      </c>
      <c r="T762" s="989">
        <f t="shared" si="80"/>
        <v>0</v>
      </c>
      <c r="U762" s="989">
        <f t="shared" si="83"/>
        <v>208000</v>
      </c>
      <c r="V762" s="989">
        <f t="shared" si="85"/>
        <v>100</v>
      </c>
      <c r="W762" s="989"/>
      <c r="X762" s="989">
        <f t="shared" si="81"/>
        <v>0</v>
      </c>
      <c r="Y762" s="1012"/>
    </row>
    <row r="763" spans="1:25" ht="63" customHeight="1">
      <c r="A763" s="1006">
        <v>645</v>
      </c>
      <c r="B763" s="1007" t="s">
        <v>2346</v>
      </c>
      <c r="C763" s="1008"/>
      <c r="D763" s="1008" t="s">
        <v>4052</v>
      </c>
      <c r="E763" s="1007" t="s">
        <v>2347</v>
      </c>
      <c r="F763" s="1010" t="s">
        <v>577</v>
      </c>
      <c r="G763" s="989">
        <v>104000</v>
      </c>
      <c r="H763" s="937"/>
      <c r="I763" s="1046"/>
      <c r="J763" s="1046"/>
      <c r="K763" s="1047"/>
      <c r="L763" s="1046"/>
      <c r="M763" s="1094"/>
      <c r="N763" s="989">
        <v>104000</v>
      </c>
      <c r="O763" s="989">
        <v>0</v>
      </c>
      <c r="P763" s="989">
        <v>104000</v>
      </c>
      <c r="Q763" s="989">
        <f t="shared" si="82"/>
        <v>104000</v>
      </c>
      <c r="R763" s="989">
        <f t="shared" si="84"/>
        <v>100</v>
      </c>
      <c r="S763" s="1011">
        <v>0</v>
      </c>
      <c r="T763" s="989">
        <f t="shared" si="80"/>
        <v>0</v>
      </c>
      <c r="U763" s="989">
        <f t="shared" si="83"/>
        <v>104000</v>
      </c>
      <c r="V763" s="989">
        <f t="shared" si="85"/>
        <v>100</v>
      </c>
      <c r="W763" s="989"/>
      <c r="X763" s="989">
        <f t="shared" si="81"/>
        <v>0</v>
      </c>
      <c r="Y763" s="1012"/>
    </row>
    <row r="764" spans="1:25" ht="63" customHeight="1">
      <c r="A764" s="1006">
        <v>646</v>
      </c>
      <c r="B764" s="1007" t="s">
        <v>2348</v>
      </c>
      <c r="C764" s="1008"/>
      <c r="D764" s="1008" t="s">
        <v>4053</v>
      </c>
      <c r="E764" s="1007" t="s">
        <v>2349</v>
      </c>
      <c r="F764" s="1010" t="s">
        <v>577</v>
      </c>
      <c r="G764" s="989">
        <v>208000</v>
      </c>
      <c r="H764" s="937"/>
      <c r="I764" s="1046"/>
      <c r="J764" s="1046"/>
      <c r="K764" s="1047"/>
      <c r="L764" s="1046"/>
      <c r="M764" s="1094"/>
      <c r="N764" s="989">
        <v>208000</v>
      </c>
      <c r="O764" s="989">
        <v>0</v>
      </c>
      <c r="P764" s="989">
        <v>208000</v>
      </c>
      <c r="Q764" s="989">
        <f t="shared" si="82"/>
        <v>208000</v>
      </c>
      <c r="R764" s="989">
        <f t="shared" si="84"/>
        <v>100</v>
      </c>
      <c r="S764" s="1011">
        <v>0</v>
      </c>
      <c r="T764" s="989">
        <f t="shared" si="80"/>
        <v>0</v>
      </c>
      <c r="U764" s="989">
        <f t="shared" si="83"/>
        <v>208000</v>
      </c>
      <c r="V764" s="989">
        <f t="shared" si="85"/>
        <v>100</v>
      </c>
      <c r="W764" s="989"/>
      <c r="X764" s="989">
        <f t="shared" si="81"/>
        <v>0</v>
      </c>
      <c r="Y764" s="1012"/>
    </row>
    <row r="765" spans="1:25" ht="63" customHeight="1">
      <c r="A765" s="1006">
        <v>647</v>
      </c>
      <c r="B765" s="1007" t="s">
        <v>2350</v>
      </c>
      <c r="C765" s="1008"/>
      <c r="D765" s="1008" t="s">
        <v>4054</v>
      </c>
      <c r="E765" s="1007" t="s">
        <v>2351</v>
      </c>
      <c r="F765" s="1010" t="s">
        <v>2832</v>
      </c>
      <c r="G765" s="989">
        <f>226000-68160</f>
        <v>157840</v>
      </c>
      <c r="H765" s="937"/>
      <c r="I765" s="1046"/>
      <c r="J765" s="1046"/>
      <c r="K765" s="1047"/>
      <c r="L765" s="1046"/>
      <c r="M765" s="1094">
        <f>-68160+68160</f>
        <v>0</v>
      </c>
      <c r="N765" s="989">
        <f>G765+M765</f>
        <v>157840</v>
      </c>
      <c r="O765" s="989">
        <v>157840</v>
      </c>
      <c r="P765" s="989">
        <v>0</v>
      </c>
      <c r="Q765" s="989">
        <f t="shared" si="82"/>
        <v>157840</v>
      </c>
      <c r="R765" s="989">
        <f t="shared" si="84"/>
        <v>100</v>
      </c>
      <c r="S765" s="1011">
        <v>0</v>
      </c>
      <c r="T765" s="989">
        <f t="shared" si="80"/>
        <v>0</v>
      </c>
      <c r="U765" s="989">
        <f t="shared" si="83"/>
        <v>157840</v>
      </c>
      <c r="V765" s="989">
        <f t="shared" si="85"/>
        <v>100</v>
      </c>
      <c r="W765" s="989"/>
      <c r="X765" s="989">
        <f t="shared" si="81"/>
        <v>0</v>
      </c>
      <c r="Y765" s="1012"/>
    </row>
    <row r="766" spans="1:25" ht="63" customHeight="1">
      <c r="A766" s="1006">
        <v>648</v>
      </c>
      <c r="B766" s="1007" t="s">
        <v>2352</v>
      </c>
      <c r="C766" s="1008"/>
      <c r="D766" s="1008" t="s">
        <v>4055</v>
      </c>
      <c r="E766" s="1007" t="s">
        <v>3367</v>
      </c>
      <c r="F766" s="1010" t="s">
        <v>577</v>
      </c>
      <c r="G766" s="989">
        <v>312000</v>
      </c>
      <c r="H766" s="937"/>
      <c r="I766" s="1046"/>
      <c r="J766" s="1046"/>
      <c r="K766" s="1047"/>
      <c r="L766" s="1046"/>
      <c r="M766" s="1094"/>
      <c r="N766" s="989">
        <v>312000</v>
      </c>
      <c r="O766" s="989">
        <v>0</v>
      </c>
      <c r="P766" s="989">
        <v>312000</v>
      </c>
      <c r="Q766" s="989">
        <f t="shared" si="82"/>
        <v>312000</v>
      </c>
      <c r="R766" s="989">
        <f t="shared" si="84"/>
        <v>100</v>
      </c>
      <c r="S766" s="1011">
        <v>0</v>
      </c>
      <c r="T766" s="989">
        <f t="shared" si="80"/>
        <v>0</v>
      </c>
      <c r="U766" s="989">
        <f t="shared" si="83"/>
        <v>312000</v>
      </c>
      <c r="V766" s="989">
        <f t="shared" si="85"/>
        <v>100</v>
      </c>
      <c r="W766" s="989"/>
      <c r="X766" s="989">
        <f t="shared" si="81"/>
        <v>0</v>
      </c>
      <c r="Y766" s="1012"/>
    </row>
    <row r="767" spans="1:25" ht="63" customHeight="1">
      <c r="A767" s="1006">
        <v>649</v>
      </c>
      <c r="B767" s="1007" t="s">
        <v>2353</v>
      </c>
      <c r="C767" s="1008"/>
      <c r="D767" s="1008" t="s">
        <v>4056</v>
      </c>
      <c r="E767" s="1007" t="s">
        <v>2354</v>
      </c>
      <c r="F767" s="1010" t="s">
        <v>2832</v>
      </c>
      <c r="G767" s="989">
        <v>180800</v>
      </c>
      <c r="H767" s="937"/>
      <c r="I767" s="1046"/>
      <c r="J767" s="1046"/>
      <c r="K767" s="1047"/>
      <c r="L767" s="1046"/>
      <c r="M767" s="1094"/>
      <c r="N767" s="989">
        <v>180800</v>
      </c>
      <c r="O767" s="989">
        <v>180800</v>
      </c>
      <c r="P767" s="989"/>
      <c r="Q767" s="989">
        <f t="shared" si="82"/>
        <v>180800</v>
      </c>
      <c r="R767" s="989">
        <f t="shared" si="84"/>
        <v>100</v>
      </c>
      <c r="S767" s="1011"/>
      <c r="T767" s="989">
        <f t="shared" si="80"/>
        <v>0</v>
      </c>
      <c r="U767" s="989">
        <f t="shared" si="83"/>
        <v>180800</v>
      </c>
      <c r="V767" s="989">
        <f t="shared" si="85"/>
        <v>100</v>
      </c>
      <c r="W767" s="989"/>
      <c r="X767" s="989">
        <f t="shared" si="81"/>
        <v>0</v>
      </c>
      <c r="Y767" s="1012"/>
    </row>
    <row r="768" spans="1:25" ht="63" customHeight="1">
      <c r="A768" s="1006">
        <v>650</v>
      </c>
      <c r="B768" s="1007" t="s">
        <v>2355</v>
      </c>
      <c r="C768" s="1008"/>
      <c r="D768" s="1008" t="s">
        <v>4057</v>
      </c>
      <c r="E768" s="1007" t="s">
        <v>3368</v>
      </c>
      <c r="F768" s="1010" t="s">
        <v>577</v>
      </c>
      <c r="G768" s="989">
        <f>208000-7563</f>
        <v>200437</v>
      </c>
      <c r="H768" s="937"/>
      <c r="I768" s="1046"/>
      <c r="J768" s="1046"/>
      <c r="K768" s="1047"/>
      <c r="L768" s="1046"/>
      <c r="M768" s="1094">
        <f>-7563+7563</f>
        <v>0</v>
      </c>
      <c r="N768" s="989">
        <f>G768+M768</f>
        <v>200437</v>
      </c>
      <c r="O768" s="989">
        <v>0</v>
      </c>
      <c r="P768" s="989">
        <v>200437</v>
      </c>
      <c r="Q768" s="989">
        <f t="shared" si="82"/>
        <v>200437</v>
      </c>
      <c r="R768" s="989">
        <f t="shared" si="84"/>
        <v>100</v>
      </c>
      <c r="S768" s="1011">
        <v>0</v>
      </c>
      <c r="T768" s="989">
        <f t="shared" si="80"/>
        <v>0</v>
      </c>
      <c r="U768" s="989">
        <f t="shared" si="83"/>
        <v>200437</v>
      </c>
      <c r="V768" s="989">
        <f t="shared" si="85"/>
        <v>100</v>
      </c>
      <c r="W768" s="989"/>
      <c r="X768" s="989">
        <f t="shared" si="81"/>
        <v>0</v>
      </c>
      <c r="Y768" s="1012"/>
    </row>
    <row r="769" spans="1:25" ht="63" customHeight="1">
      <c r="A769" s="1006">
        <v>651</v>
      </c>
      <c r="B769" s="1007" t="s">
        <v>2356</v>
      </c>
      <c r="C769" s="1008"/>
      <c r="D769" s="1008" t="s">
        <v>4058</v>
      </c>
      <c r="E769" s="1007" t="s">
        <v>2357</v>
      </c>
      <c r="F769" s="1010" t="s">
        <v>583</v>
      </c>
      <c r="G769" s="989">
        <f>104000-12000</f>
        <v>92000</v>
      </c>
      <c r="H769" s="937"/>
      <c r="I769" s="1046"/>
      <c r="J769" s="1046"/>
      <c r="K769" s="1047">
        <v>-9000</v>
      </c>
      <c r="L769" s="1046"/>
      <c r="M769" s="1094">
        <f>-12000+12000</f>
        <v>0</v>
      </c>
      <c r="N769" s="989">
        <f>G769+K769+M769</f>
        <v>83000</v>
      </c>
      <c r="O769" s="989">
        <v>0</v>
      </c>
      <c r="P769" s="989">
        <v>83000</v>
      </c>
      <c r="Q769" s="989">
        <f t="shared" si="82"/>
        <v>83000</v>
      </c>
      <c r="R769" s="989">
        <f t="shared" si="84"/>
        <v>100</v>
      </c>
      <c r="S769" s="1011">
        <v>0</v>
      </c>
      <c r="T769" s="989">
        <f t="shared" si="80"/>
        <v>0</v>
      </c>
      <c r="U769" s="989">
        <f t="shared" si="83"/>
        <v>83000</v>
      </c>
      <c r="V769" s="989">
        <f t="shared" si="85"/>
        <v>100</v>
      </c>
      <c r="W769" s="989"/>
      <c r="X769" s="989">
        <f t="shared" si="81"/>
        <v>0</v>
      </c>
      <c r="Y769" s="1012"/>
    </row>
    <row r="770" spans="1:25" ht="63" customHeight="1">
      <c r="A770" s="1006">
        <v>652</v>
      </c>
      <c r="B770" s="1007" t="s">
        <v>2358</v>
      </c>
      <c r="C770" s="1008"/>
      <c r="D770" s="1008" t="s">
        <v>4059</v>
      </c>
      <c r="E770" s="1007" t="s">
        <v>2359</v>
      </c>
      <c r="F770" s="1010" t="s">
        <v>2832</v>
      </c>
      <c r="G770" s="989">
        <f>180800-44432.96</f>
        <v>136367.04000000001</v>
      </c>
      <c r="H770" s="937"/>
      <c r="I770" s="1046"/>
      <c r="J770" s="1046"/>
      <c r="K770" s="1047"/>
      <c r="L770" s="1046"/>
      <c r="M770" s="1094">
        <v>-44432.959999999999</v>
      </c>
      <c r="N770" s="989">
        <f>180800+M770</f>
        <v>136367.04000000001</v>
      </c>
      <c r="O770" s="989">
        <v>136367.04000000001</v>
      </c>
      <c r="P770" s="989">
        <v>0</v>
      </c>
      <c r="Q770" s="989">
        <f t="shared" si="82"/>
        <v>136367.04000000001</v>
      </c>
      <c r="R770" s="989">
        <f t="shared" si="84"/>
        <v>100</v>
      </c>
      <c r="S770" s="1011">
        <v>0</v>
      </c>
      <c r="T770" s="989">
        <f t="shared" si="80"/>
        <v>0</v>
      </c>
      <c r="U770" s="989">
        <f t="shared" si="83"/>
        <v>136367.04000000001</v>
      </c>
      <c r="V770" s="989">
        <f t="shared" si="85"/>
        <v>100</v>
      </c>
      <c r="W770" s="989"/>
      <c r="X770" s="989">
        <f t="shared" si="81"/>
        <v>0</v>
      </c>
      <c r="Y770" s="1012"/>
    </row>
    <row r="771" spans="1:25" ht="63" customHeight="1">
      <c r="A771" s="1006">
        <v>653</v>
      </c>
      <c r="B771" s="1007" t="s">
        <v>2360</v>
      </c>
      <c r="C771" s="1008"/>
      <c r="D771" s="1008" t="s">
        <v>4060</v>
      </c>
      <c r="E771" s="1007" t="s">
        <v>2361</v>
      </c>
      <c r="F771" s="1010" t="s">
        <v>2832</v>
      </c>
      <c r="G771" s="989">
        <v>135600</v>
      </c>
      <c r="H771" s="937"/>
      <c r="I771" s="1046"/>
      <c r="J771" s="1046"/>
      <c r="K771" s="1047"/>
      <c r="L771" s="1046"/>
      <c r="M771" s="1094"/>
      <c r="N771" s="989">
        <v>135600</v>
      </c>
      <c r="O771" s="989">
        <v>135600</v>
      </c>
      <c r="P771" s="989"/>
      <c r="Q771" s="989">
        <f t="shared" si="82"/>
        <v>135600</v>
      </c>
      <c r="R771" s="989">
        <f t="shared" si="84"/>
        <v>100</v>
      </c>
      <c r="S771" s="1011"/>
      <c r="T771" s="989">
        <f t="shared" si="80"/>
        <v>0</v>
      </c>
      <c r="U771" s="989">
        <f t="shared" si="83"/>
        <v>135600</v>
      </c>
      <c r="V771" s="989">
        <f t="shared" si="85"/>
        <v>100</v>
      </c>
      <c r="W771" s="989"/>
      <c r="X771" s="989">
        <f t="shared" si="81"/>
        <v>0</v>
      </c>
      <c r="Y771" s="1012"/>
    </row>
    <row r="772" spans="1:25" ht="63" customHeight="1">
      <c r="A772" s="1006">
        <v>654</v>
      </c>
      <c r="B772" s="1007" t="s">
        <v>2362</v>
      </c>
      <c r="C772" s="1008"/>
      <c r="D772" s="1008" t="s">
        <v>4061</v>
      </c>
      <c r="E772" s="1007" t="s">
        <v>2363</v>
      </c>
      <c r="F772" s="1010" t="s">
        <v>583</v>
      </c>
      <c r="G772" s="989">
        <f>104000-36431.1</f>
        <v>67568.899999999994</v>
      </c>
      <c r="H772" s="937"/>
      <c r="I772" s="1046"/>
      <c r="J772" s="1046"/>
      <c r="K772" s="1047"/>
      <c r="L772" s="1046"/>
      <c r="M772" s="1094">
        <f>-36431.1+36431.1</f>
        <v>0</v>
      </c>
      <c r="N772" s="989">
        <f t="shared" ref="N772:N777" si="86">G772+M772</f>
        <v>67568.899999999994</v>
      </c>
      <c r="O772" s="989">
        <v>0</v>
      </c>
      <c r="P772" s="989">
        <v>67568.899999999994</v>
      </c>
      <c r="Q772" s="989">
        <f t="shared" si="82"/>
        <v>67568.899999999994</v>
      </c>
      <c r="R772" s="989">
        <f t="shared" si="84"/>
        <v>100</v>
      </c>
      <c r="S772" s="1011">
        <v>0</v>
      </c>
      <c r="T772" s="989">
        <f t="shared" si="80"/>
        <v>0</v>
      </c>
      <c r="U772" s="989">
        <f t="shared" si="83"/>
        <v>67568.899999999994</v>
      </c>
      <c r="V772" s="989">
        <f t="shared" si="85"/>
        <v>100</v>
      </c>
      <c r="W772" s="989"/>
      <c r="X772" s="989">
        <f t="shared" si="81"/>
        <v>0</v>
      </c>
      <c r="Y772" s="1012"/>
    </row>
    <row r="773" spans="1:25" ht="63" customHeight="1">
      <c r="A773" s="1006">
        <v>655</v>
      </c>
      <c r="B773" s="1007" t="s">
        <v>2364</v>
      </c>
      <c r="C773" s="1008"/>
      <c r="D773" s="1008" t="s">
        <v>4062</v>
      </c>
      <c r="E773" s="1007" t="s">
        <v>2365</v>
      </c>
      <c r="F773" s="1010" t="s">
        <v>2832</v>
      </c>
      <c r="G773" s="989">
        <f>135600-34794</f>
        <v>100806</v>
      </c>
      <c r="H773" s="937"/>
      <c r="I773" s="1046"/>
      <c r="J773" s="1046"/>
      <c r="K773" s="1047"/>
      <c r="L773" s="1046"/>
      <c r="M773" s="1094">
        <f>-34794+34794</f>
        <v>0</v>
      </c>
      <c r="N773" s="989">
        <f t="shared" si="86"/>
        <v>100806</v>
      </c>
      <c r="O773" s="989">
        <v>100806</v>
      </c>
      <c r="P773" s="989">
        <v>0</v>
      </c>
      <c r="Q773" s="989">
        <f t="shared" si="82"/>
        <v>100806</v>
      </c>
      <c r="R773" s="989">
        <f t="shared" si="84"/>
        <v>100</v>
      </c>
      <c r="S773" s="1011">
        <v>0</v>
      </c>
      <c r="T773" s="989">
        <f t="shared" si="80"/>
        <v>0</v>
      </c>
      <c r="U773" s="989">
        <f t="shared" si="83"/>
        <v>100806</v>
      </c>
      <c r="V773" s="989">
        <f t="shared" si="85"/>
        <v>100</v>
      </c>
      <c r="W773" s="989"/>
      <c r="X773" s="989">
        <f t="shared" si="81"/>
        <v>0</v>
      </c>
      <c r="Y773" s="1012"/>
    </row>
    <row r="774" spans="1:25" ht="63" customHeight="1">
      <c r="A774" s="1006">
        <v>656</v>
      </c>
      <c r="B774" s="1007" t="s">
        <v>2366</v>
      </c>
      <c r="C774" s="1008"/>
      <c r="D774" s="1008" t="s">
        <v>4063</v>
      </c>
      <c r="E774" s="1007" t="s">
        <v>2367</v>
      </c>
      <c r="F774" s="1010" t="s">
        <v>572</v>
      </c>
      <c r="G774" s="989">
        <f>208000-43583.23</f>
        <v>164416.76999999999</v>
      </c>
      <c r="H774" s="937"/>
      <c r="I774" s="1046"/>
      <c r="J774" s="1046"/>
      <c r="K774" s="1047"/>
      <c r="L774" s="1046"/>
      <c r="M774" s="1094">
        <f>-43583.23+43583.23</f>
        <v>0</v>
      </c>
      <c r="N774" s="989">
        <f t="shared" si="86"/>
        <v>164416.76999999999</v>
      </c>
      <c r="O774" s="989">
        <v>164416.76999999999</v>
      </c>
      <c r="P774" s="989">
        <v>0</v>
      </c>
      <c r="Q774" s="989">
        <f t="shared" si="82"/>
        <v>164416.76999999999</v>
      </c>
      <c r="R774" s="989">
        <f t="shared" si="84"/>
        <v>100</v>
      </c>
      <c r="S774" s="1011">
        <v>0</v>
      </c>
      <c r="T774" s="989">
        <f t="shared" si="80"/>
        <v>0</v>
      </c>
      <c r="U774" s="989">
        <f t="shared" si="83"/>
        <v>164416.76999999999</v>
      </c>
      <c r="V774" s="989">
        <f t="shared" si="85"/>
        <v>100</v>
      </c>
      <c r="W774" s="989"/>
      <c r="X774" s="989">
        <f t="shared" si="81"/>
        <v>0</v>
      </c>
      <c r="Y774" s="1012"/>
    </row>
    <row r="775" spans="1:25" ht="63" customHeight="1">
      <c r="A775" s="1006">
        <v>657</v>
      </c>
      <c r="B775" s="1007" t="s">
        <v>2368</v>
      </c>
      <c r="C775" s="1008"/>
      <c r="D775" s="1008" t="s">
        <v>4064</v>
      </c>
      <c r="E775" s="1007" t="s">
        <v>2369</v>
      </c>
      <c r="F775" s="1010" t="s">
        <v>572</v>
      </c>
      <c r="G775" s="989">
        <f>416000-152646.49</f>
        <v>263353.51</v>
      </c>
      <c r="H775" s="937"/>
      <c r="I775" s="1046"/>
      <c r="J775" s="1046"/>
      <c r="K775" s="1047"/>
      <c r="L775" s="1046"/>
      <c r="M775" s="1094">
        <f>-108071.5-44574.99+152646.49</f>
        <v>0</v>
      </c>
      <c r="N775" s="989">
        <f t="shared" si="86"/>
        <v>263353.51</v>
      </c>
      <c r="O775" s="989">
        <v>263353.51</v>
      </c>
      <c r="P775" s="989">
        <v>0</v>
      </c>
      <c r="Q775" s="989">
        <f t="shared" si="82"/>
        <v>263353.51</v>
      </c>
      <c r="R775" s="989">
        <f t="shared" si="84"/>
        <v>100</v>
      </c>
      <c r="S775" s="1011">
        <v>0</v>
      </c>
      <c r="T775" s="989">
        <f t="shared" si="80"/>
        <v>0</v>
      </c>
      <c r="U775" s="989">
        <f t="shared" si="83"/>
        <v>263353.51</v>
      </c>
      <c r="V775" s="989">
        <f t="shared" si="85"/>
        <v>100</v>
      </c>
      <c r="W775" s="989"/>
      <c r="X775" s="989">
        <f t="shared" si="81"/>
        <v>0</v>
      </c>
      <c r="Y775" s="1012"/>
    </row>
    <row r="776" spans="1:25" ht="63" customHeight="1">
      <c r="A776" s="1006">
        <v>658</v>
      </c>
      <c r="B776" s="1007" t="s">
        <v>2370</v>
      </c>
      <c r="C776" s="1008"/>
      <c r="D776" s="1008" t="s">
        <v>4065</v>
      </c>
      <c r="E776" s="1007" t="s">
        <v>2371</v>
      </c>
      <c r="F776" s="1010" t="s">
        <v>572</v>
      </c>
      <c r="G776" s="989">
        <f>416000-115719</f>
        <v>300281</v>
      </c>
      <c r="H776" s="937"/>
      <c r="I776" s="1046"/>
      <c r="J776" s="1046"/>
      <c r="K776" s="1047"/>
      <c r="L776" s="1046"/>
      <c r="M776" s="1094">
        <f>-99995-15724+115719</f>
        <v>0</v>
      </c>
      <c r="N776" s="989">
        <f t="shared" si="86"/>
        <v>300281</v>
      </c>
      <c r="O776" s="989">
        <v>0</v>
      </c>
      <c r="P776" s="989">
        <v>300281</v>
      </c>
      <c r="Q776" s="989">
        <f t="shared" si="82"/>
        <v>300281</v>
      </c>
      <c r="R776" s="989">
        <f t="shared" si="84"/>
        <v>100</v>
      </c>
      <c r="S776" s="1011">
        <v>0</v>
      </c>
      <c r="T776" s="989">
        <f t="shared" si="80"/>
        <v>0</v>
      </c>
      <c r="U776" s="989">
        <f t="shared" si="83"/>
        <v>300281</v>
      </c>
      <c r="V776" s="989">
        <f t="shared" si="85"/>
        <v>100</v>
      </c>
      <c r="W776" s="989"/>
      <c r="X776" s="989">
        <f t="shared" si="81"/>
        <v>0</v>
      </c>
      <c r="Y776" s="1012"/>
    </row>
    <row r="777" spans="1:25" ht="63" customHeight="1">
      <c r="A777" s="1006">
        <v>659</v>
      </c>
      <c r="B777" s="1007" t="s">
        <v>2372</v>
      </c>
      <c r="C777" s="1008"/>
      <c r="D777" s="1008" t="s">
        <v>4066</v>
      </c>
      <c r="E777" s="1007" t="s">
        <v>2373</v>
      </c>
      <c r="F777" s="1010" t="s">
        <v>2832</v>
      </c>
      <c r="G777" s="989">
        <f>45200-7232.01</f>
        <v>37967.99</v>
      </c>
      <c r="H777" s="937"/>
      <c r="I777" s="1046"/>
      <c r="J777" s="1046"/>
      <c r="K777" s="1047"/>
      <c r="L777" s="1046"/>
      <c r="M777" s="1094">
        <f>-7232.01+7232.01</f>
        <v>0</v>
      </c>
      <c r="N777" s="989">
        <f t="shared" si="86"/>
        <v>37967.99</v>
      </c>
      <c r="O777" s="989">
        <v>37967.99</v>
      </c>
      <c r="P777" s="989">
        <v>0</v>
      </c>
      <c r="Q777" s="989">
        <f t="shared" si="82"/>
        <v>37967.99</v>
      </c>
      <c r="R777" s="989">
        <f t="shared" si="84"/>
        <v>100</v>
      </c>
      <c r="S777" s="1011">
        <v>0</v>
      </c>
      <c r="T777" s="989">
        <f t="shared" si="80"/>
        <v>0</v>
      </c>
      <c r="U777" s="989">
        <f t="shared" si="83"/>
        <v>37967.99</v>
      </c>
      <c r="V777" s="989">
        <f t="shared" si="85"/>
        <v>100</v>
      </c>
      <c r="W777" s="989"/>
      <c r="X777" s="989">
        <f t="shared" si="81"/>
        <v>0</v>
      </c>
      <c r="Y777" s="1012"/>
    </row>
    <row r="778" spans="1:25" ht="63" customHeight="1">
      <c r="A778" s="1006">
        <v>660</v>
      </c>
      <c r="B778" s="1007" t="s">
        <v>2374</v>
      </c>
      <c r="C778" s="1008"/>
      <c r="D778" s="1008" t="s">
        <v>4067</v>
      </c>
      <c r="E778" s="1007" t="s">
        <v>2375</v>
      </c>
      <c r="F778" s="1010" t="s">
        <v>2832</v>
      </c>
      <c r="G778" s="989">
        <v>135600</v>
      </c>
      <c r="H778" s="937"/>
      <c r="I778" s="1046"/>
      <c r="J778" s="1046"/>
      <c r="K778" s="1047"/>
      <c r="L778" s="1046"/>
      <c r="M778" s="1094"/>
      <c r="N778" s="989">
        <v>135600</v>
      </c>
      <c r="O778" s="989">
        <v>135600</v>
      </c>
      <c r="P778" s="989"/>
      <c r="Q778" s="989">
        <f t="shared" si="82"/>
        <v>135600</v>
      </c>
      <c r="R778" s="989">
        <f t="shared" si="84"/>
        <v>100</v>
      </c>
      <c r="S778" s="1011"/>
      <c r="T778" s="989">
        <f t="shared" si="80"/>
        <v>0</v>
      </c>
      <c r="U778" s="989">
        <f t="shared" si="83"/>
        <v>135600</v>
      </c>
      <c r="V778" s="989">
        <f t="shared" si="85"/>
        <v>100</v>
      </c>
      <c r="W778" s="989"/>
      <c r="X778" s="989">
        <f t="shared" si="81"/>
        <v>0</v>
      </c>
      <c r="Y778" s="1012"/>
    </row>
    <row r="779" spans="1:25" ht="63" customHeight="1">
      <c r="A779" s="1006">
        <v>661</v>
      </c>
      <c r="B779" s="1007" t="s">
        <v>2376</v>
      </c>
      <c r="C779" s="1008"/>
      <c r="D779" s="1008" t="s">
        <v>4068</v>
      </c>
      <c r="E779" s="1007" t="s">
        <v>2377</v>
      </c>
      <c r="F779" s="1010" t="s">
        <v>572</v>
      </c>
      <c r="G779" s="989">
        <f>208000-62606.4</f>
        <v>145393.60000000001</v>
      </c>
      <c r="H779" s="937"/>
      <c r="I779" s="1046"/>
      <c r="J779" s="1046"/>
      <c r="K779" s="1047"/>
      <c r="L779" s="1046"/>
      <c r="M779" s="1094">
        <f>-62606.4+62606.4</f>
        <v>0</v>
      </c>
      <c r="N779" s="989">
        <f>G779+M779</f>
        <v>145393.60000000001</v>
      </c>
      <c r="O779" s="989">
        <v>145393.60000000001</v>
      </c>
      <c r="P779" s="989">
        <v>0</v>
      </c>
      <c r="Q779" s="989">
        <f t="shared" si="82"/>
        <v>145393.60000000001</v>
      </c>
      <c r="R779" s="989">
        <f t="shared" si="84"/>
        <v>100</v>
      </c>
      <c r="S779" s="1011">
        <v>0</v>
      </c>
      <c r="T779" s="989">
        <f t="shared" si="80"/>
        <v>0</v>
      </c>
      <c r="U779" s="989">
        <f t="shared" si="83"/>
        <v>145393.60000000001</v>
      </c>
      <c r="V779" s="989">
        <f t="shared" si="85"/>
        <v>100</v>
      </c>
      <c r="W779" s="989"/>
      <c r="X779" s="989">
        <f t="shared" si="81"/>
        <v>0</v>
      </c>
      <c r="Y779" s="1012"/>
    </row>
    <row r="780" spans="1:25" ht="63" customHeight="1">
      <c r="A780" s="1006">
        <v>662</v>
      </c>
      <c r="B780" s="1007" t="s">
        <v>4525</v>
      </c>
      <c r="C780" s="1008"/>
      <c r="D780" s="1008" t="s">
        <v>4526</v>
      </c>
      <c r="E780" s="1007" t="s">
        <v>4404</v>
      </c>
      <c r="F780" s="1010" t="s">
        <v>2832</v>
      </c>
      <c r="G780" s="989">
        <v>0</v>
      </c>
      <c r="H780" s="937"/>
      <c r="I780" s="1046"/>
      <c r="J780" s="1046"/>
      <c r="K780" s="1047"/>
      <c r="L780" s="1046"/>
      <c r="M780" s="1094"/>
      <c r="N780" s="989">
        <v>0</v>
      </c>
      <c r="O780" s="989">
        <v>0</v>
      </c>
      <c r="P780" s="989"/>
      <c r="Q780" s="989">
        <f t="shared" si="82"/>
        <v>0</v>
      </c>
      <c r="R780" s="989" t="e">
        <f t="shared" si="84"/>
        <v>#DIV/0!</v>
      </c>
      <c r="S780" s="1011"/>
      <c r="T780" s="989">
        <v>0</v>
      </c>
      <c r="U780" s="989">
        <f t="shared" si="83"/>
        <v>0</v>
      </c>
      <c r="V780" s="989">
        <v>0</v>
      </c>
      <c r="W780" s="989"/>
      <c r="X780" s="989">
        <f t="shared" si="81"/>
        <v>0</v>
      </c>
      <c r="Y780" s="1012"/>
    </row>
    <row r="781" spans="1:25" ht="63" customHeight="1">
      <c r="A781" s="1006">
        <v>663</v>
      </c>
      <c r="B781" s="1007" t="s">
        <v>2378</v>
      </c>
      <c r="C781" s="1008"/>
      <c r="D781" s="1008" t="s">
        <v>4069</v>
      </c>
      <c r="E781" s="1007" t="s">
        <v>2379</v>
      </c>
      <c r="F781" s="1010" t="s">
        <v>572</v>
      </c>
      <c r="G781" s="989">
        <f>416000-400</f>
        <v>415600</v>
      </c>
      <c r="H781" s="937"/>
      <c r="I781" s="1046"/>
      <c r="J781" s="1046"/>
      <c r="K781" s="1047"/>
      <c r="L781" s="1046"/>
      <c r="M781" s="1094">
        <f>-400+400</f>
        <v>0</v>
      </c>
      <c r="N781" s="989">
        <f>G781+M781</f>
        <v>415600</v>
      </c>
      <c r="O781" s="989">
        <v>0</v>
      </c>
      <c r="P781" s="989">
        <v>415600</v>
      </c>
      <c r="Q781" s="989">
        <f t="shared" si="82"/>
        <v>415600</v>
      </c>
      <c r="R781" s="989">
        <f t="shared" si="84"/>
        <v>100</v>
      </c>
      <c r="S781" s="1011">
        <v>0</v>
      </c>
      <c r="T781" s="989">
        <f t="shared" si="80"/>
        <v>0</v>
      </c>
      <c r="U781" s="989">
        <f t="shared" si="83"/>
        <v>415600</v>
      </c>
      <c r="V781" s="989">
        <f t="shared" si="85"/>
        <v>100</v>
      </c>
      <c r="W781" s="989"/>
      <c r="X781" s="989">
        <f t="shared" si="81"/>
        <v>0</v>
      </c>
      <c r="Y781" s="1012"/>
    </row>
    <row r="782" spans="1:25" ht="63" customHeight="1">
      <c r="A782" s="1006">
        <v>664</v>
      </c>
      <c r="B782" s="1007" t="s">
        <v>2380</v>
      </c>
      <c r="C782" s="1008"/>
      <c r="D782" s="1008" t="s">
        <v>4070</v>
      </c>
      <c r="E782" s="1007" t="s">
        <v>2381</v>
      </c>
      <c r="F782" s="1010" t="s">
        <v>2832</v>
      </c>
      <c r="G782" s="989">
        <f>90400-31278.96</f>
        <v>59121.04</v>
      </c>
      <c r="H782" s="937"/>
      <c r="I782" s="1046"/>
      <c r="J782" s="1046"/>
      <c r="K782" s="1047"/>
      <c r="L782" s="1046"/>
      <c r="M782" s="1094">
        <f>-31278.96+31278.96</f>
        <v>0</v>
      </c>
      <c r="N782" s="989">
        <f>G782+M782</f>
        <v>59121.04</v>
      </c>
      <c r="O782" s="989">
        <v>59121.04</v>
      </c>
      <c r="P782" s="989">
        <v>0</v>
      </c>
      <c r="Q782" s="989">
        <f t="shared" si="82"/>
        <v>59121.04</v>
      </c>
      <c r="R782" s="989">
        <f t="shared" si="84"/>
        <v>100</v>
      </c>
      <c r="S782" s="1011">
        <v>0</v>
      </c>
      <c r="T782" s="989">
        <f t="shared" si="80"/>
        <v>0</v>
      </c>
      <c r="U782" s="989">
        <f t="shared" si="83"/>
        <v>59121.04</v>
      </c>
      <c r="V782" s="989">
        <f t="shared" si="85"/>
        <v>100</v>
      </c>
      <c r="W782" s="989"/>
      <c r="X782" s="989">
        <f t="shared" si="81"/>
        <v>0</v>
      </c>
      <c r="Y782" s="1012"/>
    </row>
    <row r="783" spans="1:25" ht="63" customHeight="1">
      <c r="A783" s="1006">
        <v>665</v>
      </c>
      <c r="B783" s="1007" t="s">
        <v>2382</v>
      </c>
      <c r="C783" s="1008"/>
      <c r="D783" s="1008" t="s">
        <v>4071</v>
      </c>
      <c r="E783" s="1007" t="s">
        <v>2383</v>
      </c>
      <c r="F783" s="1010" t="s">
        <v>2832</v>
      </c>
      <c r="G783" s="989">
        <v>135600</v>
      </c>
      <c r="H783" s="937"/>
      <c r="I783" s="1046"/>
      <c r="J783" s="1046"/>
      <c r="K783" s="1047"/>
      <c r="L783" s="1046"/>
      <c r="M783" s="1094"/>
      <c r="N783" s="989">
        <v>135600</v>
      </c>
      <c r="O783" s="989">
        <v>0</v>
      </c>
      <c r="P783" s="989">
        <v>135600</v>
      </c>
      <c r="Q783" s="989">
        <f t="shared" si="82"/>
        <v>135600</v>
      </c>
      <c r="R783" s="989">
        <f t="shared" si="84"/>
        <v>100</v>
      </c>
      <c r="S783" s="1011">
        <v>0</v>
      </c>
      <c r="T783" s="989">
        <f t="shared" si="80"/>
        <v>0</v>
      </c>
      <c r="U783" s="989">
        <f t="shared" si="83"/>
        <v>135600</v>
      </c>
      <c r="V783" s="989">
        <f t="shared" si="85"/>
        <v>100</v>
      </c>
      <c r="W783" s="989"/>
      <c r="X783" s="989">
        <f t="shared" si="81"/>
        <v>0</v>
      </c>
      <c r="Y783" s="1012"/>
    </row>
    <row r="784" spans="1:25" ht="63" customHeight="1">
      <c r="A784" s="1006">
        <v>666</v>
      </c>
      <c r="B784" s="1007" t="s">
        <v>2384</v>
      </c>
      <c r="C784" s="1008"/>
      <c r="D784" s="1008" t="s">
        <v>4072</v>
      </c>
      <c r="E784" s="1007" t="s">
        <v>2385</v>
      </c>
      <c r="F784" s="1010" t="s">
        <v>2832</v>
      </c>
      <c r="G784" s="989">
        <f>226000-21014</f>
        <v>204986</v>
      </c>
      <c r="H784" s="937"/>
      <c r="I784" s="1046"/>
      <c r="J784" s="1046"/>
      <c r="K784" s="1047"/>
      <c r="L784" s="1046"/>
      <c r="M784" s="1094">
        <f>-21014+21014</f>
        <v>0</v>
      </c>
      <c r="N784" s="989">
        <f>G784+M784</f>
        <v>204986</v>
      </c>
      <c r="O784" s="989">
        <v>204986</v>
      </c>
      <c r="P784" s="989">
        <v>0</v>
      </c>
      <c r="Q784" s="989">
        <f t="shared" si="82"/>
        <v>204986</v>
      </c>
      <c r="R784" s="989">
        <f t="shared" si="84"/>
        <v>100</v>
      </c>
      <c r="S784" s="1011">
        <v>0</v>
      </c>
      <c r="T784" s="989">
        <f t="shared" si="80"/>
        <v>0</v>
      </c>
      <c r="U784" s="989">
        <f t="shared" si="83"/>
        <v>204986</v>
      </c>
      <c r="V784" s="989">
        <f t="shared" si="85"/>
        <v>100</v>
      </c>
      <c r="W784" s="989"/>
      <c r="X784" s="989">
        <f t="shared" si="81"/>
        <v>0</v>
      </c>
      <c r="Y784" s="1012"/>
    </row>
    <row r="785" spans="1:39" s="969" customFormat="1" ht="63" customHeight="1">
      <c r="A785" s="1006">
        <v>667</v>
      </c>
      <c r="B785" s="1007" t="s">
        <v>2386</v>
      </c>
      <c r="C785" s="1008"/>
      <c r="D785" s="1008" t="s">
        <v>4073</v>
      </c>
      <c r="E785" s="1007" t="s">
        <v>2387</v>
      </c>
      <c r="F785" s="1010" t="s">
        <v>2832</v>
      </c>
      <c r="G785" s="989">
        <f>135600-5364.92</f>
        <v>130235.08</v>
      </c>
      <c r="H785" s="937"/>
      <c r="I785" s="1046"/>
      <c r="J785" s="1046"/>
      <c r="K785" s="1047"/>
      <c r="L785" s="1046"/>
      <c r="M785" s="1094">
        <f>-5364.92+5364.92</f>
        <v>0</v>
      </c>
      <c r="N785" s="989">
        <f>G785+M785</f>
        <v>130235.08</v>
      </c>
      <c r="O785" s="989">
        <v>85035.08</v>
      </c>
      <c r="P785" s="989">
        <v>45200</v>
      </c>
      <c r="Q785" s="989">
        <f t="shared" si="82"/>
        <v>130235.08</v>
      </c>
      <c r="R785" s="989">
        <f t="shared" si="84"/>
        <v>100</v>
      </c>
      <c r="S785" s="1011">
        <v>0</v>
      </c>
      <c r="T785" s="989">
        <f t="shared" si="80"/>
        <v>0</v>
      </c>
      <c r="U785" s="989">
        <f t="shared" si="83"/>
        <v>130235.08</v>
      </c>
      <c r="V785" s="989">
        <f t="shared" si="85"/>
        <v>100</v>
      </c>
      <c r="W785" s="989"/>
      <c r="X785" s="989">
        <f t="shared" si="81"/>
        <v>0</v>
      </c>
      <c r="Y785" s="1012"/>
      <c r="Z785" s="941"/>
      <c r="AA785" s="941"/>
      <c r="AB785" s="941"/>
      <c r="AC785" s="941"/>
      <c r="AD785" s="941"/>
      <c r="AE785" s="941"/>
      <c r="AF785" s="941"/>
      <c r="AG785" s="941"/>
      <c r="AH785" s="941"/>
      <c r="AI785" s="941"/>
      <c r="AJ785" s="941"/>
      <c r="AK785" s="941"/>
      <c r="AL785" s="941"/>
      <c r="AM785" s="941"/>
    </row>
    <row r="786" spans="1:39" s="969" customFormat="1" ht="63" customHeight="1">
      <c r="A786" s="1006">
        <v>668</v>
      </c>
      <c r="B786" s="1007" t="s">
        <v>2388</v>
      </c>
      <c r="C786" s="1008"/>
      <c r="D786" s="1008" t="s">
        <v>4074</v>
      </c>
      <c r="E786" s="1007" t="s">
        <v>2990</v>
      </c>
      <c r="F786" s="1010" t="s">
        <v>2832</v>
      </c>
      <c r="G786" s="989">
        <f>180800-33380.39</f>
        <v>147419.60999999999</v>
      </c>
      <c r="H786" s="937"/>
      <c r="I786" s="1046"/>
      <c r="J786" s="1046"/>
      <c r="K786" s="1047"/>
      <c r="L786" s="1046"/>
      <c r="M786" s="1094">
        <f>-33380.39+33380.39</f>
        <v>0</v>
      </c>
      <c r="N786" s="989">
        <f>G786+M786</f>
        <v>147419.60999999999</v>
      </c>
      <c r="O786" s="989">
        <v>75121</v>
      </c>
      <c r="P786" s="989">
        <v>72298.61</v>
      </c>
      <c r="Q786" s="989">
        <f t="shared" si="82"/>
        <v>147419.60999999999</v>
      </c>
      <c r="R786" s="989">
        <f t="shared" si="84"/>
        <v>100</v>
      </c>
      <c r="S786" s="1011">
        <v>0</v>
      </c>
      <c r="T786" s="989">
        <f t="shared" si="80"/>
        <v>0</v>
      </c>
      <c r="U786" s="989">
        <f t="shared" si="83"/>
        <v>147419.60999999999</v>
      </c>
      <c r="V786" s="989">
        <f t="shared" si="85"/>
        <v>100</v>
      </c>
      <c r="W786" s="989"/>
      <c r="X786" s="989">
        <f t="shared" si="81"/>
        <v>0</v>
      </c>
      <c r="Y786" s="1012"/>
      <c r="Z786" s="941"/>
      <c r="AA786" s="941"/>
      <c r="AB786" s="941"/>
      <c r="AC786" s="941"/>
      <c r="AD786" s="941"/>
      <c r="AE786" s="941"/>
      <c r="AF786" s="941"/>
      <c r="AG786" s="941"/>
      <c r="AH786" s="941"/>
      <c r="AI786" s="941"/>
      <c r="AJ786" s="941"/>
      <c r="AK786" s="941"/>
      <c r="AL786" s="941"/>
      <c r="AM786" s="941"/>
    </row>
    <row r="787" spans="1:39" s="969" customFormat="1" ht="63" customHeight="1">
      <c r="A787" s="1006">
        <v>669</v>
      </c>
      <c r="B787" s="1007" t="s">
        <v>2389</v>
      </c>
      <c r="C787" s="1008"/>
      <c r="D787" s="1008" t="s">
        <v>4075</v>
      </c>
      <c r="E787" s="1007" t="s">
        <v>2390</v>
      </c>
      <c r="F787" s="1010" t="s">
        <v>2832</v>
      </c>
      <c r="G787" s="989">
        <f>226000-54981.3</f>
        <v>171018.7</v>
      </c>
      <c r="H787" s="937"/>
      <c r="I787" s="1046"/>
      <c r="J787" s="1046"/>
      <c r="K787" s="1047"/>
      <c r="L787" s="1046"/>
      <c r="M787" s="1094">
        <f>-54981.3+54981.3</f>
        <v>0</v>
      </c>
      <c r="N787" s="989">
        <f>G787+M787</f>
        <v>171018.7</v>
      </c>
      <c r="O787" s="989">
        <v>0</v>
      </c>
      <c r="P787" s="989">
        <v>171018.7</v>
      </c>
      <c r="Q787" s="989">
        <f t="shared" si="82"/>
        <v>171018.7</v>
      </c>
      <c r="R787" s="989">
        <f t="shared" si="84"/>
        <v>100</v>
      </c>
      <c r="S787" s="1011">
        <v>0</v>
      </c>
      <c r="T787" s="989">
        <f t="shared" si="80"/>
        <v>0</v>
      </c>
      <c r="U787" s="989">
        <f t="shared" si="83"/>
        <v>171018.7</v>
      </c>
      <c r="V787" s="989">
        <f t="shared" si="85"/>
        <v>100</v>
      </c>
      <c r="W787" s="989"/>
      <c r="X787" s="989">
        <f t="shared" si="81"/>
        <v>0</v>
      </c>
      <c r="Y787" s="1012"/>
      <c r="Z787" s="941"/>
      <c r="AA787" s="941"/>
      <c r="AB787" s="941"/>
      <c r="AC787" s="941"/>
      <c r="AD787" s="941"/>
      <c r="AE787" s="941"/>
      <c r="AF787" s="941"/>
      <c r="AG787" s="941"/>
      <c r="AH787" s="941"/>
      <c r="AI787" s="941"/>
      <c r="AJ787" s="941"/>
      <c r="AK787" s="941"/>
      <c r="AL787" s="941"/>
      <c r="AM787" s="941"/>
    </row>
    <row r="788" spans="1:39" s="969" customFormat="1" ht="63" customHeight="1">
      <c r="A788" s="1006">
        <v>670</v>
      </c>
      <c r="B788" s="1007" t="s">
        <v>2391</v>
      </c>
      <c r="C788" s="1008"/>
      <c r="D788" s="1008" t="s">
        <v>4076</v>
      </c>
      <c r="E788" s="1007" t="s">
        <v>2392</v>
      </c>
      <c r="F788" s="1010" t="s">
        <v>2832</v>
      </c>
      <c r="G788" s="989">
        <f>45200-14312</f>
        <v>30888</v>
      </c>
      <c r="H788" s="937"/>
      <c r="I788" s="1046"/>
      <c r="J788" s="1046"/>
      <c r="K788" s="1047"/>
      <c r="L788" s="1046"/>
      <c r="M788" s="1094">
        <f>-14312+14312</f>
        <v>0</v>
      </c>
      <c r="N788" s="989">
        <f>G788+M788:M788</f>
        <v>30888</v>
      </c>
      <c r="O788" s="989">
        <v>30888</v>
      </c>
      <c r="P788" s="989">
        <v>0</v>
      </c>
      <c r="Q788" s="989">
        <f t="shared" si="82"/>
        <v>30888</v>
      </c>
      <c r="R788" s="989">
        <f t="shared" si="84"/>
        <v>100</v>
      </c>
      <c r="S788" s="1011">
        <v>0</v>
      </c>
      <c r="T788" s="989">
        <f t="shared" si="80"/>
        <v>0</v>
      </c>
      <c r="U788" s="989">
        <f t="shared" si="83"/>
        <v>30888</v>
      </c>
      <c r="V788" s="989">
        <f t="shared" si="85"/>
        <v>100</v>
      </c>
      <c r="W788" s="989"/>
      <c r="X788" s="989">
        <f t="shared" si="81"/>
        <v>0</v>
      </c>
      <c r="Y788" s="1012"/>
      <c r="Z788" s="941"/>
      <c r="AA788" s="941"/>
      <c r="AB788" s="941"/>
      <c r="AC788" s="941"/>
      <c r="AD788" s="941"/>
      <c r="AE788" s="941"/>
      <c r="AF788" s="941"/>
      <c r="AG788" s="941"/>
      <c r="AH788" s="941"/>
      <c r="AI788" s="941"/>
      <c r="AJ788" s="941"/>
      <c r="AK788" s="941"/>
      <c r="AL788" s="941"/>
      <c r="AM788" s="941"/>
    </row>
    <row r="789" spans="1:39" s="969" customFormat="1" ht="63" customHeight="1">
      <c r="A789" s="1006">
        <v>671</v>
      </c>
      <c r="B789" s="1007" t="s">
        <v>2393</v>
      </c>
      <c r="C789" s="1008"/>
      <c r="D789" s="1008" t="s">
        <v>4077</v>
      </c>
      <c r="E789" s="1007" t="s">
        <v>2991</v>
      </c>
      <c r="F789" s="1010" t="s">
        <v>2832</v>
      </c>
      <c r="G789" s="989">
        <v>90400</v>
      </c>
      <c r="H789" s="937"/>
      <c r="I789" s="1046"/>
      <c r="J789" s="1046"/>
      <c r="K789" s="1047"/>
      <c r="L789" s="1046"/>
      <c r="M789" s="1094"/>
      <c r="N789" s="989">
        <v>90400</v>
      </c>
      <c r="O789" s="989">
        <v>90400</v>
      </c>
      <c r="P789" s="989"/>
      <c r="Q789" s="989">
        <f t="shared" si="82"/>
        <v>90400</v>
      </c>
      <c r="R789" s="989">
        <f t="shared" si="84"/>
        <v>100</v>
      </c>
      <c r="S789" s="1011"/>
      <c r="T789" s="989">
        <f t="shared" si="80"/>
        <v>0</v>
      </c>
      <c r="U789" s="989">
        <f t="shared" si="83"/>
        <v>90400</v>
      </c>
      <c r="V789" s="989">
        <f t="shared" si="85"/>
        <v>100</v>
      </c>
      <c r="W789" s="989"/>
      <c r="X789" s="989">
        <f t="shared" si="81"/>
        <v>0</v>
      </c>
      <c r="Y789" s="1012"/>
      <c r="Z789" s="941"/>
      <c r="AA789" s="941"/>
      <c r="AB789" s="941"/>
      <c r="AC789" s="941"/>
      <c r="AD789" s="941"/>
      <c r="AE789" s="941"/>
      <c r="AF789" s="941"/>
      <c r="AG789" s="941"/>
      <c r="AH789" s="941"/>
      <c r="AI789" s="941"/>
      <c r="AJ789" s="941"/>
      <c r="AK789" s="941"/>
      <c r="AL789" s="941"/>
      <c r="AM789" s="941"/>
    </row>
    <row r="790" spans="1:39" s="969" customFormat="1" ht="63" customHeight="1">
      <c r="A790" s="1006">
        <v>672</v>
      </c>
      <c r="B790" s="1007" t="s">
        <v>2394</v>
      </c>
      <c r="C790" s="1008"/>
      <c r="D790" s="1008" t="s">
        <v>4078</v>
      </c>
      <c r="E790" s="1007" t="s">
        <v>2395</v>
      </c>
      <c r="F790" s="1010" t="s">
        <v>572</v>
      </c>
      <c r="G790" s="989">
        <v>1248000</v>
      </c>
      <c r="H790" s="937"/>
      <c r="I790" s="1046"/>
      <c r="J790" s="1046"/>
      <c r="K790" s="1047"/>
      <c r="L790" s="1046"/>
      <c r="M790" s="1094">
        <v>-31140.22</v>
      </c>
      <c r="N790" s="989">
        <f>1248000+M790</f>
        <v>1216859.78</v>
      </c>
      <c r="O790" s="989">
        <v>0</v>
      </c>
      <c r="P790" s="989">
        <v>1216859.78</v>
      </c>
      <c r="Q790" s="989">
        <f t="shared" si="82"/>
        <v>1216859.78</v>
      </c>
      <c r="R790" s="989">
        <f t="shared" si="84"/>
        <v>100</v>
      </c>
      <c r="S790" s="1011">
        <v>0</v>
      </c>
      <c r="T790" s="989">
        <f t="shared" si="80"/>
        <v>0</v>
      </c>
      <c r="U790" s="989">
        <f t="shared" si="83"/>
        <v>1216859.78</v>
      </c>
      <c r="V790" s="989">
        <f t="shared" si="85"/>
        <v>100</v>
      </c>
      <c r="W790" s="989"/>
      <c r="X790" s="989">
        <f t="shared" si="81"/>
        <v>0</v>
      </c>
      <c r="Y790" s="1012"/>
      <c r="Z790" s="941"/>
      <c r="AA790" s="941"/>
      <c r="AB790" s="941"/>
      <c r="AC790" s="941"/>
      <c r="AD790" s="941"/>
      <c r="AE790" s="941"/>
      <c r="AF790" s="941"/>
      <c r="AG790" s="941"/>
      <c r="AH790" s="941"/>
      <c r="AI790" s="941"/>
      <c r="AJ790" s="941"/>
      <c r="AK790" s="941"/>
      <c r="AL790" s="941"/>
      <c r="AM790" s="941"/>
    </row>
    <row r="791" spans="1:39" s="969" customFormat="1" ht="63" customHeight="1">
      <c r="A791" s="1006">
        <v>673</v>
      </c>
      <c r="B791" s="1007" t="s">
        <v>2396</v>
      </c>
      <c r="C791" s="1008"/>
      <c r="D791" s="1008" t="s">
        <v>4079</v>
      </c>
      <c r="E791" s="1007" t="s">
        <v>2397</v>
      </c>
      <c r="F791" s="1010" t="s">
        <v>572</v>
      </c>
      <c r="G791" s="989">
        <f>936000-10627</f>
        <v>925373</v>
      </c>
      <c r="H791" s="937"/>
      <c r="I791" s="1046"/>
      <c r="J791" s="1046"/>
      <c r="K791" s="1047"/>
      <c r="L791" s="1046"/>
      <c r="M791" s="1094">
        <f>-10627+10627</f>
        <v>0</v>
      </c>
      <c r="N791" s="989">
        <f t="shared" ref="N791:N799" si="87">G791+M791</f>
        <v>925373</v>
      </c>
      <c r="O791" s="989">
        <v>925373</v>
      </c>
      <c r="P791" s="989">
        <v>0</v>
      </c>
      <c r="Q791" s="989">
        <f t="shared" si="82"/>
        <v>925373</v>
      </c>
      <c r="R791" s="989">
        <f t="shared" si="84"/>
        <v>100</v>
      </c>
      <c r="S791" s="1011">
        <v>0</v>
      </c>
      <c r="T791" s="989">
        <f t="shared" si="80"/>
        <v>0</v>
      </c>
      <c r="U791" s="989">
        <f t="shared" si="83"/>
        <v>925373</v>
      </c>
      <c r="V791" s="989">
        <f t="shared" si="85"/>
        <v>100</v>
      </c>
      <c r="W791" s="989"/>
      <c r="X791" s="989">
        <f t="shared" si="81"/>
        <v>0</v>
      </c>
      <c r="Y791" s="1012"/>
      <c r="Z791" s="941"/>
      <c r="AA791" s="941"/>
      <c r="AB791" s="941"/>
      <c r="AC791" s="941"/>
      <c r="AD791" s="941"/>
      <c r="AE791" s="941"/>
      <c r="AF791" s="941"/>
      <c r="AG791" s="941"/>
      <c r="AH791" s="941"/>
      <c r="AI791" s="941"/>
      <c r="AJ791" s="941"/>
      <c r="AK791" s="941"/>
      <c r="AL791" s="941"/>
      <c r="AM791" s="941"/>
    </row>
    <row r="792" spans="1:39" s="969" customFormat="1" ht="63" customHeight="1">
      <c r="A792" s="1006">
        <v>674</v>
      </c>
      <c r="B792" s="1007" t="s">
        <v>2398</v>
      </c>
      <c r="C792" s="1008"/>
      <c r="D792" s="1008" t="s">
        <v>4080</v>
      </c>
      <c r="E792" s="1007" t="s">
        <v>2399</v>
      </c>
      <c r="F792" s="1010" t="s">
        <v>572</v>
      </c>
      <c r="G792" s="989">
        <f>208000-1283.26</f>
        <v>206716.74</v>
      </c>
      <c r="H792" s="937"/>
      <c r="I792" s="1046"/>
      <c r="J792" s="1046"/>
      <c r="K792" s="1047"/>
      <c r="L792" s="1046"/>
      <c r="M792" s="1094">
        <f>-1283.26+1283.26</f>
        <v>0</v>
      </c>
      <c r="N792" s="989">
        <f t="shared" si="87"/>
        <v>206716.74</v>
      </c>
      <c r="O792" s="989">
        <v>206716.74</v>
      </c>
      <c r="P792" s="989">
        <v>0</v>
      </c>
      <c r="Q792" s="989">
        <f t="shared" si="82"/>
        <v>206716.74</v>
      </c>
      <c r="R792" s="989">
        <f t="shared" si="84"/>
        <v>100</v>
      </c>
      <c r="S792" s="1011">
        <v>0</v>
      </c>
      <c r="T792" s="989">
        <f t="shared" si="80"/>
        <v>0</v>
      </c>
      <c r="U792" s="989">
        <f t="shared" si="83"/>
        <v>206716.74</v>
      </c>
      <c r="V792" s="989">
        <f t="shared" si="85"/>
        <v>100</v>
      </c>
      <c r="W792" s="989"/>
      <c r="X792" s="989">
        <f t="shared" si="81"/>
        <v>0</v>
      </c>
      <c r="Y792" s="1012"/>
      <c r="Z792" s="941"/>
      <c r="AA792" s="941"/>
      <c r="AB792" s="941"/>
      <c r="AC792" s="941"/>
      <c r="AD792" s="941"/>
      <c r="AE792" s="941"/>
      <c r="AF792" s="941"/>
      <c r="AG792" s="941"/>
      <c r="AH792" s="941"/>
      <c r="AI792" s="941"/>
      <c r="AJ792" s="941"/>
      <c r="AK792" s="941"/>
      <c r="AL792" s="941"/>
      <c r="AM792" s="941"/>
    </row>
    <row r="793" spans="1:39" s="969" customFormat="1" ht="63" customHeight="1">
      <c r="A793" s="1006">
        <v>675</v>
      </c>
      <c r="B793" s="1007" t="s">
        <v>2400</v>
      </c>
      <c r="C793" s="1008"/>
      <c r="D793" s="1008" t="s">
        <v>4081</v>
      </c>
      <c r="E793" s="1007" t="s">
        <v>2401</v>
      </c>
      <c r="F793" s="1010" t="s">
        <v>572</v>
      </c>
      <c r="G793" s="989">
        <f>104000-13055.13</f>
        <v>90944.87</v>
      </c>
      <c r="H793" s="937"/>
      <c r="I793" s="1046"/>
      <c r="J793" s="1046"/>
      <c r="K793" s="1047"/>
      <c r="L793" s="1046"/>
      <c r="M793" s="1094">
        <f>-13055.13+13055.13</f>
        <v>0</v>
      </c>
      <c r="N793" s="989">
        <f t="shared" si="87"/>
        <v>90944.87</v>
      </c>
      <c r="O793" s="989">
        <v>90944.87</v>
      </c>
      <c r="P793" s="989">
        <v>0</v>
      </c>
      <c r="Q793" s="989">
        <f t="shared" si="82"/>
        <v>90944.87</v>
      </c>
      <c r="R793" s="989">
        <f t="shared" si="84"/>
        <v>100</v>
      </c>
      <c r="S793" s="1011">
        <v>0</v>
      </c>
      <c r="T793" s="989">
        <f t="shared" si="80"/>
        <v>0</v>
      </c>
      <c r="U793" s="989">
        <f t="shared" si="83"/>
        <v>90944.87</v>
      </c>
      <c r="V793" s="989">
        <f t="shared" si="85"/>
        <v>100</v>
      </c>
      <c r="W793" s="989"/>
      <c r="X793" s="989">
        <f t="shared" si="81"/>
        <v>0</v>
      </c>
      <c r="Y793" s="1012"/>
      <c r="Z793" s="941"/>
      <c r="AA793" s="941"/>
      <c r="AB793" s="941"/>
      <c r="AC793" s="941"/>
      <c r="AD793" s="941"/>
      <c r="AE793" s="941"/>
      <c r="AF793" s="941"/>
      <c r="AG793" s="941"/>
      <c r="AH793" s="941"/>
      <c r="AI793" s="941"/>
      <c r="AJ793" s="941"/>
      <c r="AK793" s="941"/>
      <c r="AL793" s="941"/>
      <c r="AM793" s="941"/>
    </row>
    <row r="794" spans="1:39" s="969" customFormat="1" ht="63" customHeight="1">
      <c r="A794" s="1006">
        <v>676</v>
      </c>
      <c r="B794" s="1007" t="s">
        <v>2402</v>
      </c>
      <c r="C794" s="1008"/>
      <c r="D794" s="1008" t="s">
        <v>4082</v>
      </c>
      <c r="E794" s="1007" t="s">
        <v>2403</v>
      </c>
      <c r="F794" s="1010" t="s">
        <v>572</v>
      </c>
      <c r="G794" s="989">
        <f>728000-252443.79</f>
        <v>475556.20999999996</v>
      </c>
      <c r="H794" s="937"/>
      <c r="I794" s="1046"/>
      <c r="J794" s="1046"/>
      <c r="K794" s="1047"/>
      <c r="L794" s="1046"/>
      <c r="M794" s="1094">
        <f>-222126.89-30316.9+252443.79</f>
        <v>0</v>
      </c>
      <c r="N794" s="989">
        <f t="shared" si="87"/>
        <v>475556.20999999996</v>
      </c>
      <c r="O794" s="989">
        <v>277739.99</v>
      </c>
      <c r="P794" s="989">
        <v>197816.22</v>
      </c>
      <c r="Q794" s="989">
        <f t="shared" si="82"/>
        <v>475556.20999999996</v>
      </c>
      <c r="R794" s="989">
        <f t="shared" si="84"/>
        <v>100</v>
      </c>
      <c r="S794" s="1011">
        <v>0</v>
      </c>
      <c r="T794" s="989">
        <f t="shared" si="80"/>
        <v>0</v>
      </c>
      <c r="U794" s="989">
        <f t="shared" si="83"/>
        <v>475556.20999999996</v>
      </c>
      <c r="V794" s="989">
        <f t="shared" si="85"/>
        <v>100</v>
      </c>
      <c r="W794" s="989"/>
      <c r="X794" s="989">
        <f t="shared" si="81"/>
        <v>0</v>
      </c>
      <c r="Y794" s="1012"/>
      <c r="Z794" s="941"/>
      <c r="AA794" s="941"/>
      <c r="AB794" s="941"/>
      <c r="AC794" s="941"/>
      <c r="AD794" s="941"/>
      <c r="AE794" s="941"/>
      <c r="AF794" s="941"/>
      <c r="AG794" s="941"/>
      <c r="AH794" s="941"/>
      <c r="AI794" s="941"/>
      <c r="AJ794" s="941"/>
      <c r="AK794" s="941"/>
      <c r="AL794" s="941"/>
      <c r="AM794" s="941"/>
    </row>
    <row r="795" spans="1:39" s="969" customFormat="1" ht="63" customHeight="1">
      <c r="A795" s="1006">
        <v>677</v>
      </c>
      <c r="B795" s="1007" t="s">
        <v>2404</v>
      </c>
      <c r="C795" s="1008"/>
      <c r="D795" s="1008" t="s">
        <v>4083</v>
      </c>
      <c r="E795" s="1007" t="s">
        <v>2405</v>
      </c>
      <c r="F795" s="1010" t="s">
        <v>571</v>
      </c>
      <c r="G795" s="989">
        <f>208000-84985.88</f>
        <v>123014.12</v>
      </c>
      <c r="H795" s="937"/>
      <c r="I795" s="1046"/>
      <c r="J795" s="1046"/>
      <c r="K795" s="1047"/>
      <c r="L795" s="1046"/>
      <c r="M795" s="1094">
        <f>-65752.64-19233.24+84985.88</f>
        <v>0</v>
      </c>
      <c r="N795" s="989">
        <f t="shared" si="87"/>
        <v>123014.12</v>
      </c>
      <c r="O795" s="989">
        <v>0</v>
      </c>
      <c r="P795" s="989">
        <v>123014.12</v>
      </c>
      <c r="Q795" s="989">
        <f t="shared" si="82"/>
        <v>123014.12</v>
      </c>
      <c r="R795" s="989">
        <f t="shared" si="84"/>
        <v>100</v>
      </c>
      <c r="S795" s="1011">
        <v>0</v>
      </c>
      <c r="T795" s="989">
        <f t="shared" si="80"/>
        <v>0</v>
      </c>
      <c r="U795" s="989">
        <f t="shared" si="83"/>
        <v>123014.12</v>
      </c>
      <c r="V795" s="989">
        <f t="shared" si="85"/>
        <v>100</v>
      </c>
      <c r="W795" s="989"/>
      <c r="X795" s="989">
        <f t="shared" si="81"/>
        <v>0</v>
      </c>
      <c r="Y795" s="1012"/>
      <c r="Z795" s="941"/>
      <c r="AA795" s="941"/>
      <c r="AB795" s="941"/>
      <c r="AC795" s="941"/>
      <c r="AD795" s="941"/>
      <c r="AE795" s="941"/>
      <c r="AF795" s="941"/>
      <c r="AG795" s="941"/>
      <c r="AH795" s="941"/>
      <c r="AI795" s="941"/>
      <c r="AJ795" s="941"/>
      <c r="AK795" s="941"/>
      <c r="AL795" s="941"/>
      <c r="AM795" s="941"/>
    </row>
    <row r="796" spans="1:39" s="969" customFormat="1" ht="63" customHeight="1">
      <c r="A796" s="1006">
        <v>678</v>
      </c>
      <c r="B796" s="1007" t="s">
        <v>2406</v>
      </c>
      <c r="C796" s="1008"/>
      <c r="D796" s="1008" t="s">
        <v>4084</v>
      </c>
      <c r="E796" s="1007" t="s">
        <v>3117</v>
      </c>
      <c r="F796" s="1010" t="s">
        <v>571</v>
      </c>
      <c r="G796" s="989">
        <f>312000-72319.25</f>
        <v>239680.75</v>
      </c>
      <c r="H796" s="937"/>
      <c r="I796" s="1046"/>
      <c r="J796" s="1046"/>
      <c r="K796" s="1047"/>
      <c r="L796" s="1046"/>
      <c r="M796" s="1094">
        <f>-43100-29219.25+72319.25</f>
        <v>0</v>
      </c>
      <c r="N796" s="989">
        <f t="shared" si="87"/>
        <v>239680.75</v>
      </c>
      <c r="O796" s="989">
        <v>0</v>
      </c>
      <c r="P796" s="989">
        <v>239680.75</v>
      </c>
      <c r="Q796" s="989">
        <f t="shared" si="82"/>
        <v>239680.75</v>
      </c>
      <c r="R796" s="989">
        <f t="shared" si="84"/>
        <v>100</v>
      </c>
      <c r="S796" s="1011">
        <v>0</v>
      </c>
      <c r="T796" s="989">
        <f t="shared" si="80"/>
        <v>0</v>
      </c>
      <c r="U796" s="989">
        <f t="shared" si="83"/>
        <v>239680.75</v>
      </c>
      <c r="V796" s="989">
        <f t="shared" si="85"/>
        <v>100</v>
      </c>
      <c r="W796" s="989"/>
      <c r="X796" s="989">
        <f t="shared" si="81"/>
        <v>0</v>
      </c>
      <c r="Y796" s="1012"/>
      <c r="Z796" s="941"/>
      <c r="AA796" s="941"/>
      <c r="AB796" s="941"/>
      <c r="AC796" s="941"/>
      <c r="AD796" s="941"/>
      <c r="AE796" s="941"/>
      <c r="AF796" s="941"/>
      <c r="AG796" s="941"/>
      <c r="AH796" s="941"/>
      <c r="AI796" s="941"/>
      <c r="AJ796" s="941"/>
      <c r="AK796" s="941"/>
      <c r="AL796" s="941"/>
      <c r="AM796" s="941"/>
    </row>
    <row r="797" spans="1:39" s="969" customFormat="1" ht="63" customHeight="1">
      <c r="A797" s="1006">
        <v>679</v>
      </c>
      <c r="B797" s="1007" t="s">
        <v>2407</v>
      </c>
      <c r="C797" s="1008"/>
      <c r="D797" s="1008" t="s">
        <v>4085</v>
      </c>
      <c r="E797" s="1007" t="s">
        <v>3118</v>
      </c>
      <c r="F797" s="1010" t="s">
        <v>571</v>
      </c>
      <c r="G797" s="989">
        <f>416000-134304</f>
        <v>281696</v>
      </c>
      <c r="H797" s="937"/>
      <c r="I797" s="1046"/>
      <c r="J797" s="1046"/>
      <c r="K797" s="1047"/>
      <c r="L797" s="1046"/>
      <c r="M797" s="1094">
        <f>-132300-2004+134304</f>
        <v>0</v>
      </c>
      <c r="N797" s="989">
        <f t="shared" si="87"/>
        <v>281696</v>
      </c>
      <c r="O797" s="989">
        <v>0</v>
      </c>
      <c r="P797" s="989">
        <v>281696</v>
      </c>
      <c r="Q797" s="989">
        <f t="shared" si="82"/>
        <v>281696</v>
      </c>
      <c r="R797" s="989">
        <f t="shared" si="84"/>
        <v>100</v>
      </c>
      <c r="S797" s="1011">
        <v>0</v>
      </c>
      <c r="T797" s="989">
        <f t="shared" si="80"/>
        <v>0</v>
      </c>
      <c r="U797" s="989">
        <f t="shared" si="83"/>
        <v>281696</v>
      </c>
      <c r="V797" s="989">
        <f t="shared" si="85"/>
        <v>100</v>
      </c>
      <c r="W797" s="989"/>
      <c r="X797" s="989">
        <f t="shared" si="81"/>
        <v>0</v>
      </c>
      <c r="Y797" s="1012"/>
      <c r="Z797" s="941"/>
      <c r="AA797" s="941"/>
      <c r="AB797" s="941"/>
      <c r="AC797" s="941"/>
      <c r="AD797" s="941"/>
      <c r="AE797" s="941"/>
      <c r="AF797" s="941"/>
      <c r="AG797" s="941"/>
      <c r="AH797" s="941"/>
      <c r="AI797" s="941"/>
      <c r="AJ797" s="941"/>
      <c r="AK797" s="941"/>
      <c r="AL797" s="941"/>
      <c r="AM797" s="941"/>
    </row>
    <row r="798" spans="1:39" s="969" customFormat="1" ht="63" customHeight="1">
      <c r="A798" s="1006">
        <v>680</v>
      </c>
      <c r="B798" s="1007" t="s">
        <v>2408</v>
      </c>
      <c r="C798" s="1008"/>
      <c r="D798" s="1008" t="s">
        <v>4086</v>
      </c>
      <c r="E798" s="1007" t="s">
        <v>3119</v>
      </c>
      <c r="F798" s="1010" t="s">
        <v>571</v>
      </c>
      <c r="G798" s="989">
        <f>312000-35000</f>
        <v>277000</v>
      </c>
      <c r="H798" s="937"/>
      <c r="I798" s="1046"/>
      <c r="J798" s="1046"/>
      <c r="K798" s="1047"/>
      <c r="L798" s="1046"/>
      <c r="M798" s="1094">
        <f>-35000+35000</f>
        <v>0</v>
      </c>
      <c r="N798" s="989">
        <f t="shared" si="87"/>
        <v>277000</v>
      </c>
      <c r="O798" s="989">
        <v>0</v>
      </c>
      <c r="P798" s="989">
        <v>277000</v>
      </c>
      <c r="Q798" s="989">
        <f t="shared" si="82"/>
        <v>277000</v>
      </c>
      <c r="R798" s="989">
        <f t="shared" si="84"/>
        <v>100</v>
      </c>
      <c r="S798" s="1011">
        <v>0</v>
      </c>
      <c r="T798" s="989">
        <f t="shared" si="80"/>
        <v>0</v>
      </c>
      <c r="U798" s="989">
        <f t="shared" si="83"/>
        <v>277000</v>
      </c>
      <c r="V798" s="989">
        <f t="shared" si="85"/>
        <v>100</v>
      </c>
      <c r="W798" s="989"/>
      <c r="X798" s="989">
        <f t="shared" si="81"/>
        <v>0</v>
      </c>
      <c r="Y798" s="1012"/>
      <c r="Z798" s="941"/>
      <c r="AA798" s="941"/>
      <c r="AB798" s="941"/>
      <c r="AC798" s="941"/>
      <c r="AD798" s="941"/>
      <c r="AE798" s="941"/>
      <c r="AF798" s="941"/>
      <c r="AG798" s="941"/>
      <c r="AH798" s="941"/>
      <c r="AI798" s="941"/>
      <c r="AJ798" s="941"/>
      <c r="AK798" s="941"/>
      <c r="AL798" s="941"/>
      <c r="AM798" s="941"/>
    </row>
    <row r="799" spans="1:39" s="969" customFormat="1" ht="63" customHeight="1">
      <c r="A799" s="1006">
        <v>681</v>
      </c>
      <c r="B799" s="1007" t="s">
        <v>2409</v>
      </c>
      <c r="C799" s="1008"/>
      <c r="D799" s="1008" t="s">
        <v>4087</v>
      </c>
      <c r="E799" s="1007" t="s">
        <v>3120</v>
      </c>
      <c r="F799" s="1010" t="s">
        <v>571</v>
      </c>
      <c r="G799" s="989">
        <f>416000-61358.9</f>
        <v>354641.1</v>
      </c>
      <c r="H799" s="937"/>
      <c r="I799" s="1046"/>
      <c r="J799" s="1046"/>
      <c r="K799" s="1047"/>
      <c r="L799" s="1046"/>
      <c r="M799" s="1094">
        <f>-24000-37358.9+61358.9</f>
        <v>0</v>
      </c>
      <c r="N799" s="989">
        <f t="shared" si="87"/>
        <v>354641.1</v>
      </c>
      <c r="O799" s="989">
        <v>0</v>
      </c>
      <c r="P799" s="989">
        <v>354641.1</v>
      </c>
      <c r="Q799" s="989">
        <f t="shared" si="82"/>
        <v>354641.1</v>
      </c>
      <c r="R799" s="989">
        <f t="shared" si="84"/>
        <v>100</v>
      </c>
      <c r="S799" s="1011">
        <v>0</v>
      </c>
      <c r="T799" s="989">
        <f t="shared" si="80"/>
        <v>0</v>
      </c>
      <c r="U799" s="989">
        <f t="shared" si="83"/>
        <v>354641.1</v>
      </c>
      <c r="V799" s="989">
        <f t="shared" si="85"/>
        <v>100</v>
      </c>
      <c r="W799" s="989"/>
      <c r="X799" s="989">
        <f t="shared" si="81"/>
        <v>0</v>
      </c>
      <c r="Y799" s="1012"/>
      <c r="Z799" s="941"/>
      <c r="AA799" s="941"/>
      <c r="AB799" s="941"/>
      <c r="AC799" s="941"/>
      <c r="AD799" s="941"/>
      <c r="AE799" s="941"/>
      <c r="AF799" s="941"/>
      <c r="AG799" s="941"/>
      <c r="AH799" s="941"/>
      <c r="AI799" s="941"/>
      <c r="AJ799" s="941"/>
      <c r="AK799" s="941"/>
      <c r="AL799" s="941"/>
      <c r="AM799" s="941"/>
    </row>
    <row r="800" spans="1:39" s="969" customFormat="1" ht="63" customHeight="1">
      <c r="A800" s="1006">
        <v>682</v>
      </c>
      <c r="B800" s="1007" t="s">
        <v>2410</v>
      </c>
      <c r="C800" s="1008"/>
      <c r="D800" s="1008" t="s">
        <v>4088</v>
      </c>
      <c r="E800" s="1007" t="s">
        <v>3121</v>
      </c>
      <c r="F800" s="1010" t="s">
        <v>571</v>
      </c>
      <c r="G800" s="989">
        <f>936000-201694.57</f>
        <v>734305.42999999993</v>
      </c>
      <c r="H800" s="937"/>
      <c r="I800" s="1046"/>
      <c r="J800" s="1046"/>
      <c r="K800" s="1047">
        <v>-66082.880000000005</v>
      </c>
      <c r="L800" s="1046"/>
      <c r="M800" s="1094">
        <f>-238800-28977.45+66082.88+201694.57</f>
        <v>0</v>
      </c>
      <c r="N800" s="989">
        <f>G800+M800+K800</f>
        <v>668222.54999999993</v>
      </c>
      <c r="O800" s="989">
        <v>312000</v>
      </c>
      <c r="P800" s="989">
        <v>356222.55</v>
      </c>
      <c r="Q800" s="989">
        <f t="shared" si="82"/>
        <v>668222.55000000005</v>
      </c>
      <c r="R800" s="989">
        <f t="shared" si="84"/>
        <v>100.00000000000003</v>
      </c>
      <c r="S800" s="1011">
        <v>0</v>
      </c>
      <c r="T800" s="989">
        <f t="shared" ref="T800:T863" si="88">S800/N800*100</f>
        <v>0</v>
      </c>
      <c r="U800" s="989">
        <f t="shared" si="83"/>
        <v>668222.55000000005</v>
      </c>
      <c r="V800" s="989">
        <f t="shared" si="85"/>
        <v>100.00000000000003</v>
      </c>
      <c r="W800" s="989"/>
      <c r="X800" s="989">
        <f t="shared" si="81"/>
        <v>0</v>
      </c>
      <c r="Y800" s="1012"/>
      <c r="Z800" s="941"/>
      <c r="AA800" s="941"/>
      <c r="AB800" s="941"/>
      <c r="AC800" s="941"/>
      <c r="AD800" s="941"/>
      <c r="AE800" s="941"/>
      <c r="AF800" s="941"/>
      <c r="AG800" s="941"/>
      <c r="AH800" s="941"/>
      <c r="AI800" s="941"/>
      <c r="AJ800" s="941"/>
      <c r="AK800" s="941"/>
      <c r="AL800" s="941"/>
      <c r="AM800" s="941"/>
    </row>
    <row r="801" spans="1:39" s="969" customFormat="1" ht="63" customHeight="1">
      <c r="A801" s="1006">
        <v>683</v>
      </c>
      <c r="B801" s="1007" t="s">
        <v>2411</v>
      </c>
      <c r="C801" s="1008"/>
      <c r="D801" s="1008" t="s">
        <v>4089</v>
      </c>
      <c r="E801" s="1007" t="s">
        <v>2412</v>
      </c>
      <c r="F801" s="1010" t="s">
        <v>571</v>
      </c>
      <c r="G801" s="989">
        <f>104000-37500</f>
        <v>66500</v>
      </c>
      <c r="H801" s="937"/>
      <c r="I801" s="1046"/>
      <c r="J801" s="1046"/>
      <c r="K801" s="1047"/>
      <c r="L801" s="1046"/>
      <c r="M801" s="1094">
        <f>-37500+37500</f>
        <v>0</v>
      </c>
      <c r="N801" s="989">
        <f>G801+M801</f>
        <v>66500</v>
      </c>
      <c r="O801" s="989">
        <v>0</v>
      </c>
      <c r="P801" s="989">
        <v>66500</v>
      </c>
      <c r="Q801" s="989">
        <f t="shared" si="82"/>
        <v>66500</v>
      </c>
      <c r="R801" s="989">
        <f t="shared" si="84"/>
        <v>100</v>
      </c>
      <c r="S801" s="1011">
        <v>0</v>
      </c>
      <c r="T801" s="989">
        <f t="shared" si="88"/>
        <v>0</v>
      </c>
      <c r="U801" s="989">
        <f t="shared" si="83"/>
        <v>66500</v>
      </c>
      <c r="V801" s="989">
        <f t="shared" si="85"/>
        <v>100</v>
      </c>
      <c r="W801" s="989"/>
      <c r="X801" s="989">
        <f t="shared" si="81"/>
        <v>0</v>
      </c>
      <c r="Y801" s="1012"/>
      <c r="Z801" s="941"/>
      <c r="AA801" s="941"/>
      <c r="AB801" s="941"/>
      <c r="AC801" s="941"/>
      <c r="AD801" s="941"/>
      <c r="AE801" s="941"/>
      <c r="AF801" s="941"/>
      <c r="AG801" s="941"/>
      <c r="AH801" s="941"/>
      <c r="AI801" s="941"/>
      <c r="AJ801" s="941"/>
      <c r="AK801" s="941"/>
      <c r="AL801" s="941"/>
      <c r="AM801" s="941"/>
    </row>
    <row r="802" spans="1:39" s="969" customFormat="1" ht="63" customHeight="1">
      <c r="A802" s="1006">
        <v>684</v>
      </c>
      <c r="B802" s="1007" t="s">
        <v>2413</v>
      </c>
      <c r="C802" s="1008"/>
      <c r="D802" s="1008" t="s">
        <v>4090</v>
      </c>
      <c r="E802" s="1007" t="s">
        <v>2414</v>
      </c>
      <c r="F802" s="1010" t="s">
        <v>571</v>
      </c>
      <c r="G802" s="989">
        <f>104000-30074.66</f>
        <v>73925.34</v>
      </c>
      <c r="H802" s="937"/>
      <c r="I802" s="1046"/>
      <c r="J802" s="1046"/>
      <c r="K802" s="1047"/>
      <c r="L802" s="1046"/>
      <c r="M802" s="1094">
        <f>-29887.65-187.01+30074.66</f>
        <v>0</v>
      </c>
      <c r="N802" s="989">
        <f>G802+M802</f>
        <v>73925.34</v>
      </c>
      <c r="O802" s="989">
        <v>0</v>
      </c>
      <c r="P802" s="989">
        <v>73925.34</v>
      </c>
      <c r="Q802" s="989">
        <f t="shared" si="82"/>
        <v>73925.34</v>
      </c>
      <c r="R802" s="989">
        <f t="shared" si="84"/>
        <v>100</v>
      </c>
      <c r="S802" s="1011">
        <v>0</v>
      </c>
      <c r="T802" s="989">
        <f t="shared" si="88"/>
        <v>0</v>
      </c>
      <c r="U802" s="989">
        <f t="shared" si="83"/>
        <v>73925.34</v>
      </c>
      <c r="V802" s="989">
        <f t="shared" si="85"/>
        <v>100</v>
      </c>
      <c r="W802" s="989"/>
      <c r="X802" s="989">
        <f t="shared" si="81"/>
        <v>0</v>
      </c>
      <c r="Y802" s="1012"/>
      <c r="Z802" s="941"/>
      <c r="AA802" s="941"/>
      <c r="AB802" s="941"/>
      <c r="AC802" s="941"/>
      <c r="AD802" s="941"/>
      <c r="AE802" s="941"/>
      <c r="AF802" s="941"/>
      <c r="AG802" s="941"/>
      <c r="AH802" s="941"/>
      <c r="AI802" s="941"/>
      <c r="AJ802" s="941"/>
      <c r="AK802" s="941"/>
      <c r="AL802" s="941"/>
      <c r="AM802" s="941"/>
    </row>
    <row r="803" spans="1:39" s="969" customFormat="1" ht="63" customHeight="1">
      <c r="A803" s="1006">
        <v>685</v>
      </c>
      <c r="B803" s="1007" t="s">
        <v>2415</v>
      </c>
      <c r="C803" s="1008"/>
      <c r="D803" s="1008" t="s">
        <v>4091</v>
      </c>
      <c r="E803" s="1007" t="s">
        <v>2416</v>
      </c>
      <c r="F803" s="1010" t="s">
        <v>342</v>
      </c>
      <c r="G803" s="989">
        <v>312000</v>
      </c>
      <c r="H803" s="937"/>
      <c r="I803" s="1046"/>
      <c r="J803" s="1046"/>
      <c r="K803" s="1047"/>
      <c r="L803" s="1046"/>
      <c r="M803" s="1094"/>
      <c r="N803" s="989">
        <v>312000</v>
      </c>
      <c r="O803" s="989">
        <v>0</v>
      </c>
      <c r="P803" s="989">
        <v>312000</v>
      </c>
      <c r="Q803" s="989">
        <f t="shared" si="82"/>
        <v>312000</v>
      </c>
      <c r="R803" s="989">
        <f t="shared" si="84"/>
        <v>100</v>
      </c>
      <c r="S803" s="1011">
        <v>0</v>
      </c>
      <c r="T803" s="989">
        <f t="shared" si="88"/>
        <v>0</v>
      </c>
      <c r="U803" s="989">
        <f t="shared" si="83"/>
        <v>312000</v>
      </c>
      <c r="V803" s="989">
        <f t="shared" si="85"/>
        <v>100</v>
      </c>
      <c r="W803" s="989"/>
      <c r="X803" s="989">
        <f t="shared" si="81"/>
        <v>0</v>
      </c>
      <c r="Y803" s="1012"/>
      <c r="Z803" s="941"/>
      <c r="AA803" s="941"/>
      <c r="AB803" s="941"/>
      <c r="AC803" s="941"/>
      <c r="AD803" s="941"/>
      <c r="AE803" s="941"/>
      <c r="AF803" s="941"/>
      <c r="AG803" s="941"/>
      <c r="AH803" s="941"/>
      <c r="AI803" s="941"/>
      <c r="AJ803" s="941"/>
      <c r="AK803" s="941"/>
      <c r="AL803" s="941"/>
      <c r="AM803" s="941"/>
    </row>
    <row r="804" spans="1:39" s="969" customFormat="1" ht="63" customHeight="1">
      <c r="A804" s="1006">
        <v>686</v>
      </c>
      <c r="B804" s="1007" t="s">
        <v>2417</v>
      </c>
      <c r="C804" s="1008"/>
      <c r="D804" s="1008" t="s">
        <v>4092</v>
      </c>
      <c r="E804" s="1007" t="s">
        <v>2418</v>
      </c>
      <c r="F804" s="1010" t="s">
        <v>342</v>
      </c>
      <c r="G804" s="989">
        <f>104000-23544.08</f>
        <v>80455.92</v>
      </c>
      <c r="H804" s="937"/>
      <c r="I804" s="1046"/>
      <c r="J804" s="1046"/>
      <c r="K804" s="1047"/>
      <c r="L804" s="1046"/>
      <c r="M804" s="1094">
        <f>-23544.08+23544.08</f>
        <v>0</v>
      </c>
      <c r="N804" s="989">
        <f>G804+M804</f>
        <v>80455.92</v>
      </c>
      <c r="O804" s="989">
        <v>80455.92</v>
      </c>
      <c r="P804" s="989">
        <v>0</v>
      </c>
      <c r="Q804" s="989">
        <f t="shared" si="82"/>
        <v>80455.92</v>
      </c>
      <c r="R804" s="989">
        <f t="shared" si="84"/>
        <v>100</v>
      </c>
      <c r="S804" s="1011">
        <v>0</v>
      </c>
      <c r="T804" s="989">
        <f t="shared" si="88"/>
        <v>0</v>
      </c>
      <c r="U804" s="989">
        <f t="shared" si="83"/>
        <v>80455.92</v>
      </c>
      <c r="V804" s="989">
        <f t="shared" si="85"/>
        <v>100</v>
      </c>
      <c r="W804" s="989"/>
      <c r="X804" s="989">
        <f t="shared" si="81"/>
        <v>0</v>
      </c>
      <c r="Y804" s="1012"/>
      <c r="Z804" s="941"/>
      <c r="AA804" s="941"/>
      <c r="AB804" s="941"/>
      <c r="AC804" s="941"/>
      <c r="AD804" s="941"/>
      <c r="AE804" s="941"/>
      <c r="AF804" s="941"/>
      <c r="AG804" s="941"/>
      <c r="AH804" s="941"/>
      <c r="AI804" s="941"/>
      <c r="AJ804" s="941"/>
      <c r="AK804" s="941"/>
      <c r="AL804" s="941"/>
      <c r="AM804" s="941"/>
    </row>
    <row r="805" spans="1:39" s="969" customFormat="1" ht="63" customHeight="1">
      <c r="A805" s="1006">
        <v>687</v>
      </c>
      <c r="B805" s="1007" t="s">
        <v>2419</v>
      </c>
      <c r="C805" s="1008"/>
      <c r="D805" s="1008" t="s">
        <v>4093</v>
      </c>
      <c r="E805" s="1007" t="s">
        <v>2420</v>
      </c>
      <c r="F805" s="1010" t="s">
        <v>342</v>
      </c>
      <c r="G805" s="989">
        <f>312000-44900</f>
        <v>267100</v>
      </c>
      <c r="H805" s="937"/>
      <c r="I805" s="1046"/>
      <c r="J805" s="1046"/>
      <c r="K805" s="1047"/>
      <c r="L805" s="1046"/>
      <c r="M805" s="1094">
        <f>-28938-15962+44900</f>
        <v>0</v>
      </c>
      <c r="N805" s="989">
        <f>G805+M805</f>
        <v>267100</v>
      </c>
      <c r="O805" s="989">
        <v>0</v>
      </c>
      <c r="P805" s="989">
        <v>267100</v>
      </c>
      <c r="Q805" s="989">
        <f t="shared" si="82"/>
        <v>267100</v>
      </c>
      <c r="R805" s="989">
        <f t="shared" si="84"/>
        <v>100</v>
      </c>
      <c r="S805" s="1011">
        <v>0</v>
      </c>
      <c r="T805" s="989">
        <f t="shared" si="88"/>
        <v>0</v>
      </c>
      <c r="U805" s="989">
        <f t="shared" si="83"/>
        <v>267100</v>
      </c>
      <c r="V805" s="989">
        <f t="shared" si="85"/>
        <v>100</v>
      </c>
      <c r="W805" s="989"/>
      <c r="X805" s="989">
        <f t="shared" si="81"/>
        <v>0</v>
      </c>
      <c r="Y805" s="1012"/>
      <c r="Z805" s="941"/>
      <c r="AA805" s="941"/>
      <c r="AB805" s="941"/>
      <c r="AC805" s="941"/>
      <c r="AD805" s="941"/>
      <c r="AE805" s="941"/>
      <c r="AF805" s="941"/>
      <c r="AG805" s="941"/>
      <c r="AH805" s="941"/>
      <c r="AI805" s="941"/>
      <c r="AJ805" s="941"/>
      <c r="AK805" s="941"/>
      <c r="AL805" s="941"/>
      <c r="AM805" s="941"/>
    </row>
    <row r="806" spans="1:39" s="969" customFormat="1" ht="63" customHeight="1">
      <c r="A806" s="1006">
        <v>688</v>
      </c>
      <c r="B806" s="1007" t="s">
        <v>2421</v>
      </c>
      <c r="C806" s="1008"/>
      <c r="D806" s="1008" t="s">
        <v>4094</v>
      </c>
      <c r="E806" s="1007" t="s">
        <v>2992</v>
      </c>
      <c r="F806" s="1010" t="s">
        <v>573</v>
      </c>
      <c r="G806" s="989">
        <f>104000-32500</f>
        <v>71500</v>
      </c>
      <c r="H806" s="937"/>
      <c r="I806" s="1046"/>
      <c r="J806" s="1046"/>
      <c r="K806" s="1047"/>
      <c r="L806" s="1046"/>
      <c r="M806" s="1094">
        <f>-32500+32500</f>
        <v>0</v>
      </c>
      <c r="N806" s="989">
        <f>G806+M806</f>
        <v>71500</v>
      </c>
      <c r="O806" s="989">
        <v>0</v>
      </c>
      <c r="P806" s="989">
        <v>71500</v>
      </c>
      <c r="Q806" s="989">
        <f t="shared" si="82"/>
        <v>71500</v>
      </c>
      <c r="R806" s="989">
        <f t="shared" si="84"/>
        <v>100</v>
      </c>
      <c r="S806" s="1011">
        <v>0</v>
      </c>
      <c r="T806" s="989">
        <f t="shared" si="88"/>
        <v>0</v>
      </c>
      <c r="U806" s="989">
        <f t="shared" si="83"/>
        <v>71500</v>
      </c>
      <c r="V806" s="989">
        <f t="shared" si="85"/>
        <v>100</v>
      </c>
      <c r="W806" s="989"/>
      <c r="X806" s="989">
        <f t="shared" si="81"/>
        <v>0</v>
      </c>
      <c r="Y806" s="1012"/>
      <c r="Z806" s="941"/>
      <c r="AA806" s="941"/>
      <c r="AB806" s="941"/>
      <c r="AC806" s="941"/>
      <c r="AD806" s="941"/>
      <c r="AE806" s="941"/>
      <c r="AF806" s="941"/>
      <c r="AG806" s="941"/>
      <c r="AH806" s="941"/>
      <c r="AI806" s="941"/>
      <c r="AJ806" s="941"/>
      <c r="AK806" s="941"/>
      <c r="AL806" s="941"/>
      <c r="AM806" s="941"/>
    </row>
    <row r="807" spans="1:39" s="969" customFormat="1" ht="63" customHeight="1">
      <c r="A807" s="1006">
        <v>689</v>
      </c>
      <c r="B807" s="1007" t="s">
        <v>2422</v>
      </c>
      <c r="C807" s="1008"/>
      <c r="D807" s="1008" t="s">
        <v>4095</v>
      </c>
      <c r="E807" s="1007" t="s">
        <v>2993</v>
      </c>
      <c r="F807" s="1010" t="s">
        <v>1185</v>
      </c>
      <c r="G807" s="989">
        <f>208000-52100</f>
        <v>155900</v>
      </c>
      <c r="H807" s="937"/>
      <c r="I807" s="1046"/>
      <c r="J807" s="1046"/>
      <c r="K807" s="1047"/>
      <c r="L807" s="1046"/>
      <c r="M807" s="1094">
        <f>-48300-3800+52100</f>
        <v>0</v>
      </c>
      <c r="N807" s="989">
        <f>G807+M807</f>
        <v>155900</v>
      </c>
      <c r="O807" s="989">
        <v>0</v>
      </c>
      <c r="P807" s="989">
        <v>155900</v>
      </c>
      <c r="Q807" s="989">
        <f t="shared" si="82"/>
        <v>155900</v>
      </c>
      <c r="R807" s="989">
        <f t="shared" si="84"/>
        <v>100</v>
      </c>
      <c r="S807" s="1011">
        <v>0</v>
      </c>
      <c r="T807" s="989">
        <f t="shared" si="88"/>
        <v>0</v>
      </c>
      <c r="U807" s="989">
        <f t="shared" si="83"/>
        <v>155900</v>
      </c>
      <c r="V807" s="989">
        <f t="shared" si="85"/>
        <v>100</v>
      </c>
      <c r="W807" s="989"/>
      <c r="X807" s="989">
        <f t="shared" si="81"/>
        <v>0</v>
      </c>
      <c r="Y807" s="1012"/>
      <c r="Z807" s="941"/>
      <c r="AA807" s="941"/>
      <c r="AB807" s="941"/>
      <c r="AC807" s="941"/>
      <c r="AD807" s="941"/>
      <c r="AE807" s="941"/>
      <c r="AF807" s="941"/>
      <c r="AG807" s="941"/>
      <c r="AH807" s="941"/>
      <c r="AI807" s="941"/>
      <c r="AJ807" s="941"/>
      <c r="AK807" s="941"/>
      <c r="AL807" s="941"/>
      <c r="AM807" s="941"/>
    </row>
    <row r="808" spans="1:39" s="969" customFormat="1" ht="63" customHeight="1">
      <c r="A808" s="1006">
        <v>690</v>
      </c>
      <c r="B808" s="1007" t="s">
        <v>2423</v>
      </c>
      <c r="C808" s="1008"/>
      <c r="D808" s="1008" t="s">
        <v>4096</v>
      </c>
      <c r="E808" s="1007" t="s">
        <v>2994</v>
      </c>
      <c r="F808" s="1010" t="s">
        <v>1185</v>
      </c>
      <c r="G808" s="989">
        <v>208000</v>
      </c>
      <c r="H808" s="937"/>
      <c r="I808" s="1046"/>
      <c r="J808" s="1046"/>
      <c r="K808" s="1047"/>
      <c r="L808" s="1046"/>
      <c r="M808" s="1094"/>
      <c r="N808" s="989">
        <v>208000</v>
      </c>
      <c r="O808" s="989">
        <v>0</v>
      </c>
      <c r="P808" s="989">
        <v>208000</v>
      </c>
      <c r="Q808" s="989">
        <f t="shared" si="82"/>
        <v>208000</v>
      </c>
      <c r="R808" s="989">
        <f t="shared" si="84"/>
        <v>100</v>
      </c>
      <c r="S808" s="1011">
        <v>0</v>
      </c>
      <c r="T808" s="989">
        <f t="shared" si="88"/>
        <v>0</v>
      </c>
      <c r="U808" s="989">
        <f t="shared" si="83"/>
        <v>208000</v>
      </c>
      <c r="V808" s="989">
        <f t="shared" si="85"/>
        <v>100</v>
      </c>
      <c r="W808" s="989"/>
      <c r="X808" s="989">
        <f t="shared" si="81"/>
        <v>0</v>
      </c>
      <c r="Y808" s="1012"/>
      <c r="Z808" s="941"/>
      <c r="AA808" s="941"/>
      <c r="AB808" s="941"/>
      <c r="AC808" s="941"/>
      <c r="AD808" s="941"/>
      <c r="AE808" s="941"/>
      <c r="AF808" s="941"/>
      <c r="AG808" s="941"/>
      <c r="AH808" s="941"/>
      <c r="AI808" s="941"/>
      <c r="AJ808" s="941"/>
      <c r="AK808" s="941"/>
      <c r="AL808" s="941"/>
      <c r="AM808" s="941"/>
    </row>
    <row r="809" spans="1:39" s="969" customFormat="1" ht="63" customHeight="1">
      <c r="A809" s="1006">
        <v>691</v>
      </c>
      <c r="B809" s="1007" t="s">
        <v>2424</v>
      </c>
      <c r="C809" s="1008"/>
      <c r="D809" s="1008" t="s">
        <v>4097</v>
      </c>
      <c r="E809" s="1007" t="s">
        <v>4352</v>
      </c>
      <c r="F809" s="1010" t="s">
        <v>1185</v>
      </c>
      <c r="G809" s="989">
        <f>104000-50800</f>
        <v>53200</v>
      </c>
      <c r="H809" s="937"/>
      <c r="I809" s="1046"/>
      <c r="J809" s="1046"/>
      <c r="K809" s="1047">
        <v>-9000</v>
      </c>
      <c r="L809" s="1046"/>
      <c r="M809" s="1094">
        <f>-50800+50800</f>
        <v>0</v>
      </c>
      <c r="N809" s="989">
        <f>G809+M809+K809</f>
        <v>44200</v>
      </c>
      <c r="O809" s="989">
        <v>0</v>
      </c>
      <c r="P809" s="989">
        <v>44200</v>
      </c>
      <c r="Q809" s="989">
        <f t="shared" si="82"/>
        <v>44200</v>
      </c>
      <c r="R809" s="989">
        <f t="shared" si="84"/>
        <v>100</v>
      </c>
      <c r="S809" s="1011">
        <v>0</v>
      </c>
      <c r="T809" s="989">
        <f t="shared" si="88"/>
        <v>0</v>
      </c>
      <c r="U809" s="989">
        <f t="shared" si="83"/>
        <v>44200</v>
      </c>
      <c r="V809" s="989">
        <f t="shared" si="85"/>
        <v>100</v>
      </c>
      <c r="W809" s="989"/>
      <c r="X809" s="989">
        <f t="shared" si="81"/>
        <v>0</v>
      </c>
      <c r="Y809" s="1012"/>
      <c r="Z809" s="941"/>
      <c r="AA809" s="941"/>
      <c r="AB809" s="941"/>
      <c r="AC809" s="941"/>
      <c r="AD809" s="941"/>
      <c r="AE809" s="941"/>
      <c r="AF809" s="941"/>
      <c r="AG809" s="941"/>
      <c r="AH809" s="941"/>
      <c r="AI809" s="941"/>
      <c r="AJ809" s="941"/>
      <c r="AK809" s="941"/>
      <c r="AL809" s="941"/>
      <c r="AM809" s="941"/>
    </row>
    <row r="810" spans="1:39" s="969" customFormat="1" ht="63" customHeight="1">
      <c r="A810" s="1006">
        <v>692</v>
      </c>
      <c r="B810" s="1007" t="s">
        <v>2425</v>
      </c>
      <c r="C810" s="1008"/>
      <c r="D810" s="1008" t="s">
        <v>4098</v>
      </c>
      <c r="E810" s="1007" t="s">
        <v>2426</v>
      </c>
      <c r="F810" s="1010" t="s">
        <v>557</v>
      </c>
      <c r="G810" s="989">
        <f>208000-37064.34</f>
        <v>170935.66</v>
      </c>
      <c r="H810" s="937"/>
      <c r="I810" s="1046"/>
      <c r="J810" s="1046"/>
      <c r="K810" s="1047"/>
      <c r="L810" s="1046"/>
      <c r="M810" s="1094">
        <f>-37064.34+37064.34</f>
        <v>0</v>
      </c>
      <c r="N810" s="989">
        <f t="shared" ref="N810:N816" si="89">G810+M810</f>
        <v>170935.66</v>
      </c>
      <c r="O810" s="989">
        <v>170935.66</v>
      </c>
      <c r="P810" s="989">
        <v>0</v>
      </c>
      <c r="Q810" s="989">
        <f t="shared" si="82"/>
        <v>170935.66</v>
      </c>
      <c r="R810" s="989">
        <f t="shared" si="84"/>
        <v>100</v>
      </c>
      <c r="S810" s="1011">
        <v>0</v>
      </c>
      <c r="T810" s="989">
        <f t="shared" si="88"/>
        <v>0</v>
      </c>
      <c r="U810" s="989">
        <f t="shared" si="83"/>
        <v>170935.66</v>
      </c>
      <c r="V810" s="989">
        <f t="shared" si="85"/>
        <v>100</v>
      </c>
      <c r="W810" s="989"/>
      <c r="X810" s="989">
        <f t="shared" si="81"/>
        <v>0</v>
      </c>
      <c r="Y810" s="1012"/>
      <c r="Z810" s="941"/>
      <c r="AA810" s="941"/>
      <c r="AB810" s="941"/>
      <c r="AC810" s="941"/>
      <c r="AD810" s="941"/>
      <c r="AE810" s="941"/>
      <c r="AF810" s="941"/>
      <c r="AG810" s="941"/>
      <c r="AH810" s="941"/>
      <c r="AI810" s="941"/>
      <c r="AJ810" s="941"/>
      <c r="AK810" s="941"/>
      <c r="AL810" s="941"/>
      <c r="AM810" s="941"/>
    </row>
    <row r="811" spans="1:39" s="969" customFormat="1" ht="63" customHeight="1">
      <c r="A811" s="1006">
        <v>693</v>
      </c>
      <c r="B811" s="1007" t="s">
        <v>2427</v>
      </c>
      <c r="C811" s="1008"/>
      <c r="D811" s="1008" t="s">
        <v>4099</v>
      </c>
      <c r="E811" s="1007" t="s">
        <v>2428</v>
      </c>
      <c r="F811" s="1010" t="s">
        <v>557</v>
      </c>
      <c r="G811" s="989">
        <f>104000-17359.94</f>
        <v>86640.06</v>
      </c>
      <c r="H811" s="937"/>
      <c r="I811" s="1046"/>
      <c r="J811" s="1046"/>
      <c r="K811" s="1047"/>
      <c r="L811" s="1046"/>
      <c r="M811" s="1094">
        <f>-17359.94+17359.94</f>
        <v>0</v>
      </c>
      <c r="N811" s="989">
        <f t="shared" si="89"/>
        <v>86640.06</v>
      </c>
      <c r="O811" s="989">
        <v>0</v>
      </c>
      <c r="P811" s="989">
        <v>86640.06</v>
      </c>
      <c r="Q811" s="989">
        <f t="shared" si="82"/>
        <v>86640.06</v>
      </c>
      <c r="R811" s="989">
        <f t="shared" si="84"/>
        <v>100</v>
      </c>
      <c r="S811" s="1011">
        <v>0</v>
      </c>
      <c r="T811" s="989">
        <f t="shared" si="88"/>
        <v>0</v>
      </c>
      <c r="U811" s="989">
        <f t="shared" si="83"/>
        <v>86640.06</v>
      </c>
      <c r="V811" s="989">
        <f t="shared" si="85"/>
        <v>100</v>
      </c>
      <c r="W811" s="989"/>
      <c r="X811" s="989">
        <f t="shared" si="81"/>
        <v>0</v>
      </c>
      <c r="Y811" s="1012"/>
      <c r="Z811" s="941"/>
      <c r="AA811" s="941"/>
      <c r="AB811" s="941"/>
      <c r="AC811" s="941"/>
      <c r="AD811" s="941"/>
      <c r="AE811" s="941"/>
      <c r="AF811" s="941"/>
      <c r="AG811" s="941"/>
      <c r="AH811" s="941"/>
      <c r="AI811" s="941"/>
      <c r="AJ811" s="941"/>
      <c r="AK811" s="941"/>
      <c r="AL811" s="941"/>
      <c r="AM811" s="941"/>
    </row>
    <row r="812" spans="1:39" s="969" customFormat="1" ht="63" customHeight="1">
      <c r="A812" s="1006">
        <v>694</v>
      </c>
      <c r="B812" s="1007" t="s">
        <v>2429</v>
      </c>
      <c r="C812" s="1008"/>
      <c r="D812" s="1008" t="s">
        <v>4100</v>
      </c>
      <c r="E812" s="1007" t="s">
        <v>2430</v>
      </c>
      <c r="F812" s="1010" t="s">
        <v>557</v>
      </c>
      <c r="G812" s="989">
        <f>416000-89651.38</f>
        <v>326348.62</v>
      </c>
      <c r="H812" s="937"/>
      <c r="I812" s="1046"/>
      <c r="J812" s="1046"/>
      <c r="K812" s="1047"/>
      <c r="L812" s="1046"/>
      <c r="M812" s="1094">
        <f>-89651.38+89651.38</f>
        <v>0</v>
      </c>
      <c r="N812" s="989">
        <f t="shared" si="89"/>
        <v>326348.62</v>
      </c>
      <c r="O812" s="989">
        <v>234155.13</v>
      </c>
      <c r="P812" s="989">
        <v>92193.49</v>
      </c>
      <c r="Q812" s="989">
        <f t="shared" si="82"/>
        <v>326348.62</v>
      </c>
      <c r="R812" s="989">
        <f t="shared" si="84"/>
        <v>100</v>
      </c>
      <c r="S812" s="1011">
        <v>0</v>
      </c>
      <c r="T812" s="989">
        <f t="shared" si="88"/>
        <v>0</v>
      </c>
      <c r="U812" s="989">
        <f t="shared" si="83"/>
        <v>326348.62</v>
      </c>
      <c r="V812" s="989">
        <f t="shared" si="85"/>
        <v>100</v>
      </c>
      <c r="W812" s="989"/>
      <c r="X812" s="989">
        <f t="shared" si="81"/>
        <v>0</v>
      </c>
      <c r="Y812" s="1012"/>
      <c r="Z812" s="941"/>
      <c r="AA812" s="941"/>
      <c r="AB812" s="941"/>
      <c r="AC812" s="941"/>
      <c r="AD812" s="941"/>
      <c r="AE812" s="941"/>
      <c r="AF812" s="941"/>
      <c r="AG812" s="941"/>
      <c r="AH812" s="941"/>
      <c r="AI812" s="941"/>
      <c r="AJ812" s="941"/>
      <c r="AK812" s="941"/>
      <c r="AL812" s="941"/>
      <c r="AM812" s="941"/>
    </row>
    <row r="813" spans="1:39" s="969" customFormat="1" ht="63" customHeight="1">
      <c r="A813" s="1006">
        <v>695</v>
      </c>
      <c r="B813" s="1007" t="s">
        <v>2431</v>
      </c>
      <c r="C813" s="1008"/>
      <c r="D813" s="1008" t="s">
        <v>4101</v>
      </c>
      <c r="E813" s="1007" t="s">
        <v>2432</v>
      </c>
      <c r="F813" s="1010" t="s">
        <v>557</v>
      </c>
      <c r="G813" s="989">
        <f>312000-37394</f>
        <v>274606</v>
      </c>
      <c r="H813" s="937"/>
      <c r="I813" s="1046"/>
      <c r="J813" s="1046"/>
      <c r="K813" s="1047"/>
      <c r="L813" s="1046"/>
      <c r="M813" s="1094">
        <f>-37394+37394</f>
        <v>0</v>
      </c>
      <c r="N813" s="989">
        <f t="shared" si="89"/>
        <v>274606</v>
      </c>
      <c r="O813" s="989">
        <v>274606</v>
      </c>
      <c r="P813" s="989">
        <v>0</v>
      </c>
      <c r="Q813" s="989">
        <f t="shared" si="82"/>
        <v>274606</v>
      </c>
      <c r="R813" s="989">
        <f t="shared" si="84"/>
        <v>100</v>
      </c>
      <c r="S813" s="1011">
        <v>0</v>
      </c>
      <c r="T813" s="989">
        <f t="shared" si="88"/>
        <v>0</v>
      </c>
      <c r="U813" s="989">
        <f t="shared" si="83"/>
        <v>274606</v>
      </c>
      <c r="V813" s="989">
        <f t="shared" si="85"/>
        <v>100</v>
      </c>
      <c r="W813" s="989"/>
      <c r="X813" s="989">
        <f t="shared" si="81"/>
        <v>0</v>
      </c>
      <c r="Y813" s="1012"/>
      <c r="Z813" s="941"/>
      <c r="AA813" s="941"/>
      <c r="AB813" s="941"/>
      <c r="AC813" s="941"/>
      <c r="AD813" s="941"/>
      <c r="AE813" s="941"/>
      <c r="AF813" s="941"/>
      <c r="AG813" s="941"/>
      <c r="AH813" s="941"/>
      <c r="AI813" s="941"/>
      <c r="AJ813" s="941"/>
      <c r="AK813" s="941"/>
      <c r="AL813" s="941"/>
      <c r="AM813" s="941"/>
    </row>
    <row r="814" spans="1:39" s="969" customFormat="1" ht="63" customHeight="1">
      <c r="A814" s="1006">
        <v>696</v>
      </c>
      <c r="B814" s="1007" t="s">
        <v>2433</v>
      </c>
      <c r="C814" s="1008"/>
      <c r="D814" s="1008" t="s">
        <v>4102</v>
      </c>
      <c r="E814" s="1007" t="s">
        <v>2434</v>
      </c>
      <c r="F814" s="1010" t="s">
        <v>557</v>
      </c>
      <c r="G814" s="989">
        <f>208000-17422.23</f>
        <v>190577.77</v>
      </c>
      <c r="H814" s="937"/>
      <c r="I814" s="1046"/>
      <c r="J814" s="1046"/>
      <c r="K814" s="1047"/>
      <c r="L814" s="1046"/>
      <c r="M814" s="1094">
        <f>-17422.23+17422.23</f>
        <v>0</v>
      </c>
      <c r="N814" s="989">
        <f t="shared" si="89"/>
        <v>190577.77</v>
      </c>
      <c r="O814" s="989">
        <v>190577.77</v>
      </c>
      <c r="P814" s="989">
        <v>0</v>
      </c>
      <c r="Q814" s="989">
        <f t="shared" si="82"/>
        <v>190577.77</v>
      </c>
      <c r="R814" s="989">
        <f t="shared" si="84"/>
        <v>100</v>
      </c>
      <c r="S814" s="1011">
        <v>0</v>
      </c>
      <c r="T814" s="989">
        <f t="shared" si="88"/>
        <v>0</v>
      </c>
      <c r="U814" s="989">
        <f t="shared" si="83"/>
        <v>190577.77</v>
      </c>
      <c r="V814" s="989">
        <f t="shared" si="85"/>
        <v>100</v>
      </c>
      <c r="W814" s="989"/>
      <c r="X814" s="989">
        <f t="shared" si="81"/>
        <v>0</v>
      </c>
      <c r="Y814" s="1012"/>
      <c r="Z814" s="941"/>
      <c r="AA814" s="941"/>
      <c r="AB814" s="941"/>
      <c r="AC814" s="941"/>
      <c r="AD814" s="941"/>
      <c r="AE814" s="941"/>
      <c r="AF814" s="941"/>
      <c r="AG814" s="941"/>
      <c r="AH814" s="941"/>
      <c r="AI814" s="941"/>
      <c r="AJ814" s="941"/>
      <c r="AK814" s="941"/>
      <c r="AL814" s="941"/>
      <c r="AM814" s="941"/>
    </row>
    <row r="815" spans="1:39" s="969" customFormat="1" ht="63" customHeight="1">
      <c r="A815" s="1006">
        <v>697</v>
      </c>
      <c r="B815" s="1007" t="s">
        <v>2435</v>
      </c>
      <c r="C815" s="1008"/>
      <c r="D815" s="1008" t="s">
        <v>4103</v>
      </c>
      <c r="E815" s="1007" t="s">
        <v>2436</v>
      </c>
      <c r="F815" s="1010" t="s">
        <v>557</v>
      </c>
      <c r="G815" s="989">
        <f>416000-57525.39</f>
        <v>358474.61</v>
      </c>
      <c r="H815" s="937"/>
      <c r="I815" s="1046"/>
      <c r="J815" s="1046"/>
      <c r="K815" s="1047"/>
      <c r="L815" s="1046"/>
      <c r="M815" s="1094">
        <f>-57525.39+57525.39</f>
        <v>0</v>
      </c>
      <c r="N815" s="989">
        <f t="shared" si="89"/>
        <v>358474.61</v>
      </c>
      <c r="O815" s="989">
        <v>358474.61</v>
      </c>
      <c r="P815" s="989">
        <v>0</v>
      </c>
      <c r="Q815" s="989">
        <f t="shared" si="82"/>
        <v>358474.61</v>
      </c>
      <c r="R815" s="989">
        <f t="shared" si="84"/>
        <v>100</v>
      </c>
      <c r="S815" s="1011">
        <v>0</v>
      </c>
      <c r="T815" s="989">
        <f t="shared" si="88"/>
        <v>0</v>
      </c>
      <c r="U815" s="989">
        <f t="shared" si="83"/>
        <v>358474.61</v>
      </c>
      <c r="V815" s="989">
        <f t="shared" si="85"/>
        <v>100</v>
      </c>
      <c r="W815" s="989"/>
      <c r="X815" s="989">
        <f t="shared" si="81"/>
        <v>0</v>
      </c>
      <c r="Y815" s="1012"/>
      <c r="Z815" s="941"/>
      <c r="AA815" s="941"/>
      <c r="AB815" s="941"/>
      <c r="AC815" s="941"/>
      <c r="AD815" s="941"/>
      <c r="AE815" s="941"/>
      <c r="AF815" s="941"/>
      <c r="AG815" s="941"/>
      <c r="AH815" s="941"/>
      <c r="AI815" s="941"/>
      <c r="AJ815" s="941"/>
      <c r="AK815" s="941"/>
      <c r="AL815" s="941"/>
      <c r="AM815" s="941"/>
    </row>
    <row r="816" spans="1:39" s="969" customFormat="1" ht="63" customHeight="1">
      <c r="A816" s="1006">
        <v>698</v>
      </c>
      <c r="B816" s="1007" t="s">
        <v>2437</v>
      </c>
      <c r="C816" s="1008"/>
      <c r="D816" s="1008" t="s">
        <v>4104</v>
      </c>
      <c r="E816" s="1007" t="s">
        <v>2438</v>
      </c>
      <c r="F816" s="1010" t="s">
        <v>557</v>
      </c>
      <c r="G816" s="989">
        <f>208000-26312.47</f>
        <v>181687.53</v>
      </c>
      <c r="H816" s="937"/>
      <c r="I816" s="1046"/>
      <c r="J816" s="1046"/>
      <c r="K816" s="1047"/>
      <c r="L816" s="1046"/>
      <c r="M816" s="1094">
        <f>-26312.47+26312.47</f>
        <v>0</v>
      </c>
      <c r="N816" s="989">
        <f t="shared" si="89"/>
        <v>181687.53</v>
      </c>
      <c r="O816" s="989">
        <v>181687.53</v>
      </c>
      <c r="P816" s="989">
        <v>0</v>
      </c>
      <c r="Q816" s="989">
        <f t="shared" si="82"/>
        <v>181687.53</v>
      </c>
      <c r="R816" s="989">
        <f t="shared" si="84"/>
        <v>100</v>
      </c>
      <c r="S816" s="1011">
        <v>0</v>
      </c>
      <c r="T816" s="989">
        <f t="shared" si="88"/>
        <v>0</v>
      </c>
      <c r="U816" s="989">
        <f t="shared" si="83"/>
        <v>181687.53</v>
      </c>
      <c r="V816" s="989">
        <f t="shared" si="85"/>
        <v>100</v>
      </c>
      <c r="W816" s="989"/>
      <c r="X816" s="989">
        <f t="shared" si="81"/>
        <v>0</v>
      </c>
      <c r="Y816" s="1012"/>
      <c r="Z816" s="941"/>
      <c r="AA816" s="941"/>
      <c r="AB816" s="941"/>
      <c r="AC816" s="941"/>
      <c r="AD816" s="941"/>
      <c r="AE816" s="941"/>
      <c r="AF816" s="941"/>
      <c r="AG816" s="941"/>
      <c r="AH816" s="941"/>
      <c r="AI816" s="941"/>
      <c r="AJ816" s="941"/>
      <c r="AK816" s="941"/>
      <c r="AL816" s="941"/>
      <c r="AM816" s="941"/>
    </row>
    <row r="817" spans="1:39" s="969" customFormat="1" ht="63" customHeight="1">
      <c r="A817" s="1006">
        <v>699</v>
      </c>
      <c r="B817" s="1007" t="s">
        <v>2439</v>
      </c>
      <c r="C817" s="1008"/>
      <c r="D817" s="1008" t="s">
        <v>4105</v>
      </c>
      <c r="E817" s="1007" t="s">
        <v>2440</v>
      </c>
      <c r="F817" s="1010" t="s">
        <v>557</v>
      </c>
      <c r="G817" s="989">
        <v>104000</v>
      </c>
      <c r="H817" s="937"/>
      <c r="I817" s="1046"/>
      <c r="J817" s="1046"/>
      <c r="K817" s="1047"/>
      <c r="L817" s="1046"/>
      <c r="M817" s="1094"/>
      <c r="N817" s="989">
        <v>104000</v>
      </c>
      <c r="O817" s="989">
        <v>104000</v>
      </c>
      <c r="P817" s="989"/>
      <c r="Q817" s="989">
        <f t="shared" si="82"/>
        <v>104000</v>
      </c>
      <c r="R817" s="989">
        <f t="shared" si="84"/>
        <v>100</v>
      </c>
      <c r="S817" s="1011"/>
      <c r="T817" s="989">
        <f t="shared" si="88"/>
        <v>0</v>
      </c>
      <c r="U817" s="989">
        <f t="shared" si="83"/>
        <v>104000</v>
      </c>
      <c r="V817" s="989">
        <f t="shared" si="85"/>
        <v>100</v>
      </c>
      <c r="W817" s="989"/>
      <c r="X817" s="989">
        <f t="shared" si="81"/>
        <v>0</v>
      </c>
      <c r="Y817" s="1012"/>
      <c r="Z817" s="941"/>
      <c r="AA817" s="941"/>
      <c r="AB817" s="941"/>
      <c r="AC817" s="941"/>
      <c r="AD817" s="941"/>
      <c r="AE817" s="941"/>
      <c r="AF817" s="941"/>
      <c r="AG817" s="941"/>
      <c r="AH817" s="941"/>
      <c r="AI817" s="941"/>
      <c r="AJ817" s="941"/>
      <c r="AK817" s="941"/>
      <c r="AL817" s="941"/>
      <c r="AM817" s="941"/>
    </row>
    <row r="818" spans="1:39" s="969" customFormat="1" ht="63" customHeight="1">
      <c r="A818" s="1006">
        <v>700</v>
      </c>
      <c r="B818" s="1007" t="s">
        <v>2441</v>
      </c>
      <c r="C818" s="1008"/>
      <c r="D818" s="1008" t="s">
        <v>4106</v>
      </c>
      <c r="E818" s="1007" t="s">
        <v>2442</v>
      </c>
      <c r="F818" s="1010" t="s">
        <v>557</v>
      </c>
      <c r="G818" s="989">
        <f>832000-66412.3</f>
        <v>765587.7</v>
      </c>
      <c r="H818" s="937"/>
      <c r="I818" s="1046"/>
      <c r="J818" s="1046"/>
      <c r="K818" s="1047"/>
      <c r="L818" s="1046"/>
      <c r="M818" s="1094">
        <f>-66412.3+66412.3</f>
        <v>0</v>
      </c>
      <c r="N818" s="989">
        <f t="shared" ref="N818:N823" si="90">G818+M818</f>
        <v>765587.7</v>
      </c>
      <c r="O818" s="989">
        <v>563603.37</v>
      </c>
      <c r="P818" s="989">
        <v>201984.33</v>
      </c>
      <c r="Q818" s="989">
        <f t="shared" si="82"/>
        <v>765587.7</v>
      </c>
      <c r="R818" s="989">
        <f t="shared" si="84"/>
        <v>100</v>
      </c>
      <c r="S818" s="1011">
        <v>0</v>
      </c>
      <c r="T818" s="989">
        <f t="shared" si="88"/>
        <v>0</v>
      </c>
      <c r="U818" s="989">
        <f t="shared" si="83"/>
        <v>765587.7</v>
      </c>
      <c r="V818" s="989">
        <f t="shared" si="85"/>
        <v>100</v>
      </c>
      <c r="W818" s="989"/>
      <c r="X818" s="989">
        <f t="shared" si="81"/>
        <v>0</v>
      </c>
      <c r="Y818" s="1012"/>
      <c r="Z818" s="941"/>
      <c r="AA818" s="941"/>
      <c r="AB818" s="941"/>
      <c r="AC818" s="941"/>
      <c r="AD818" s="941"/>
      <c r="AE818" s="941"/>
      <c r="AF818" s="941"/>
      <c r="AG818" s="941"/>
      <c r="AH818" s="941"/>
      <c r="AI818" s="941"/>
      <c r="AJ818" s="941"/>
      <c r="AK818" s="941"/>
      <c r="AL818" s="941"/>
      <c r="AM818" s="941"/>
    </row>
    <row r="819" spans="1:39" s="969" customFormat="1" ht="63" customHeight="1">
      <c r="A819" s="1006">
        <v>701</v>
      </c>
      <c r="B819" s="1007" t="s">
        <v>2443</v>
      </c>
      <c r="C819" s="1008"/>
      <c r="D819" s="1008" t="s">
        <v>4107</v>
      </c>
      <c r="E819" s="1007" t="s">
        <v>2444</v>
      </c>
      <c r="F819" s="1010" t="s">
        <v>557</v>
      </c>
      <c r="G819" s="989">
        <f>728000-138240.72</f>
        <v>589759.28</v>
      </c>
      <c r="H819" s="937"/>
      <c r="I819" s="1046"/>
      <c r="J819" s="1046"/>
      <c r="K819" s="1047"/>
      <c r="L819" s="1046"/>
      <c r="M819" s="1094">
        <f>-138240.72+138240.72</f>
        <v>0</v>
      </c>
      <c r="N819" s="989">
        <f t="shared" si="90"/>
        <v>589759.28</v>
      </c>
      <c r="O819" s="989">
        <v>589759.28</v>
      </c>
      <c r="P819" s="989">
        <v>0</v>
      </c>
      <c r="Q819" s="989">
        <f t="shared" si="82"/>
        <v>589759.28</v>
      </c>
      <c r="R819" s="989">
        <f t="shared" si="84"/>
        <v>100</v>
      </c>
      <c r="S819" s="1011">
        <v>0</v>
      </c>
      <c r="T819" s="989">
        <f t="shared" si="88"/>
        <v>0</v>
      </c>
      <c r="U819" s="989">
        <f t="shared" si="83"/>
        <v>589759.28</v>
      </c>
      <c r="V819" s="989">
        <f t="shared" si="85"/>
        <v>100</v>
      </c>
      <c r="W819" s="989"/>
      <c r="X819" s="989">
        <f t="shared" si="81"/>
        <v>0</v>
      </c>
      <c r="Y819" s="1012"/>
      <c r="Z819" s="941"/>
      <c r="AA819" s="941"/>
      <c r="AB819" s="941"/>
      <c r="AC819" s="941"/>
      <c r="AD819" s="941"/>
      <c r="AE819" s="941"/>
      <c r="AF819" s="941"/>
      <c r="AG819" s="941"/>
      <c r="AH819" s="941"/>
      <c r="AI819" s="941"/>
      <c r="AJ819" s="941"/>
      <c r="AK819" s="941"/>
      <c r="AL819" s="941"/>
      <c r="AM819" s="941"/>
    </row>
    <row r="820" spans="1:39" s="969" customFormat="1" ht="63" customHeight="1">
      <c r="A820" s="1006">
        <v>702</v>
      </c>
      <c r="B820" s="1007" t="s">
        <v>2445</v>
      </c>
      <c r="C820" s="1008"/>
      <c r="D820" s="1008" t="s">
        <v>4108</v>
      </c>
      <c r="E820" s="1007" t="s">
        <v>2446</v>
      </c>
      <c r="F820" s="1010" t="s">
        <v>557</v>
      </c>
      <c r="G820" s="989">
        <f>936000-132345</f>
        <v>803655</v>
      </c>
      <c r="H820" s="937"/>
      <c r="I820" s="1046"/>
      <c r="J820" s="1046"/>
      <c r="K820" s="1047"/>
      <c r="L820" s="1046"/>
      <c r="M820" s="1094">
        <f>-132345+132345</f>
        <v>0</v>
      </c>
      <c r="N820" s="989">
        <f t="shared" si="90"/>
        <v>803655</v>
      </c>
      <c r="O820" s="989">
        <v>803655</v>
      </c>
      <c r="P820" s="989">
        <v>0</v>
      </c>
      <c r="Q820" s="989">
        <f t="shared" si="82"/>
        <v>803655</v>
      </c>
      <c r="R820" s="989">
        <f t="shared" si="84"/>
        <v>100</v>
      </c>
      <c r="S820" s="1011">
        <v>0</v>
      </c>
      <c r="T820" s="989">
        <f t="shared" si="88"/>
        <v>0</v>
      </c>
      <c r="U820" s="989">
        <f t="shared" si="83"/>
        <v>803655</v>
      </c>
      <c r="V820" s="989">
        <f t="shared" si="85"/>
        <v>100</v>
      </c>
      <c r="W820" s="989"/>
      <c r="X820" s="989">
        <f t="shared" si="81"/>
        <v>0</v>
      </c>
      <c r="Y820" s="1012"/>
      <c r="Z820" s="941"/>
      <c r="AA820" s="941"/>
      <c r="AB820" s="941"/>
      <c r="AC820" s="941"/>
      <c r="AD820" s="941"/>
      <c r="AE820" s="941"/>
      <c r="AF820" s="941"/>
      <c r="AG820" s="941"/>
      <c r="AH820" s="941"/>
      <c r="AI820" s="941"/>
      <c r="AJ820" s="941"/>
      <c r="AK820" s="941"/>
      <c r="AL820" s="941"/>
      <c r="AM820" s="941"/>
    </row>
    <row r="821" spans="1:39" s="969" customFormat="1" ht="63" customHeight="1">
      <c r="A821" s="1006">
        <v>703</v>
      </c>
      <c r="B821" s="1007" t="s">
        <v>2447</v>
      </c>
      <c r="C821" s="1008"/>
      <c r="D821" s="1008" t="s">
        <v>4109</v>
      </c>
      <c r="E821" s="1007" t="s">
        <v>2448</v>
      </c>
      <c r="F821" s="1010" t="s">
        <v>557</v>
      </c>
      <c r="G821" s="989">
        <f>728000-88780</f>
        <v>639220</v>
      </c>
      <c r="H821" s="937"/>
      <c r="I821" s="1046"/>
      <c r="J821" s="1046"/>
      <c r="K821" s="1047"/>
      <c r="L821" s="1046"/>
      <c r="M821" s="1094">
        <f>-88780+88780</f>
        <v>0</v>
      </c>
      <c r="N821" s="989">
        <f t="shared" si="90"/>
        <v>639220</v>
      </c>
      <c r="O821" s="989">
        <v>639220</v>
      </c>
      <c r="P821" s="989">
        <v>0</v>
      </c>
      <c r="Q821" s="989">
        <f t="shared" si="82"/>
        <v>639220</v>
      </c>
      <c r="R821" s="989">
        <f t="shared" si="84"/>
        <v>100</v>
      </c>
      <c r="S821" s="1011">
        <v>0</v>
      </c>
      <c r="T821" s="989">
        <f t="shared" si="88"/>
        <v>0</v>
      </c>
      <c r="U821" s="989">
        <f t="shared" si="83"/>
        <v>639220</v>
      </c>
      <c r="V821" s="989">
        <f t="shared" si="85"/>
        <v>100</v>
      </c>
      <c r="W821" s="989"/>
      <c r="X821" s="989">
        <f t="shared" ref="X821:X884" si="91">N821-U821</f>
        <v>0</v>
      </c>
      <c r="Y821" s="1012"/>
      <c r="Z821" s="941"/>
      <c r="AA821" s="941"/>
      <c r="AB821" s="941"/>
      <c r="AC821" s="941"/>
      <c r="AD821" s="941"/>
      <c r="AE821" s="941"/>
      <c r="AF821" s="941"/>
      <c r="AG821" s="941"/>
      <c r="AH821" s="941"/>
      <c r="AI821" s="941"/>
      <c r="AJ821" s="941"/>
      <c r="AK821" s="941"/>
      <c r="AL821" s="941"/>
      <c r="AM821" s="941"/>
    </row>
    <row r="822" spans="1:39" s="969" customFormat="1" ht="63" customHeight="1">
      <c r="A822" s="1006">
        <v>704</v>
      </c>
      <c r="B822" s="1007" t="s">
        <v>2449</v>
      </c>
      <c r="C822" s="1008"/>
      <c r="D822" s="1008" t="s">
        <v>4110</v>
      </c>
      <c r="E822" s="1007" t="s">
        <v>2450</v>
      </c>
      <c r="F822" s="1010" t="s">
        <v>557</v>
      </c>
      <c r="G822" s="989">
        <f>208000-18046</f>
        <v>189954</v>
      </c>
      <c r="H822" s="937"/>
      <c r="I822" s="1046"/>
      <c r="J822" s="1046"/>
      <c r="K822" s="1047"/>
      <c r="L822" s="1046"/>
      <c r="M822" s="1094">
        <f>-18046+18046</f>
        <v>0</v>
      </c>
      <c r="N822" s="989">
        <f t="shared" si="90"/>
        <v>189954</v>
      </c>
      <c r="O822" s="989">
        <v>189954</v>
      </c>
      <c r="P822" s="989">
        <v>0</v>
      </c>
      <c r="Q822" s="989">
        <f t="shared" si="82"/>
        <v>189954</v>
      </c>
      <c r="R822" s="989">
        <f t="shared" si="84"/>
        <v>100</v>
      </c>
      <c r="S822" s="1011">
        <v>0</v>
      </c>
      <c r="T822" s="989">
        <f t="shared" si="88"/>
        <v>0</v>
      </c>
      <c r="U822" s="989">
        <f t="shared" si="83"/>
        <v>189954</v>
      </c>
      <c r="V822" s="989">
        <f t="shared" si="85"/>
        <v>100</v>
      </c>
      <c r="W822" s="989"/>
      <c r="X822" s="989">
        <f t="shared" si="91"/>
        <v>0</v>
      </c>
      <c r="Y822" s="1012"/>
      <c r="Z822" s="941"/>
      <c r="AA822" s="941"/>
      <c r="AB822" s="941"/>
      <c r="AC822" s="941"/>
      <c r="AD822" s="941"/>
      <c r="AE822" s="941"/>
      <c r="AF822" s="941"/>
      <c r="AG822" s="941"/>
      <c r="AH822" s="941"/>
      <c r="AI822" s="941"/>
      <c r="AJ822" s="941"/>
      <c r="AK822" s="941"/>
      <c r="AL822" s="941"/>
      <c r="AM822" s="941"/>
    </row>
    <row r="823" spans="1:39" s="969" customFormat="1" ht="63" customHeight="1">
      <c r="A823" s="1006">
        <v>705</v>
      </c>
      <c r="B823" s="1007" t="s">
        <v>2451</v>
      </c>
      <c r="C823" s="1008"/>
      <c r="D823" s="1008" t="s">
        <v>4111</v>
      </c>
      <c r="E823" s="1007" t="s">
        <v>2452</v>
      </c>
      <c r="F823" s="1010" t="s">
        <v>561</v>
      </c>
      <c r="G823" s="989">
        <f>104000-9350</f>
        <v>94650</v>
      </c>
      <c r="H823" s="937"/>
      <c r="I823" s="1046"/>
      <c r="J823" s="1046"/>
      <c r="K823" s="1047"/>
      <c r="L823" s="1046"/>
      <c r="M823" s="1094">
        <f>-9350+9350</f>
        <v>0</v>
      </c>
      <c r="N823" s="989">
        <f t="shared" si="90"/>
        <v>94650</v>
      </c>
      <c r="O823" s="989">
        <v>94650</v>
      </c>
      <c r="P823" s="989">
        <v>0</v>
      </c>
      <c r="Q823" s="989">
        <f t="shared" ref="Q823:Q886" si="92">P823+O823</f>
        <v>94650</v>
      </c>
      <c r="R823" s="989">
        <f t="shared" si="84"/>
        <v>100</v>
      </c>
      <c r="S823" s="1011">
        <v>0</v>
      </c>
      <c r="T823" s="989">
        <f t="shared" si="88"/>
        <v>0</v>
      </c>
      <c r="U823" s="989">
        <f t="shared" ref="U823:U886" si="93">S823+Q823</f>
        <v>94650</v>
      </c>
      <c r="V823" s="989">
        <f t="shared" si="85"/>
        <v>100</v>
      </c>
      <c r="W823" s="989"/>
      <c r="X823" s="989">
        <f t="shared" si="91"/>
        <v>0</v>
      </c>
      <c r="Y823" s="1012"/>
      <c r="Z823" s="941"/>
      <c r="AA823" s="941"/>
      <c r="AB823" s="941"/>
      <c r="AC823" s="941"/>
      <c r="AD823" s="941"/>
      <c r="AE823" s="941"/>
      <c r="AF823" s="941"/>
      <c r="AG823" s="941"/>
      <c r="AH823" s="941"/>
      <c r="AI823" s="941"/>
      <c r="AJ823" s="941"/>
      <c r="AK823" s="941"/>
      <c r="AL823" s="941"/>
      <c r="AM823" s="941"/>
    </row>
    <row r="824" spans="1:39" s="969" customFormat="1" ht="63" customHeight="1">
      <c r="A824" s="1006">
        <v>706</v>
      </c>
      <c r="B824" s="1007" t="s">
        <v>2453</v>
      </c>
      <c r="C824" s="1008"/>
      <c r="D824" s="1008" t="s">
        <v>4112</v>
      </c>
      <c r="E824" s="1007" t="s">
        <v>2454</v>
      </c>
      <c r="F824" s="1010" t="s">
        <v>561</v>
      </c>
      <c r="G824" s="989">
        <v>208000</v>
      </c>
      <c r="H824" s="937"/>
      <c r="I824" s="1046"/>
      <c r="J824" s="1046"/>
      <c r="K824" s="1047"/>
      <c r="L824" s="1046"/>
      <c r="M824" s="1094"/>
      <c r="N824" s="989">
        <v>208000</v>
      </c>
      <c r="O824" s="989">
        <v>208000</v>
      </c>
      <c r="P824" s="989"/>
      <c r="Q824" s="989">
        <f t="shared" si="92"/>
        <v>208000</v>
      </c>
      <c r="R824" s="989">
        <f t="shared" ref="R824:R887" si="94">Q824/N824*100</f>
        <v>100</v>
      </c>
      <c r="S824" s="1011"/>
      <c r="T824" s="989">
        <f t="shared" si="88"/>
        <v>0</v>
      </c>
      <c r="U824" s="989">
        <f t="shared" si="93"/>
        <v>208000</v>
      </c>
      <c r="V824" s="989">
        <f t="shared" si="85"/>
        <v>100</v>
      </c>
      <c r="W824" s="989"/>
      <c r="X824" s="989">
        <f t="shared" si="91"/>
        <v>0</v>
      </c>
      <c r="Y824" s="1012"/>
      <c r="Z824" s="941"/>
      <c r="AA824" s="941"/>
      <c r="AB824" s="941"/>
      <c r="AC824" s="941"/>
      <c r="AD824" s="941"/>
      <c r="AE824" s="941"/>
      <c r="AF824" s="941"/>
      <c r="AG824" s="941"/>
      <c r="AH824" s="941"/>
      <c r="AI824" s="941"/>
      <c r="AJ824" s="941"/>
      <c r="AK824" s="941"/>
      <c r="AL824" s="941"/>
      <c r="AM824" s="941"/>
    </row>
    <row r="825" spans="1:39" s="969" customFormat="1" ht="63" customHeight="1">
      <c r="A825" s="1006">
        <v>707</v>
      </c>
      <c r="B825" s="1007" t="s">
        <v>2455</v>
      </c>
      <c r="C825" s="1008"/>
      <c r="D825" s="1008" t="s">
        <v>4113</v>
      </c>
      <c r="E825" s="1007" t="s">
        <v>2456</v>
      </c>
      <c r="F825" s="1010" t="s">
        <v>561</v>
      </c>
      <c r="G825" s="989">
        <f>104000-1800</f>
        <v>102200</v>
      </c>
      <c r="H825" s="937"/>
      <c r="I825" s="1046"/>
      <c r="J825" s="1046"/>
      <c r="K825" s="1047"/>
      <c r="L825" s="1046"/>
      <c r="M825" s="1094">
        <f>-1800+1800</f>
        <v>0</v>
      </c>
      <c r="N825" s="989">
        <f>G825+M825</f>
        <v>102200</v>
      </c>
      <c r="O825" s="989">
        <v>102200</v>
      </c>
      <c r="P825" s="989">
        <v>0</v>
      </c>
      <c r="Q825" s="989">
        <f t="shared" si="92"/>
        <v>102200</v>
      </c>
      <c r="R825" s="989">
        <f t="shared" si="94"/>
        <v>100</v>
      </c>
      <c r="S825" s="1011">
        <v>0</v>
      </c>
      <c r="T825" s="989">
        <f t="shared" si="88"/>
        <v>0</v>
      </c>
      <c r="U825" s="989">
        <f t="shared" si="93"/>
        <v>102200</v>
      </c>
      <c r="V825" s="989">
        <f t="shared" ref="V825:V888" si="95">U825/N825*100</f>
        <v>100</v>
      </c>
      <c r="W825" s="989"/>
      <c r="X825" s="989">
        <f t="shared" si="91"/>
        <v>0</v>
      </c>
      <c r="Y825" s="1012"/>
      <c r="Z825" s="941"/>
      <c r="AA825" s="941"/>
      <c r="AB825" s="941"/>
      <c r="AC825" s="941"/>
      <c r="AD825" s="941"/>
      <c r="AE825" s="941"/>
      <c r="AF825" s="941"/>
      <c r="AG825" s="941"/>
      <c r="AH825" s="941"/>
      <c r="AI825" s="941"/>
      <c r="AJ825" s="941"/>
      <c r="AK825" s="941"/>
      <c r="AL825" s="941"/>
      <c r="AM825" s="941"/>
    </row>
    <row r="826" spans="1:39" s="969" customFormat="1" ht="63" customHeight="1">
      <c r="A826" s="1006">
        <v>708</v>
      </c>
      <c r="B826" s="1007" t="s">
        <v>2457</v>
      </c>
      <c r="C826" s="1008"/>
      <c r="D826" s="1008" t="s">
        <v>4114</v>
      </c>
      <c r="E826" s="1007" t="s">
        <v>2458</v>
      </c>
      <c r="F826" s="1010" t="s">
        <v>561</v>
      </c>
      <c r="G826" s="989">
        <v>104000</v>
      </c>
      <c r="H826" s="937"/>
      <c r="I826" s="1046"/>
      <c r="J826" s="1046"/>
      <c r="K826" s="1047"/>
      <c r="L826" s="1046"/>
      <c r="M826" s="1094"/>
      <c r="N826" s="989">
        <v>104000</v>
      </c>
      <c r="O826" s="989">
        <v>104000</v>
      </c>
      <c r="P826" s="989"/>
      <c r="Q826" s="989">
        <f t="shared" si="92"/>
        <v>104000</v>
      </c>
      <c r="R826" s="989">
        <f t="shared" si="94"/>
        <v>100</v>
      </c>
      <c r="S826" s="1011"/>
      <c r="T826" s="989">
        <f t="shared" si="88"/>
        <v>0</v>
      </c>
      <c r="U826" s="989">
        <f t="shared" si="93"/>
        <v>104000</v>
      </c>
      <c r="V826" s="989">
        <f t="shared" si="95"/>
        <v>100</v>
      </c>
      <c r="W826" s="989"/>
      <c r="X826" s="989">
        <f t="shared" si="91"/>
        <v>0</v>
      </c>
      <c r="Y826" s="1012"/>
      <c r="Z826" s="941"/>
      <c r="AA826" s="941"/>
      <c r="AB826" s="941"/>
      <c r="AC826" s="941"/>
      <c r="AD826" s="941"/>
      <c r="AE826" s="941"/>
      <c r="AF826" s="941"/>
      <c r="AG826" s="941"/>
      <c r="AH826" s="941"/>
      <c r="AI826" s="941"/>
      <c r="AJ826" s="941"/>
      <c r="AK826" s="941"/>
      <c r="AL826" s="941"/>
      <c r="AM826" s="941"/>
    </row>
    <row r="827" spans="1:39" s="969" customFormat="1" ht="63" customHeight="1">
      <c r="A827" s="1006">
        <v>709</v>
      </c>
      <c r="B827" s="1007" t="s">
        <v>2459</v>
      </c>
      <c r="C827" s="1008"/>
      <c r="D827" s="1008" t="s">
        <v>4115</v>
      </c>
      <c r="E827" s="1007" t="s">
        <v>2460</v>
      </c>
      <c r="F827" s="1010" t="s">
        <v>552</v>
      </c>
      <c r="G827" s="989">
        <v>520000</v>
      </c>
      <c r="H827" s="937"/>
      <c r="I827" s="1046"/>
      <c r="J827" s="1046"/>
      <c r="K827" s="1047">
        <v>-29000</v>
      </c>
      <c r="L827" s="1046"/>
      <c r="M827" s="1094"/>
      <c r="N827" s="989">
        <v>491000</v>
      </c>
      <c r="O827" s="989">
        <v>98200</v>
      </c>
      <c r="P827" s="989">
        <v>392800</v>
      </c>
      <c r="Q827" s="989">
        <f t="shared" si="92"/>
        <v>491000</v>
      </c>
      <c r="R827" s="989">
        <f t="shared" si="94"/>
        <v>100</v>
      </c>
      <c r="S827" s="1011">
        <v>0</v>
      </c>
      <c r="T827" s="989">
        <f t="shared" si="88"/>
        <v>0</v>
      </c>
      <c r="U827" s="989">
        <f t="shared" si="93"/>
        <v>491000</v>
      </c>
      <c r="V827" s="989">
        <f t="shared" si="95"/>
        <v>100</v>
      </c>
      <c r="W827" s="989"/>
      <c r="X827" s="989">
        <f t="shared" si="91"/>
        <v>0</v>
      </c>
      <c r="Y827" s="1012"/>
      <c r="Z827" s="941"/>
      <c r="AA827" s="941"/>
      <c r="AB827" s="941"/>
      <c r="AC827" s="941"/>
      <c r="AD827" s="941"/>
      <c r="AE827" s="941"/>
      <c r="AF827" s="941"/>
      <c r="AG827" s="941"/>
      <c r="AH827" s="941"/>
      <c r="AI827" s="941"/>
      <c r="AJ827" s="941"/>
      <c r="AK827" s="941"/>
      <c r="AL827" s="941"/>
      <c r="AM827" s="941"/>
    </row>
    <row r="828" spans="1:39" s="969" customFormat="1" ht="63" customHeight="1">
      <c r="A828" s="1006">
        <v>710</v>
      </c>
      <c r="B828" s="1007" t="s">
        <v>2461</v>
      </c>
      <c r="C828" s="1008"/>
      <c r="D828" s="1008" t="s">
        <v>4116</v>
      </c>
      <c r="E828" s="1007" t="s">
        <v>2462</v>
      </c>
      <c r="F828" s="1010" t="s">
        <v>552</v>
      </c>
      <c r="G828" s="989">
        <f>1040000</f>
        <v>1040000</v>
      </c>
      <c r="H828" s="937"/>
      <c r="I828" s="1046"/>
      <c r="J828" s="1046"/>
      <c r="K828" s="1047">
        <f>-90000-386400</f>
        <v>-476400</v>
      </c>
      <c r="L828" s="1046"/>
      <c r="M828" s="1094"/>
      <c r="N828" s="989">
        <f>1040000+M828+K828</f>
        <v>563600</v>
      </c>
      <c r="O828" s="989">
        <v>0</v>
      </c>
      <c r="P828" s="989">
        <v>563600</v>
      </c>
      <c r="Q828" s="989">
        <f t="shared" si="92"/>
        <v>563600</v>
      </c>
      <c r="R828" s="989">
        <f t="shared" si="94"/>
        <v>100</v>
      </c>
      <c r="S828" s="1011">
        <v>0</v>
      </c>
      <c r="T828" s="989">
        <f t="shared" si="88"/>
        <v>0</v>
      </c>
      <c r="U828" s="989">
        <f t="shared" si="93"/>
        <v>563600</v>
      </c>
      <c r="V828" s="989">
        <f t="shared" si="95"/>
        <v>100</v>
      </c>
      <c r="W828" s="989"/>
      <c r="X828" s="989">
        <f t="shared" si="91"/>
        <v>0</v>
      </c>
      <c r="Y828" s="1012"/>
      <c r="Z828" s="941"/>
      <c r="AA828" s="941"/>
      <c r="AB828" s="941"/>
      <c r="AC828" s="941"/>
      <c r="AD828" s="941"/>
      <c r="AE828" s="941"/>
      <c r="AF828" s="941"/>
      <c r="AG828" s="941"/>
      <c r="AH828" s="941"/>
      <c r="AI828" s="941"/>
      <c r="AJ828" s="941"/>
      <c r="AK828" s="941"/>
      <c r="AL828" s="941"/>
      <c r="AM828" s="941"/>
    </row>
    <row r="829" spans="1:39" s="969" customFormat="1" ht="63" customHeight="1">
      <c r="A829" s="1006">
        <v>711</v>
      </c>
      <c r="B829" s="1007" t="s">
        <v>2463</v>
      </c>
      <c r="C829" s="1008"/>
      <c r="D829" s="1008" t="s">
        <v>4117</v>
      </c>
      <c r="E829" s="1007" t="s">
        <v>2464</v>
      </c>
      <c r="F829" s="1010" t="s">
        <v>552</v>
      </c>
      <c r="G829" s="989">
        <f>624000-137329</f>
        <v>486671</v>
      </c>
      <c r="H829" s="937"/>
      <c r="I829" s="1046"/>
      <c r="J829" s="1046"/>
      <c r="K829" s="1047">
        <v>-54000</v>
      </c>
      <c r="L829" s="1046"/>
      <c r="M829" s="1094">
        <f>-58348-78981+137329</f>
        <v>0</v>
      </c>
      <c r="N829" s="989">
        <f>G829+M829+K829</f>
        <v>432671</v>
      </c>
      <c r="O829" s="989">
        <v>0</v>
      </c>
      <c r="P829" s="989">
        <v>432671</v>
      </c>
      <c r="Q829" s="989">
        <f t="shared" si="92"/>
        <v>432671</v>
      </c>
      <c r="R829" s="989">
        <f t="shared" si="94"/>
        <v>100</v>
      </c>
      <c r="S829" s="1011">
        <v>0</v>
      </c>
      <c r="T829" s="989">
        <f t="shared" si="88"/>
        <v>0</v>
      </c>
      <c r="U829" s="989">
        <f t="shared" si="93"/>
        <v>432671</v>
      </c>
      <c r="V829" s="989">
        <f t="shared" si="95"/>
        <v>100</v>
      </c>
      <c r="W829" s="989"/>
      <c r="X829" s="989">
        <f t="shared" si="91"/>
        <v>0</v>
      </c>
      <c r="Y829" s="1012"/>
      <c r="Z829" s="941"/>
      <c r="AA829" s="941"/>
      <c r="AB829" s="941"/>
      <c r="AC829" s="941"/>
      <c r="AD829" s="941"/>
      <c r="AE829" s="941"/>
      <c r="AF829" s="941"/>
      <c r="AG829" s="941"/>
      <c r="AH829" s="941"/>
      <c r="AI829" s="941"/>
      <c r="AJ829" s="941"/>
      <c r="AK829" s="941"/>
      <c r="AL829" s="941"/>
      <c r="AM829" s="941"/>
    </row>
    <row r="830" spans="1:39" s="969" customFormat="1" ht="63" customHeight="1">
      <c r="A830" s="1006">
        <v>712</v>
      </c>
      <c r="B830" s="1007" t="s">
        <v>2465</v>
      </c>
      <c r="C830" s="1008"/>
      <c r="D830" s="1008" t="s">
        <v>4118</v>
      </c>
      <c r="E830" s="1007" t="s">
        <v>2466</v>
      </c>
      <c r="F830" s="1010" t="s">
        <v>552</v>
      </c>
      <c r="G830" s="989">
        <f>520000-63684</f>
        <v>456316</v>
      </c>
      <c r="H830" s="937"/>
      <c r="I830" s="1046"/>
      <c r="J830" s="1046"/>
      <c r="K830" s="1047">
        <v>-45000</v>
      </c>
      <c r="L830" s="1046"/>
      <c r="M830" s="1094">
        <f>-3626-60058+63684</f>
        <v>0</v>
      </c>
      <c r="N830" s="989">
        <f>G830+M830+K830</f>
        <v>411316</v>
      </c>
      <c r="O830" s="989">
        <v>282947</v>
      </c>
      <c r="P830" s="989">
        <v>128369</v>
      </c>
      <c r="Q830" s="989">
        <f t="shared" si="92"/>
        <v>411316</v>
      </c>
      <c r="R830" s="989">
        <f t="shared" si="94"/>
        <v>100</v>
      </c>
      <c r="S830" s="1011">
        <v>0</v>
      </c>
      <c r="T830" s="989">
        <f t="shared" si="88"/>
        <v>0</v>
      </c>
      <c r="U830" s="989">
        <f t="shared" si="93"/>
        <v>411316</v>
      </c>
      <c r="V830" s="989">
        <f t="shared" si="95"/>
        <v>100</v>
      </c>
      <c r="W830" s="989"/>
      <c r="X830" s="989">
        <f t="shared" si="91"/>
        <v>0</v>
      </c>
      <c r="Y830" s="1012"/>
      <c r="Z830" s="941"/>
      <c r="AA830" s="941"/>
      <c r="AB830" s="941"/>
      <c r="AC830" s="941"/>
      <c r="AD830" s="941"/>
      <c r="AE830" s="941"/>
      <c r="AF830" s="941"/>
      <c r="AG830" s="941"/>
      <c r="AH830" s="941"/>
      <c r="AI830" s="941"/>
      <c r="AJ830" s="941"/>
      <c r="AK830" s="941"/>
      <c r="AL830" s="941"/>
      <c r="AM830" s="941"/>
    </row>
    <row r="831" spans="1:39" s="969" customFormat="1" ht="63" customHeight="1">
      <c r="A831" s="1006">
        <v>713</v>
      </c>
      <c r="B831" s="1007" t="s">
        <v>2467</v>
      </c>
      <c r="C831" s="1008"/>
      <c r="D831" s="1008" t="s">
        <v>4119</v>
      </c>
      <c r="E831" s="1007" t="s">
        <v>2468</v>
      </c>
      <c r="F831" s="1010" t="s">
        <v>552</v>
      </c>
      <c r="G831" s="989">
        <f>624000-10573.95</f>
        <v>613426.05000000005</v>
      </c>
      <c r="H831" s="937"/>
      <c r="I831" s="1046"/>
      <c r="J831" s="1046"/>
      <c r="K831" s="1047">
        <v>-53400</v>
      </c>
      <c r="L831" s="1046"/>
      <c r="M831" s="1094">
        <f>-10573.95+10573.95</f>
        <v>0</v>
      </c>
      <c r="N831" s="989">
        <f>G831+M831+K831</f>
        <v>560026.05000000005</v>
      </c>
      <c r="O831" s="989">
        <v>0</v>
      </c>
      <c r="P831" s="989">
        <v>560026.05000000005</v>
      </c>
      <c r="Q831" s="989">
        <f t="shared" si="92"/>
        <v>560026.05000000005</v>
      </c>
      <c r="R831" s="989">
        <f t="shared" si="94"/>
        <v>100</v>
      </c>
      <c r="S831" s="1011">
        <v>0</v>
      </c>
      <c r="T831" s="989">
        <f t="shared" si="88"/>
        <v>0</v>
      </c>
      <c r="U831" s="989">
        <f t="shared" si="93"/>
        <v>560026.05000000005</v>
      </c>
      <c r="V831" s="989">
        <f t="shared" si="95"/>
        <v>100</v>
      </c>
      <c r="W831" s="989"/>
      <c r="X831" s="989">
        <f t="shared" si="91"/>
        <v>0</v>
      </c>
      <c r="Y831" s="1012"/>
      <c r="Z831" s="941"/>
      <c r="AA831" s="941"/>
      <c r="AB831" s="941"/>
      <c r="AC831" s="941"/>
      <c r="AD831" s="941"/>
      <c r="AE831" s="941"/>
      <c r="AF831" s="941"/>
      <c r="AG831" s="941"/>
      <c r="AH831" s="941"/>
      <c r="AI831" s="941"/>
      <c r="AJ831" s="941"/>
      <c r="AK831" s="941"/>
      <c r="AL831" s="941"/>
      <c r="AM831" s="941"/>
    </row>
    <row r="832" spans="1:39" s="969" customFormat="1" ht="63" customHeight="1">
      <c r="A832" s="1006">
        <v>714</v>
      </c>
      <c r="B832" s="1007" t="s">
        <v>2469</v>
      </c>
      <c r="C832" s="1008"/>
      <c r="D832" s="1008" t="s">
        <v>4120</v>
      </c>
      <c r="E832" s="1007" t="s">
        <v>2470</v>
      </c>
      <c r="F832" s="1010" t="s">
        <v>552</v>
      </c>
      <c r="G832" s="989">
        <f>312000-106467</f>
        <v>205533</v>
      </c>
      <c r="H832" s="937"/>
      <c r="I832" s="1046"/>
      <c r="J832" s="1046"/>
      <c r="K832" s="1047">
        <v>-19000</v>
      </c>
      <c r="L832" s="1046"/>
      <c r="M832" s="1094">
        <f>-106467+106467</f>
        <v>0</v>
      </c>
      <c r="N832" s="989">
        <f>G832+M832+K832</f>
        <v>186533</v>
      </c>
      <c r="O832" s="989">
        <v>0</v>
      </c>
      <c r="P832" s="989">
        <v>186533</v>
      </c>
      <c r="Q832" s="989">
        <f t="shared" si="92"/>
        <v>186533</v>
      </c>
      <c r="R832" s="989">
        <f t="shared" si="94"/>
        <v>100</v>
      </c>
      <c r="S832" s="1011">
        <v>0</v>
      </c>
      <c r="T832" s="989">
        <f t="shared" si="88"/>
        <v>0</v>
      </c>
      <c r="U832" s="989">
        <f t="shared" si="93"/>
        <v>186533</v>
      </c>
      <c r="V832" s="989">
        <f t="shared" si="95"/>
        <v>100</v>
      </c>
      <c r="W832" s="989"/>
      <c r="X832" s="989">
        <f t="shared" si="91"/>
        <v>0</v>
      </c>
      <c r="Y832" s="1012"/>
      <c r="Z832" s="941"/>
      <c r="AA832" s="941"/>
      <c r="AB832" s="941"/>
      <c r="AC832" s="941"/>
      <c r="AD832" s="941"/>
      <c r="AE832" s="941"/>
      <c r="AF832" s="941"/>
      <c r="AG832" s="941"/>
      <c r="AH832" s="941"/>
      <c r="AI832" s="941"/>
      <c r="AJ832" s="941"/>
      <c r="AK832" s="941"/>
      <c r="AL832" s="941"/>
      <c r="AM832" s="941"/>
    </row>
    <row r="833" spans="1:25" ht="63" customHeight="1">
      <c r="A833" s="1006">
        <v>715</v>
      </c>
      <c r="B833" s="1007" t="s">
        <v>2471</v>
      </c>
      <c r="C833" s="1008"/>
      <c r="D833" s="1008" t="s">
        <v>4121</v>
      </c>
      <c r="E833" s="1007" t="s">
        <v>2472</v>
      </c>
      <c r="F833" s="1010" t="s">
        <v>552</v>
      </c>
      <c r="G833" s="989">
        <f>520000-19400</f>
        <v>500600</v>
      </c>
      <c r="H833" s="937"/>
      <c r="I833" s="1046"/>
      <c r="J833" s="1046"/>
      <c r="K833" s="1047">
        <v>-32200</v>
      </c>
      <c r="L833" s="1046"/>
      <c r="M833" s="1094">
        <f>-19400+19400</f>
        <v>0</v>
      </c>
      <c r="N833" s="989">
        <f>G833+M833+K833</f>
        <v>468400</v>
      </c>
      <c r="O833" s="989">
        <v>0</v>
      </c>
      <c r="P833" s="989">
        <v>468400</v>
      </c>
      <c r="Q833" s="989">
        <f t="shared" si="92"/>
        <v>468400</v>
      </c>
      <c r="R833" s="989">
        <f t="shared" si="94"/>
        <v>100</v>
      </c>
      <c r="S833" s="1011">
        <v>0</v>
      </c>
      <c r="T833" s="989">
        <f t="shared" si="88"/>
        <v>0</v>
      </c>
      <c r="U833" s="989">
        <f t="shared" si="93"/>
        <v>468400</v>
      </c>
      <c r="V833" s="989">
        <f t="shared" si="95"/>
        <v>100</v>
      </c>
      <c r="W833" s="989"/>
      <c r="X833" s="989">
        <f t="shared" si="91"/>
        <v>0</v>
      </c>
      <c r="Y833" s="1012"/>
    </row>
    <row r="834" spans="1:25" ht="63" customHeight="1">
      <c r="A834" s="1006">
        <v>716</v>
      </c>
      <c r="B834" s="1007" t="s">
        <v>2473</v>
      </c>
      <c r="C834" s="1008"/>
      <c r="D834" s="1008" t="s">
        <v>4122</v>
      </c>
      <c r="E834" s="1007" t="s">
        <v>3283</v>
      </c>
      <c r="F834" s="1010" t="s">
        <v>584</v>
      </c>
      <c r="G834" s="989">
        <f>416000-54400</f>
        <v>361600</v>
      </c>
      <c r="H834" s="937"/>
      <c r="I834" s="1046"/>
      <c r="J834" s="1046"/>
      <c r="K834" s="1047"/>
      <c r="L834" s="1046"/>
      <c r="M834" s="1094">
        <f>-54400+54400</f>
        <v>0</v>
      </c>
      <c r="N834" s="989">
        <f>G834+M834</f>
        <v>361600</v>
      </c>
      <c r="O834" s="989">
        <v>0</v>
      </c>
      <c r="P834" s="989">
        <v>361600</v>
      </c>
      <c r="Q834" s="989">
        <f t="shared" si="92"/>
        <v>361600</v>
      </c>
      <c r="R834" s="989">
        <f t="shared" si="94"/>
        <v>100</v>
      </c>
      <c r="S834" s="1011">
        <v>0</v>
      </c>
      <c r="T834" s="989">
        <f t="shared" si="88"/>
        <v>0</v>
      </c>
      <c r="U834" s="989">
        <f t="shared" si="93"/>
        <v>361600</v>
      </c>
      <c r="V834" s="989">
        <f t="shared" si="95"/>
        <v>100</v>
      </c>
      <c r="W834" s="989"/>
      <c r="X834" s="989">
        <f t="shared" si="91"/>
        <v>0</v>
      </c>
      <c r="Y834" s="1012"/>
    </row>
    <row r="835" spans="1:25" ht="63" customHeight="1">
      <c r="A835" s="1006">
        <v>717</v>
      </c>
      <c r="B835" s="1007" t="s">
        <v>2474</v>
      </c>
      <c r="C835" s="1008"/>
      <c r="D835" s="1008" t="s">
        <v>4123</v>
      </c>
      <c r="E835" s="1007" t="s">
        <v>3284</v>
      </c>
      <c r="F835" s="1010" t="s">
        <v>584</v>
      </c>
      <c r="G835" s="989">
        <v>312000</v>
      </c>
      <c r="H835" s="937"/>
      <c r="I835" s="1046"/>
      <c r="J835" s="1046"/>
      <c r="K835" s="1047"/>
      <c r="L835" s="1046"/>
      <c r="M835" s="1094"/>
      <c r="N835" s="989">
        <v>312000</v>
      </c>
      <c r="O835" s="989">
        <v>0</v>
      </c>
      <c r="P835" s="989">
        <v>312000</v>
      </c>
      <c r="Q835" s="989">
        <f t="shared" si="92"/>
        <v>312000</v>
      </c>
      <c r="R835" s="989">
        <f t="shared" si="94"/>
        <v>100</v>
      </c>
      <c r="S835" s="1011">
        <v>0</v>
      </c>
      <c r="T835" s="989">
        <f t="shared" si="88"/>
        <v>0</v>
      </c>
      <c r="U835" s="989">
        <f t="shared" si="93"/>
        <v>312000</v>
      </c>
      <c r="V835" s="989">
        <f t="shared" si="95"/>
        <v>100</v>
      </c>
      <c r="W835" s="989"/>
      <c r="X835" s="989">
        <f t="shared" si="91"/>
        <v>0</v>
      </c>
      <c r="Y835" s="1012"/>
    </row>
    <row r="836" spans="1:25" ht="63" customHeight="1">
      <c r="A836" s="1006">
        <v>718</v>
      </c>
      <c r="B836" s="1007" t="s">
        <v>2475</v>
      </c>
      <c r="C836" s="1008"/>
      <c r="D836" s="1008" t="s">
        <v>4124</v>
      </c>
      <c r="E836" s="1007" t="s">
        <v>3285</v>
      </c>
      <c r="F836" s="1010" t="s">
        <v>584</v>
      </c>
      <c r="G836" s="989">
        <f>832000-18000</f>
        <v>814000</v>
      </c>
      <c r="H836" s="937"/>
      <c r="I836" s="1046"/>
      <c r="J836" s="1046"/>
      <c r="K836" s="1047"/>
      <c r="L836" s="1046"/>
      <c r="M836" s="1094">
        <f>-18000+18000</f>
        <v>0</v>
      </c>
      <c r="N836" s="989">
        <f>G836+M836</f>
        <v>814000</v>
      </c>
      <c r="O836" s="989">
        <v>0</v>
      </c>
      <c r="P836" s="989">
        <v>814000</v>
      </c>
      <c r="Q836" s="989">
        <f t="shared" si="92"/>
        <v>814000</v>
      </c>
      <c r="R836" s="989">
        <f t="shared" si="94"/>
        <v>100</v>
      </c>
      <c r="S836" s="1011">
        <v>0</v>
      </c>
      <c r="T836" s="989">
        <f t="shared" si="88"/>
        <v>0</v>
      </c>
      <c r="U836" s="989">
        <f t="shared" si="93"/>
        <v>814000</v>
      </c>
      <c r="V836" s="989">
        <f t="shared" si="95"/>
        <v>100</v>
      </c>
      <c r="W836" s="989"/>
      <c r="X836" s="989">
        <f t="shared" si="91"/>
        <v>0</v>
      </c>
      <c r="Y836" s="1012"/>
    </row>
    <row r="837" spans="1:25" ht="63" customHeight="1">
      <c r="A837" s="1006">
        <v>719</v>
      </c>
      <c r="B837" s="1007" t="s">
        <v>2476</v>
      </c>
      <c r="C837" s="1008"/>
      <c r="D837" s="1008" t="s">
        <v>4125</v>
      </c>
      <c r="E837" s="1007" t="s">
        <v>2477</v>
      </c>
      <c r="F837" s="1010" t="s">
        <v>558</v>
      </c>
      <c r="G837" s="989">
        <f>208000-64916</f>
        <v>143084</v>
      </c>
      <c r="H837" s="937"/>
      <c r="I837" s="1046"/>
      <c r="J837" s="1046"/>
      <c r="K837" s="1047"/>
      <c r="L837" s="1046"/>
      <c r="M837" s="1094">
        <f>-64916+64916</f>
        <v>0</v>
      </c>
      <c r="N837" s="989">
        <f>G837+M837</f>
        <v>143084</v>
      </c>
      <c r="O837" s="989">
        <v>143084</v>
      </c>
      <c r="P837" s="989">
        <v>0</v>
      </c>
      <c r="Q837" s="989">
        <f t="shared" si="92"/>
        <v>143084</v>
      </c>
      <c r="R837" s="989">
        <f t="shared" si="94"/>
        <v>100</v>
      </c>
      <c r="S837" s="1011">
        <v>0</v>
      </c>
      <c r="T837" s="989">
        <f t="shared" si="88"/>
        <v>0</v>
      </c>
      <c r="U837" s="989">
        <f t="shared" si="93"/>
        <v>143084</v>
      </c>
      <c r="V837" s="989">
        <f t="shared" si="95"/>
        <v>100</v>
      </c>
      <c r="W837" s="989"/>
      <c r="X837" s="989">
        <f t="shared" si="91"/>
        <v>0</v>
      </c>
      <c r="Y837" s="1012"/>
    </row>
    <row r="838" spans="1:25" ht="63" customHeight="1">
      <c r="A838" s="1006">
        <v>720</v>
      </c>
      <c r="B838" s="1007" t="s">
        <v>2478</v>
      </c>
      <c r="C838" s="1008"/>
      <c r="D838" s="1008" t="s">
        <v>4126</v>
      </c>
      <c r="E838" s="1007" t="s">
        <v>2479</v>
      </c>
      <c r="F838" s="1010" t="s">
        <v>558</v>
      </c>
      <c r="G838" s="989">
        <v>208000</v>
      </c>
      <c r="H838" s="937"/>
      <c r="I838" s="1046"/>
      <c r="J838" s="1046"/>
      <c r="K838" s="1047"/>
      <c r="L838" s="1046"/>
      <c r="M838" s="1094"/>
      <c r="N838" s="989">
        <v>208000</v>
      </c>
      <c r="O838" s="989">
        <v>208000</v>
      </c>
      <c r="P838" s="989"/>
      <c r="Q838" s="989">
        <f t="shared" si="92"/>
        <v>208000</v>
      </c>
      <c r="R838" s="989">
        <f t="shared" si="94"/>
        <v>100</v>
      </c>
      <c r="S838" s="1011"/>
      <c r="T838" s="989">
        <f t="shared" si="88"/>
        <v>0</v>
      </c>
      <c r="U838" s="989">
        <f t="shared" si="93"/>
        <v>208000</v>
      </c>
      <c r="V838" s="989">
        <f t="shared" si="95"/>
        <v>100</v>
      </c>
      <c r="W838" s="989"/>
      <c r="X838" s="989">
        <f t="shared" si="91"/>
        <v>0</v>
      </c>
      <c r="Y838" s="1012"/>
    </row>
    <row r="839" spans="1:25" ht="63" customHeight="1">
      <c r="A839" s="1006">
        <v>721</v>
      </c>
      <c r="B839" s="1007" t="s">
        <v>2480</v>
      </c>
      <c r="C839" s="1008"/>
      <c r="D839" s="1008" t="s">
        <v>4127</v>
      </c>
      <c r="E839" s="1007" t="s">
        <v>3122</v>
      </c>
      <c r="F839" s="1010" t="s">
        <v>558</v>
      </c>
      <c r="G839" s="989">
        <f>208000-9737.46</f>
        <v>198262.54</v>
      </c>
      <c r="H839" s="937"/>
      <c r="I839" s="1046"/>
      <c r="J839" s="1046"/>
      <c r="K839" s="1047"/>
      <c r="L839" s="1046"/>
      <c r="M839" s="1094">
        <f>-9737.46+9737.46</f>
        <v>0</v>
      </c>
      <c r="N839" s="989">
        <f>G839+M839</f>
        <v>198262.54</v>
      </c>
      <c r="O839" s="989">
        <v>198262.54</v>
      </c>
      <c r="P839" s="989">
        <v>0</v>
      </c>
      <c r="Q839" s="989">
        <f t="shared" si="92"/>
        <v>198262.54</v>
      </c>
      <c r="R839" s="989">
        <f t="shared" si="94"/>
        <v>100</v>
      </c>
      <c r="S839" s="1011">
        <v>0</v>
      </c>
      <c r="T839" s="989">
        <f t="shared" si="88"/>
        <v>0</v>
      </c>
      <c r="U839" s="989">
        <f t="shared" si="93"/>
        <v>198262.54</v>
      </c>
      <c r="V839" s="989">
        <f t="shared" si="95"/>
        <v>100</v>
      </c>
      <c r="W839" s="989"/>
      <c r="X839" s="989">
        <f t="shared" si="91"/>
        <v>0</v>
      </c>
      <c r="Y839" s="1012"/>
    </row>
    <row r="840" spans="1:25" ht="63" customHeight="1">
      <c r="A840" s="1006">
        <v>722</v>
      </c>
      <c r="B840" s="1007" t="s">
        <v>2481</v>
      </c>
      <c r="C840" s="1008"/>
      <c r="D840" s="1008" t="s">
        <v>4128</v>
      </c>
      <c r="E840" s="1007" t="s">
        <v>2482</v>
      </c>
      <c r="F840" s="1010" t="s">
        <v>558</v>
      </c>
      <c r="G840" s="989">
        <f>208000-9686.9</f>
        <v>198313.1</v>
      </c>
      <c r="H840" s="937"/>
      <c r="I840" s="1046"/>
      <c r="J840" s="1046"/>
      <c r="K840" s="1047"/>
      <c r="L840" s="1046"/>
      <c r="M840" s="1094">
        <f>-9686.9+9686.9</f>
        <v>0</v>
      </c>
      <c r="N840" s="989">
        <f>G840+M840</f>
        <v>198313.1</v>
      </c>
      <c r="O840" s="989">
        <v>198313.1</v>
      </c>
      <c r="P840" s="989">
        <v>0</v>
      </c>
      <c r="Q840" s="989">
        <f t="shared" si="92"/>
        <v>198313.1</v>
      </c>
      <c r="R840" s="989">
        <f t="shared" si="94"/>
        <v>100</v>
      </c>
      <c r="S840" s="1011">
        <v>0</v>
      </c>
      <c r="T840" s="989">
        <f t="shared" si="88"/>
        <v>0</v>
      </c>
      <c r="U840" s="989">
        <f t="shared" si="93"/>
        <v>198313.1</v>
      </c>
      <c r="V840" s="989">
        <f t="shared" si="95"/>
        <v>100</v>
      </c>
      <c r="W840" s="989"/>
      <c r="X840" s="989">
        <f t="shared" si="91"/>
        <v>0</v>
      </c>
      <c r="Y840" s="1012"/>
    </row>
    <row r="841" spans="1:25" ht="63" customHeight="1">
      <c r="A841" s="1006">
        <v>723</v>
      </c>
      <c r="B841" s="1007" t="s">
        <v>2483</v>
      </c>
      <c r="C841" s="1008"/>
      <c r="D841" s="1008" t="s">
        <v>4129</v>
      </c>
      <c r="E841" s="1007" t="s">
        <v>2484</v>
      </c>
      <c r="F841" s="1010" t="s">
        <v>558</v>
      </c>
      <c r="G841" s="989">
        <f>312000-38013.96</f>
        <v>273986.03999999998</v>
      </c>
      <c r="H841" s="937"/>
      <c r="I841" s="1046"/>
      <c r="J841" s="1046"/>
      <c r="K841" s="1047"/>
      <c r="L841" s="1046"/>
      <c r="M841" s="1094">
        <f>-38013.96+38013.96</f>
        <v>0</v>
      </c>
      <c r="N841" s="989">
        <f>G841+M841</f>
        <v>273986.03999999998</v>
      </c>
      <c r="O841" s="989">
        <v>273986.03999999998</v>
      </c>
      <c r="P841" s="989">
        <v>0</v>
      </c>
      <c r="Q841" s="989">
        <f t="shared" si="92"/>
        <v>273986.03999999998</v>
      </c>
      <c r="R841" s="989">
        <f t="shared" si="94"/>
        <v>100</v>
      </c>
      <c r="S841" s="1011">
        <v>0</v>
      </c>
      <c r="T841" s="989">
        <f t="shared" si="88"/>
        <v>0</v>
      </c>
      <c r="U841" s="989">
        <f t="shared" si="93"/>
        <v>273986.03999999998</v>
      </c>
      <c r="V841" s="989">
        <f t="shared" si="95"/>
        <v>100</v>
      </c>
      <c r="W841" s="989"/>
      <c r="X841" s="989">
        <f t="shared" si="91"/>
        <v>0</v>
      </c>
      <c r="Y841" s="1012"/>
    </row>
    <row r="842" spans="1:25" ht="63" customHeight="1">
      <c r="A842" s="1006">
        <v>724</v>
      </c>
      <c r="B842" s="1007" t="s">
        <v>2485</v>
      </c>
      <c r="C842" s="1008"/>
      <c r="D842" s="1008" t="s">
        <v>4130</v>
      </c>
      <c r="E842" s="1007" t="s">
        <v>3123</v>
      </c>
      <c r="F842" s="1010" t="s">
        <v>558</v>
      </c>
      <c r="G842" s="989">
        <f>936000-160593</f>
        <v>775407</v>
      </c>
      <c r="H842" s="937"/>
      <c r="I842" s="1046"/>
      <c r="J842" s="1046"/>
      <c r="K842" s="1047"/>
      <c r="L842" s="1046"/>
      <c r="M842" s="1094">
        <f>-160593+160593</f>
        <v>0</v>
      </c>
      <c r="N842" s="989">
        <f>G842+M842</f>
        <v>775407</v>
      </c>
      <c r="O842" s="989">
        <v>775407</v>
      </c>
      <c r="P842" s="989">
        <v>0</v>
      </c>
      <c r="Q842" s="989">
        <f t="shared" si="92"/>
        <v>775407</v>
      </c>
      <c r="R842" s="989">
        <f t="shared" si="94"/>
        <v>100</v>
      </c>
      <c r="S842" s="1011">
        <v>0</v>
      </c>
      <c r="T842" s="989">
        <f t="shared" si="88"/>
        <v>0</v>
      </c>
      <c r="U842" s="989">
        <f t="shared" si="93"/>
        <v>775407</v>
      </c>
      <c r="V842" s="989">
        <f t="shared" si="95"/>
        <v>100</v>
      </c>
      <c r="W842" s="989"/>
      <c r="X842" s="989">
        <f t="shared" si="91"/>
        <v>0</v>
      </c>
      <c r="Y842" s="1012"/>
    </row>
    <row r="843" spans="1:25" ht="63" customHeight="1">
      <c r="A843" s="1006">
        <v>725</v>
      </c>
      <c r="B843" s="1007" t="s">
        <v>4527</v>
      </c>
      <c r="C843" s="1008"/>
      <c r="D843" s="1008" t="s">
        <v>4528</v>
      </c>
      <c r="E843" s="1007" t="s">
        <v>4405</v>
      </c>
      <c r="F843" s="1010" t="s">
        <v>558</v>
      </c>
      <c r="G843" s="989">
        <v>0</v>
      </c>
      <c r="H843" s="937"/>
      <c r="I843" s="1046"/>
      <c r="J843" s="1046"/>
      <c r="K843" s="1047"/>
      <c r="L843" s="1046"/>
      <c r="M843" s="1094"/>
      <c r="N843" s="989">
        <v>0</v>
      </c>
      <c r="O843" s="989">
        <v>0</v>
      </c>
      <c r="P843" s="989"/>
      <c r="Q843" s="989">
        <f t="shared" si="92"/>
        <v>0</v>
      </c>
      <c r="R843" s="989" t="e">
        <f t="shared" si="94"/>
        <v>#DIV/0!</v>
      </c>
      <c r="S843" s="1011"/>
      <c r="T843" s="989">
        <v>0</v>
      </c>
      <c r="U843" s="989">
        <f t="shared" si="93"/>
        <v>0</v>
      </c>
      <c r="V843" s="989">
        <v>0</v>
      </c>
      <c r="W843" s="989"/>
      <c r="X843" s="989">
        <f t="shared" si="91"/>
        <v>0</v>
      </c>
      <c r="Y843" s="1012"/>
    </row>
    <row r="844" spans="1:25" ht="63" customHeight="1">
      <c r="A844" s="1006">
        <v>726</v>
      </c>
      <c r="B844" s="1007" t="s">
        <v>2486</v>
      </c>
      <c r="C844" s="1008"/>
      <c r="D844" s="1008" t="s">
        <v>4131</v>
      </c>
      <c r="E844" s="1007" t="s">
        <v>3124</v>
      </c>
      <c r="F844" s="1010" t="s">
        <v>558</v>
      </c>
      <c r="G844" s="989">
        <f>208000-6600</f>
        <v>201400</v>
      </c>
      <c r="H844" s="937"/>
      <c r="I844" s="1046"/>
      <c r="J844" s="1046"/>
      <c r="K844" s="1047"/>
      <c r="L844" s="1046"/>
      <c r="M844" s="1094">
        <f>-6600+6600</f>
        <v>0</v>
      </c>
      <c r="N844" s="989">
        <f>G844+M844</f>
        <v>201400</v>
      </c>
      <c r="O844" s="989">
        <v>201400</v>
      </c>
      <c r="P844" s="989">
        <v>0</v>
      </c>
      <c r="Q844" s="989">
        <f t="shared" si="92"/>
        <v>201400</v>
      </c>
      <c r="R844" s="989">
        <f t="shared" si="94"/>
        <v>100</v>
      </c>
      <c r="S844" s="1011">
        <v>0</v>
      </c>
      <c r="T844" s="989">
        <f t="shared" si="88"/>
        <v>0</v>
      </c>
      <c r="U844" s="989">
        <f t="shared" si="93"/>
        <v>201400</v>
      </c>
      <c r="V844" s="989">
        <f t="shared" si="95"/>
        <v>100</v>
      </c>
      <c r="W844" s="989"/>
      <c r="X844" s="989">
        <f t="shared" si="91"/>
        <v>0</v>
      </c>
      <c r="Y844" s="1012"/>
    </row>
    <row r="845" spans="1:25" ht="63" customHeight="1">
      <c r="A845" s="1006">
        <v>727</v>
      </c>
      <c r="B845" s="1007" t="s">
        <v>2487</v>
      </c>
      <c r="C845" s="1008"/>
      <c r="D845" s="1008" t="s">
        <v>4132</v>
      </c>
      <c r="E845" s="1007" t="s">
        <v>2488</v>
      </c>
      <c r="F845" s="1010" t="s">
        <v>558</v>
      </c>
      <c r="G845" s="989">
        <f>208000-32195</f>
        <v>175805</v>
      </c>
      <c r="H845" s="937"/>
      <c r="I845" s="1046"/>
      <c r="J845" s="1046"/>
      <c r="K845" s="1047"/>
      <c r="L845" s="1046"/>
      <c r="M845" s="1094">
        <f>-32195+32195</f>
        <v>0</v>
      </c>
      <c r="N845" s="989">
        <f>G845+M845</f>
        <v>175805</v>
      </c>
      <c r="O845" s="989">
        <v>175805</v>
      </c>
      <c r="P845" s="989">
        <v>0</v>
      </c>
      <c r="Q845" s="989">
        <f t="shared" si="92"/>
        <v>175805</v>
      </c>
      <c r="R845" s="989">
        <f t="shared" si="94"/>
        <v>100</v>
      </c>
      <c r="S845" s="1011">
        <v>0</v>
      </c>
      <c r="T845" s="989">
        <f t="shared" si="88"/>
        <v>0</v>
      </c>
      <c r="U845" s="989">
        <f t="shared" si="93"/>
        <v>175805</v>
      </c>
      <c r="V845" s="989">
        <f t="shared" si="95"/>
        <v>100</v>
      </c>
      <c r="W845" s="989"/>
      <c r="X845" s="989">
        <f t="shared" si="91"/>
        <v>0</v>
      </c>
      <c r="Y845" s="1012"/>
    </row>
    <row r="846" spans="1:25" ht="63" customHeight="1">
      <c r="A846" s="1006">
        <v>728</v>
      </c>
      <c r="B846" s="1007" t="s">
        <v>2489</v>
      </c>
      <c r="C846" s="1008"/>
      <c r="D846" s="1008" t="s">
        <v>4133</v>
      </c>
      <c r="E846" s="1007" t="s">
        <v>2490</v>
      </c>
      <c r="F846" s="1010" t="s">
        <v>558</v>
      </c>
      <c r="G846" s="989">
        <v>1144000</v>
      </c>
      <c r="H846" s="937"/>
      <c r="I846" s="1046"/>
      <c r="J846" s="1046"/>
      <c r="K846" s="1047"/>
      <c r="L846" s="1046"/>
      <c r="M846" s="1094"/>
      <c r="N846" s="989">
        <v>1144000</v>
      </c>
      <c r="O846" s="989">
        <v>1144000</v>
      </c>
      <c r="P846" s="989"/>
      <c r="Q846" s="989">
        <f t="shared" si="92"/>
        <v>1144000</v>
      </c>
      <c r="R846" s="989">
        <f t="shared" si="94"/>
        <v>100</v>
      </c>
      <c r="S846" s="1011"/>
      <c r="T846" s="989">
        <f t="shared" si="88"/>
        <v>0</v>
      </c>
      <c r="U846" s="989">
        <f t="shared" si="93"/>
        <v>1144000</v>
      </c>
      <c r="V846" s="989">
        <f t="shared" si="95"/>
        <v>100</v>
      </c>
      <c r="W846" s="989"/>
      <c r="X846" s="989">
        <f t="shared" si="91"/>
        <v>0</v>
      </c>
      <c r="Y846" s="1012"/>
    </row>
    <row r="847" spans="1:25" ht="63" customHeight="1">
      <c r="A847" s="1006">
        <v>729</v>
      </c>
      <c r="B847" s="1007" t="s">
        <v>2491</v>
      </c>
      <c r="C847" s="1008"/>
      <c r="D847" s="1008" t="s">
        <v>4134</v>
      </c>
      <c r="E847" s="1007" t="s">
        <v>2492</v>
      </c>
      <c r="F847" s="1010" t="s">
        <v>558</v>
      </c>
      <c r="G847" s="989">
        <f>208000-10717</f>
        <v>197283</v>
      </c>
      <c r="H847" s="937"/>
      <c r="I847" s="1046"/>
      <c r="J847" s="1046"/>
      <c r="K847" s="1047"/>
      <c r="L847" s="1046"/>
      <c r="M847" s="1094">
        <f>-10717+10717</f>
        <v>0</v>
      </c>
      <c r="N847" s="989">
        <f>G847+M847</f>
        <v>197283</v>
      </c>
      <c r="O847" s="989">
        <v>197283</v>
      </c>
      <c r="P847" s="989">
        <v>0</v>
      </c>
      <c r="Q847" s="989">
        <f t="shared" si="92"/>
        <v>197283</v>
      </c>
      <c r="R847" s="989">
        <f t="shared" si="94"/>
        <v>100</v>
      </c>
      <c r="S847" s="1011">
        <v>0</v>
      </c>
      <c r="T847" s="989">
        <f t="shared" si="88"/>
        <v>0</v>
      </c>
      <c r="U847" s="989">
        <f t="shared" si="93"/>
        <v>197283</v>
      </c>
      <c r="V847" s="989">
        <f t="shared" si="95"/>
        <v>100</v>
      </c>
      <c r="W847" s="989"/>
      <c r="X847" s="989">
        <f t="shared" si="91"/>
        <v>0</v>
      </c>
      <c r="Y847" s="1012"/>
    </row>
    <row r="848" spans="1:25" ht="63" customHeight="1">
      <c r="A848" s="1006">
        <v>730</v>
      </c>
      <c r="B848" s="1007" t="s">
        <v>2493</v>
      </c>
      <c r="C848" s="1008"/>
      <c r="D848" s="1008" t="s">
        <v>4135</v>
      </c>
      <c r="E848" s="1007" t="s">
        <v>3125</v>
      </c>
      <c r="F848" s="1010" t="s">
        <v>558</v>
      </c>
      <c r="G848" s="989">
        <v>1040000</v>
      </c>
      <c r="H848" s="937"/>
      <c r="I848" s="1046"/>
      <c r="J848" s="1046"/>
      <c r="K848" s="1047">
        <v>-324461.21000000002</v>
      </c>
      <c r="L848" s="1046"/>
      <c r="M848" s="1094"/>
      <c r="N848" s="989">
        <f>1040000+M848+K848</f>
        <v>715538.79</v>
      </c>
      <c r="O848" s="989">
        <v>715538.79</v>
      </c>
      <c r="P848" s="989">
        <v>0</v>
      </c>
      <c r="Q848" s="989">
        <f t="shared" si="92"/>
        <v>715538.79</v>
      </c>
      <c r="R848" s="989">
        <f t="shared" si="94"/>
        <v>100</v>
      </c>
      <c r="S848" s="1011">
        <v>0</v>
      </c>
      <c r="T848" s="989">
        <f t="shared" si="88"/>
        <v>0</v>
      </c>
      <c r="U848" s="989">
        <f t="shared" si="93"/>
        <v>715538.79</v>
      </c>
      <c r="V848" s="989">
        <f t="shared" si="95"/>
        <v>100</v>
      </c>
      <c r="W848" s="989"/>
      <c r="X848" s="989">
        <f t="shared" si="91"/>
        <v>0</v>
      </c>
      <c r="Y848" s="1012"/>
    </row>
    <row r="849" spans="1:25" ht="63" customHeight="1">
      <c r="A849" s="1006">
        <v>731</v>
      </c>
      <c r="B849" s="1007" t="s">
        <v>2494</v>
      </c>
      <c r="C849" s="1008"/>
      <c r="D849" s="1008" t="s">
        <v>4136</v>
      </c>
      <c r="E849" s="1007" t="s">
        <v>2495</v>
      </c>
      <c r="F849" s="1010" t="s">
        <v>558</v>
      </c>
      <c r="G849" s="989">
        <f>104000-1921.68</f>
        <v>102078.32</v>
      </c>
      <c r="H849" s="937"/>
      <c r="I849" s="1046"/>
      <c r="J849" s="1046"/>
      <c r="K849" s="1047"/>
      <c r="L849" s="1046"/>
      <c r="M849" s="1094">
        <f>-1921.68+1921.68</f>
        <v>0</v>
      </c>
      <c r="N849" s="989">
        <f>G849+M849</f>
        <v>102078.32</v>
      </c>
      <c r="O849" s="989">
        <v>102078.32</v>
      </c>
      <c r="P849" s="989">
        <v>0</v>
      </c>
      <c r="Q849" s="989">
        <f t="shared" si="92"/>
        <v>102078.32</v>
      </c>
      <c r="R849" s="989">
        <f t="shared" si="94"/>
        <v>100</v>
      </c>
      <c r="S849" s="1011">
        <v>0</v>
      </c>
      <c r="T849" s="989">
        <f t="shared" si="88"/>
        <v>0</v>
      </c>
      <c r="U849" s="989">
        <f t="shared" si="93"/>
        <v>102078.32</v>
      </c>
      <c r="V849" s="989">
        <f t="shared" si="95"/>
        <v>100</v>
      </c>
      <c r="W849" s="989"/>
      <c r="X849" s="989">
        <f t="shared" si="91"/>
        <v>0</v>
      </c>
      <c r="Y849" s="1012"/>
    </row>
    <row r="850" spans="1:25" ht="63" customHeight="1">
      <c r="A850" s="1006">
        <v>732</v>
      </c>
      <c r="B850" s="1007" t="s">
        <v>2496</v>
      </c>
      <c r="C850" s="1008"/>
      <c r="D850" s="1008" t="s">
        <v>4137</v>
      </c>
      <c r="E850" s="1007" t="s">
        <v>3126</v>
      </c>
      <c r="F850" s="1010" t="s">
        <v>558</v>
      </c>
      <c r="G850" s="989">
        <f>416000-92029.08</f>
        <v>323970.92</v>
      </c>
      <c r="H850" s="937"/>
      <c r="I850" s="1046"/>
      <c r="J850" s="1046"/>
      <c r="K850" s="1047"/>
      <c r="L850" s="1046"/>
      <c r="M850" s="1094">
        <f>-92029.08+92029.08</f>
        <v>0</v>
      </c>
      <c r="N850" s="989">
        <f>G850+M850</f>
        <v>323970.92</v>
      </c>
      <c r="O850" s="989">
        <v>323970.92</v>
      </c>
      <c r="P850" s="989">
        <v>0</v>
      </c>
      <c r="Q850" s="989">
        <f t="shared" si="92"/>
        <v>323970.92</v>
      </c>
      <c r="R850" s="989">
        <f t="shared" si="94"/>
        <v>100</v>
      </c>
      <c r="S850" s="1011">
        <v>0</v>
      </c>
      <c r="T850" s="989">
        <f t="shared" si="88"/>
        <v>0</v>
      </c>
      <c r="U850" s="989">
        <f t="shared" si="93"/>
        <v>323970.92</v>
      </c>
      <c r="V850" s="989">
        <f t="shared" si="95"/>
        <v>100</v>
      </c>
      <c r="W850" s="989"/>
      <c r="X850" s="989">
        <f t="shared" si="91"/>
        <v>0</v>
      </c>
      <c r="Y850" s="1012"/>
    </row>
    <row r="851" spans="1:25" ht="63" customHeight="1">
      <c r="A851" s="1006">
        <v>733</v>
      </c>
      <c r="B851" s="1007" t="s">
        <v>2497</v>
      </c>
      <c r="C851" s="1008"/>
      <c r="D851" s="1008" t="s">
        <v>4138</v>
      </c>
      <c r="E851" s="1007" t="s">
        <v>3127</v>
      </c>
      <c r="F851" s="1010" t="s">
        <v>558</v>
      </c>
      <c r="G851" s="989">
        <f>520000-17773.46</f>
        <v>502226.54</v>
      </c>
      <c r="H851" s="937"/>
      <c r="I851" s="1046"/>
      <c r="J851" s="1046"/>
      <c r="K851" s="1047"/>
      <c r="L851" s="1046"/>
      <c r="M851" s="1094">
        <f>-17773.46+17773.46</f>
        <v>0</v>
      </c>
      <c r="N851" s="989">
        <f>G851+M851</f>
        <v>502226.54</v>
      </c>
      <c r="O851" s="989">
        <v>502226.54</v>
      </c>
      <c r="P851" s="989">
        <v>0</v>
      </c>
      <c r="Q851" s="989">
        <f t="shared" si="92"/>
        <v>502226.54</v>
      </c>
      <c r="R851" s="989">
        <f t="shared" si="94"/>
        <v>100</v>
      </c>
      <c r="S851" s="1011">
        <v>0</v>
      </c>
      <c r="T851" s="989">
        <f t="shared" si="88"/>
        <v>0</v>
      </c>
      <c r="U851" s="989">
        <f t="shared" si="93"/>
        <v>502226.54</v>
      </c>
      <c r="V851" s="989">
        <f t="shared" si="95"/>
        <v>100</v>
      </c>
      <c r="W851" s="989"/>
      <c r="X851" s="989">
        <f t="shared" si="91"/>
        <v>0</v>
      </c>
      <c r="Y851" s="1012"/>
    </row>
    <row r="852" spans="1:25" ht="63" customHeight="1">
      <c r="A852" s="1006">
        <v>734</v>
      </c>
      <c r="B852" s="1007" t="s">
        <v>2498</v>
      </c>
      <c r="C852" s="1008"/>
      <c r="D852" s="1008" t="s">
        <v>4139</v>
      </c>
      <c r="E852" s="1007" t="s">
        <v>3128</v>
      </c>
      <c r="F852" s="1010" t="s">
        <v>558</v>
      </c>
      <c r="G852" s="989">
        <f>416000-41070.3</f>
        <v>374929.7</v>
      </c>
      <c r="H852" s="937"/>
      <c r="I852" s="1046"/>
      <c r="J852" s="1046"/>
      <c r="K852" s="1047"/>
      <c r="L852" s="1046"/>
      <c r="M852" s="1094">
        <f>-41070.3+41070.3</f>
        <v>0</v>
      </c>
      <c r="N852" s="989">
        <f>G852+M852</f>
        <v>374929.7</v>
      </c>
      <c r="O852" s="989">
        <v>374929.7</v>
      </c>
      <c r="P852" s="989">
        <v>0</v>
      </c>
      <c r="Q852" s="989">
        <f t="shared" si="92"/>
        <v>374929.7</v>
      </c>
      <c r="R852" s="989">
        <f t="shared" si="94"/>
        <v>100</v>
      </c>
      <c r="S852" s="1011">
        <v>0</v>
      </c>
      <c r="T852" s="989">
        <f t="shared" si="88"/>
        <v>0</v>
      </c>
      <c r="U852" s="989">
        <f t="shared" si="93"/>
        <v>374929.7</v>
      </c>
      <c r="V852" s="989">
        <f t="shared" si="95"/>
        <v>100</v>
      </c>
      <c r="W852" s="989"/>
      <c r="X852" s="989">
        <f t="shared" si="91"/>
        <v>0</v>
      </c>
      <c r="Y852" s="1012"/>
    </row>
    <row r="853" spans="1:25" ht="63" customHeight="1">
      <c r="A853" s="1006">
        <v>735</v>
      </c>
      <c r="B853" s="1007" t="s">
        <v>2499</v>
      </c>
      <c r="C853" s="1008"/>
      <c r="D853" s="1008" t="s">
        <v>4140</v>
      </c>
      <c r="E853" s="1007" t="s">
        <v>2500</v>
      </c>
      <c r="F853" s="1010" t="s">
        <v>579</v>
      </c>
      <c r="G853" s="989">
        <f>208000-33164</f>
        <v>174836</v>
      </c>
      <c r="H853" s="937"/>
      <c r="I853" s="1046"/>
      <c r="J853" s="1046"/>
      <c r="K853" s="1047"/>
      <c r="L853" s="1046"/>
      <c r="M853" s="1094">
        <f>-33164+33164</f>
        <v>0</v>
      </c>
      <c r="N853" s="989">
        <f>G853+M853</f>
        <v>174836</v>
      </c>
      <c r="O853" s="989">
        <v>0</v>
      </c>
      <c r="P853" s="989">
        <v>174836</v>
      </c>
      <c r="Q853" s="989">
        <f t="shared" si="92"/>
        <v>174836</v>
      </c>
      <c r="R853" s="989">
        <f t="shared" si="94"/>
        <v>100</v>
      </c>
      <c r="S853" s="1011">
        <v>0</v>
      </c>
      <c r="T853" s="989">
        <f t="shared" si="88"/>
        <v>0</v>
      </c>
      <c r="U853" s="989">
        <f t="shared" si="93"/>
        <v>174836</v>
      </c>
      <c r="V853" s="989">
        <f t="shared" si="95"/>
        <v>100</v>
      </c>
      <c r="W853" s="989"/>
      <c r="X853" s="989">
        <f t="shared" si="91"/>
        <v>0</v>
      </c>
      <c r="Y853" s="1012"/>
    </row>
    <row r="854" spans="1:25" ht="63" customHeight="1">
      <c r="A854" s="1006">
        <v>736</v>
      </c>
      <c r="B854" s="1007" t="s">
        <v>2501</v>
      </c>
      <c r="C854" s="1008"/>
      <c r="D854" s="1008" t="s">
        <v>4141</v>
      </c>
      <c r="E854" s="1007" t="s">
        <v>3369</v>
      </c>
      <c r="F854" s="1010" t="s">
        <v>543</v>
      </c>
      <c r="G854" s="989">
        <v>520000</v>
      </c>
      <c r="H854" s="937"/>
      <c r="I854" s="1046"/>
      <c r="J854" s="1046"/>
      <c r="K854" s="1047"/>
      <c r="L854" s="1046"/>
      <c r="M854" s="1094">
        <v>-42389.51</v>
      </c>
      <c r="N854" s="989">
        <f>520000+M854</f>
        <v>477610.49</v>
      </c>
      <c r="O854" s="989">
        <v>0</v>
      </c>
      <c r="P854" s="989">
        <v>373610.49</v>
      </c>
      <c r="Q854" s="989">
        <f t="shared" si="92"/>
        <v>373610.49</v>
      </c>
      <c r="R854" s="989">
        <f t="shared" si="94"/>
        <v>78.224933878650788</v>
      </c>
      <c r="S854" s="1011">
        <v>104000</v>
      </c>
      <c r="T854" s="989">
        <f t="shared" si="88"/>
        <v>21.775066121349219</v>
      </c>
      <c r="U854" s="989">
        <f t="shared" si="93"/>
        <v>477610.49</v>
      </c>
      <c r="V854" s="989">
        <f t="shared" si="95"/>
        <v>100</v>
      </c>
      <c r="W854" s="989"/>
      <c r="X854" s="989">
        <f t="shared" si="91"/>
        <v>0</v>
      </c>
      <c r="Y854" s="1012"/>
    </row>
    <row r="855" spans="1:25" ht="63" customHeight="1">
      <c r="A855" s="1006">
        <v>737</v>
      </c>
      <c r="B855" s="1007" t="s">
        <v>2502</v>
      </c>
      <c r="C855" s="1008"/>
      <c r="D855" s="1008" t="s">
        <v>4142</v>
      </c>
      <c r="E855" s="1007" t="s">
        <v>3286</v>
      </c>
      <c r="F855" s="1010" t="s">
        <v>543</v>
      </c>
      <c r="G855" s="989">
        <f>208000-24550</f>
        <v>183450</v>
      </c>
      <c r="H855" s="937"/>
      <c r="I855" s="1046"/>
      <c r="J855" s="1046"/>
      <c r="K855" s="1047"/>
      <c r="L855" s="1046"/>
      <c r="M855" s="1094">
        <v>-39420</v>
      </c>
      <c r="N855" s="989">
        <f>G855+M855</f>
        <v>144030</v>
      </c>
      <c r="O855" s="989">
        <v>0</v>
      </c>
      <c r="P855" s="989">
        <v>144030</v>
      </c>
      <c r="Q855" s="989">
        <f t="shared" si="92"/>
        <v>144030</v>
      </c>
      <c r="R855" s="989">
        <f t="shared" si="94"/>
        <v>100</v>
      </c>
      <c r="S855" s="1011">
        <v>0</v>
      </c>
      <c r="T855" s="989">
        <f t="shared" si="88"/>
        <v>0</v>
      </c>
      <c r="U855" s="989">
        <f t="shared" si="93"/>
        <v>144030</v>
      </c>
      <c r="V855" s="989">
        <f t="shared" si="95"/>
        <v>100</v>
      </c>
      <c r="W855" s="989"/>
      <c r="X855" s="989">
        <f t="shared" si="91"/>
        <v>0</v>
      </c>
      <c r="Y855" s="1012"/>
    </row>
    <row r="856" spans="1:25" ht="63" customHeight="1">
      <c r="A856" s="1006">
        <v>738</v>
      </c>
      <c r="B856" s="1007" t="s">
        <v>4529</v>
      </c>
      <c r="C856" s="1008"/>
      <c r="D856" s="1008" t="s">
        <v>4530</v>
      </c>
      <c r="E856" s="1007" t="s">
        <v>4406</v>
      </c>
      <c r="F856" s="1010" t="s">
        <v>543</v>
      </c>
      <c r="G856" s="989">
        <v>0</v>
      </c>
      <c r="H856" s="937"/>
      <c r="I856" s="1046"/>
      <c r="J856" s="1046"/>
      <c r="K856" s="1047"/>
      <c r="L856" s="1046"/>
      <c r="M856" s="1094"/>
      <c r="N856" s="989">
        <v>0</v>
      </c>
      <c r="O856" s="989">
        <v>0</v>
      </c>
      <c r="P856" s="989"/>
      <c r="Q856" s="989">
        <f t="shared" si="92"/>
        <v>0</v>
      </c>
      <c r="R856" s="989" t="e">
        <f t="shared" si="94"/>
        <v>#DIV/0!</v>
      </c>
      <c r="S856" s="1011"/>
      <c r="T856" s="989"/>
      <c r="U856" s="989">
        <f t="shared" si="93"/>
        <v>0</v>
      </c>
      <c r="V856" s="989"/>
      <c r="W856" s="989"/>
      <c r="X856" s="989">
        <f t="shared" si="91"/>
        <v>0</v>
      </c>
      <c r="Y856" s="1012"/>
    </row>
    <row r="857" spans="1:25" ht="63" customHeight="1">
      <c r="A857" s="1006">
        <v>739</v>
      </c>
      <c r="B857" s="1007" t="s">
        <v>2503</v>
      </c>
      <c r="C857" s="1008"/>
      <c r="D857" s="1008" t="s">
        <v>4143</v>
      </c>
      <c r="E857" s="1007" t="s">
        <v>2504</v>
      </c>
      <c r="F857" s="1010" t="s">
        <v>543</v>
      </c>
      <c r="G857" s="989">
        <v>104000</v>
      </c>
      <c r="H857" s="937"/>
      <c r="I857" s="1046"/>
      <c r="J857" s="1046"/>
      <c r="K857" s="1047"/>
      <c r="L857" s="1046"/>
      <c r="M857" s="1094"/>
      <c r="N857" s="989">
        <v>104000</v>
      </c>
      <c r="O857" s="989">
        <v>0</v>
      </c>
      <c r="P857" s="989">
        <v>104000</v>
      </c>
      <c r="Q857" s="989">
        <f t="shared" si="92"/>
        <v>104000</v>
      </c>
      <c r="R857" s="989">
        <f t="shared" si="94"/>
        <v>100</v>
      </c>
      <c r="S857" s="1011">
        <v>0</v>
      </c>
      <c r="T857" s="989">
        <f t="shared" si="88"/>
        <v>0</v>
      </c>
      <c r="U857" s="989">
        <f t="shared" si="93"/>
        <v>104000</v>
      </c>
      <c r="V857" s="989">
        <f t="shared" si="95"/>
        <v>100</v>
      </c>
      <c r="W857" s="989"/>
      <c r="X857" s="989">
        <f t="shared" si="91"/>
        <v>0</v>
      </c>
      <c r="Y857" s="1012"/>
    </row>
    <row r="858" spans="1:25" ht="63" customHeight="1">
      <c r="A858" s="1006">
        <v>740</v>
      </c>
      <c r="B858" s="1007" t="s">
        <v>2505</v>
      </c>
      <c r="C858" s="1008"/>
      <c r="D858" s="1008" t="s">
        <v>4144</v>
      </c>
      <c r="E858" s="1007" t="s">
        <v>3287</v>
      </c>
      <c r="F858" s="1010" t="s">
        <v>543</v>
      </c>
      <c r="G858" s="989">
        <v>104000</v>
      </c>
      <c r="H858" s="937"/>
      <c r="I858" s="1046"/>
      <c r="J858" s="1046"/>
      <c r="K858" s="1047"/>
      <c r="L858" s="1046"/>
      <c r="M858" s="1094"/>
      <c r="N858" s="989">
        <v>104000</v>
      </c>
      <c r="O858" s="989">
        <v>0</v>
      </c>
      <c r="P858" s="989">
        <v>104000</v>
      </c>
      <c r="Q858" s="989">
        <f t="shared" si="92"/>
        <v>104000</v>
      </c>
      <c r="R858" s="989">
        <f t="shared" si="94"/>
        <v>100</v>
      </c>
      <c r="S858" s="1011">
        <v>0</v>
      </c>
      <c r="T858" s="989">
        <f t="shared" si="88"/>
        <v>0</v>
      </c>
      <c r="U858" s="989">
        <f t="shared" si="93"/>
        <v>104000</v>
      </c>
      <c r="V858" s="989">
        <f t="shared" si="95"/>
        <v>100</v>
      </c>
      <c r="W858" s="989"/>
      <c r="X858" s="989">
        <f t="shared" si="91"/>
        <v>0</v>
      </c>
      <c r="Y858" s="1012"/>
    </row>
    <row r="859" spans="1:25" ht="63" customHeight="1">
      <c r="A859" s="1006">
        <v>741</v>
      </c>
      <c r="B859" s="1007" t="s">
        <v>2506</v>
      </c>
      <c r="C859" s="1008"/>
      <c r="D859" s="1008" t="s">
        <v>4145</v>
      </c>
      <c r="E859" s="1007" t="s">
        <v>2507</v>
      </c>
      <c r="F859" s="1010" t="s">
        <v>2978</v>
      </c>
      <c r="G859" s="989">
        <f>104000-16600</f>
        <v>87400</v>
      </c>
      <c r="H859" s="937"/>
      <c r="I859" s="1046"/>
      <c r="J859" s="1046"/>
      <c r="K859" s="1047"/>
      <c r="L859" s="1046"/>
      <c r="M859" s="1094">
        <f>-16600+16600</f>
        <v>0</v>
      </c>
      <c r="N859" s="989">
        <f>G859+M859</f>
        <v>87400</v>
      </c>
      <c r="O859" s="989">
        <v>0</v>
      </c>
      <c r="P859" s="989">
        <v>87400</v>
      </c>
      <c r="Q859" s="989">
        <f t="shared" si="92"/>
        <v>87400</v>
      </c>
      <c r="R859" s="989">
        <f t="shared" si="94"/>
        <v>100</v>
      </c>
      <c r="S859" s="1011">
        <v>0</v>
      </c>
      <c r="T859" s="989">
        <f t="shared" si="88"/>
        <v>0</v>
      </c>
      <c r="U859" s="989">
        <f t="shared" si="93"/>
        <v>87400</v>
      </c>
      <c r="V859" s="989">
        <f t="shared" si="95"/>
        <v>100</v>
      </c>
      <c r="W859" s="989"/>
      <c r="X859" s="989">
        <f t="shared" si="91"/>
        <v>0</v>
      </c>
      <c r="Y859" s="1012"/>
    </row>
    <row r="860" spans="1:25" ht="63" customHeight="1">
      <c r="A860" s="1006">
        <v>742</v>
      </c>
      <c r="B860" s="1007" t="s">
        <v>2508</v>
      </c>
      <c r="C860" s="1008"/>
      <c r="D860" s="1008" t="s">
        <v>4146</v>
      </c>
      <c r="E860" s="1007" t="s">
        <v>2509</v>
      </c>
      <c r="F860" s="1010" t="s">
        <v>2978</v>
      </c>
      <c r="G860" s="989">
        <f>208000-9614.16</f>
        <v>198385.84</v>
      </c>
      <c r="H860" s="937"/>
      <c r="I860" s="1046"/>
      <c r="J860" s="1046"/>
      <c r="K860" s="1047"/>
      <c r="L860" s="1046"/>
      <c r="M860" s="1094">
        <f>-9614.16+9614.16</f>
        <v>0</v>
      </c>
      <c r="N860" s="989">
        <f>G860+M860</f>
        <v>198385.84</v>
      </c>
      <c r="O860" s="989">
        <v>0</v>
      </c>
      <c r="P860" s="989">
        <v>198385.84</v>
      </c>
      <c r="Q860" s="989">
        <f t="shared" si="92"/>
        <v>198385.84</v>
      </c>
      <c r="R860" s="989">
        <f t="shared" si="94"/>
        <v>100</v>
      </c>
      <c r="S860" s="1011">
        <v>0</v>
      </c>
      <c r="T860" s="989">
        <f t="shared" si="88"/>
        <v>0</v>
      </c>
      <c r="U860" s="989">
        <f t="shared" si="93"/>
        <v>198385.84</v>
      </c>
      <c r="V860" s="989">
        <f t="shared" si="95"/>
        <v>100</v>
      </c>
      <c r="W860" s="989"/>
      <c r="X860" s="989">
        <f t="shared" si="91"/>
        <v>0</v>
      </c>
      <c r="Y860" s="1012"/>
    </row>
    <row r="861" spans="1:25" ht="63" customHeight="1">
      <c r="A861" s="1006">
        <v>743</v>
      </c>
      <c r="B861" s="1007" t="s">
        <v>2510</v>
      </c>
      <c r="C861" s="1008"/>
      <c r="D861" s="1008" t="s">
        <v>4147</v>
      </c>
      <c r="E861" s="1007" t="s">
        <v>2511</v>
      </c>
      <c r="F861" s="1010" t="s">
        <v>2978</v>
      </c>
      <c r="G861" s="989">
        <f>104000-67000</f>
        <v>37000</v>
      </c>
      <c r="H861" s="937"/>
      <c r="I861" s="1046"/>
      <c r="J861" s="1046"/>
      <c r="K861" s="1047"/>
      <c r="L861" s="1046"/>
      <c r="M861" s="1094">
        <f>-67000+67000</f>
        <v>0</v>
      </c>
      <c r="N861" s="989">
        <f>G861+M861</f>
        <v>37000</v>
      </c>
      <c r="O861" s="989">
        <v>0</v>
      </c>
      <c r="P861" s="989">
        <v>37000</v>
      </c>
      <c r="Q861" s="989">
        <f t="shared" si="92"/>
        <v>37000</v>
      </c>
      <c r="R861" s="989">
        <f t="shared" si="94"/>
        <v>100</v>
      </c>
      <c r="S861" s="1011">
        <v>0</v>
      </c>
      <c r="T861" s="989">
        <f t="shared" si="88"/>
        <v>0</v>
      </c>
      <c r="U861" s="989">
        <f t="shared" si="93"/>
        <v>37000</v>
      </c>
      <c r="V861" s="989">
        <f t="shared" si="95"/>
        <v>100</v>
      </c>
      <c r="W861" s="989"/>
      <c r="X861" s="989">
        <f t="shared" si="91"/>
        <v>0</v>
      </c>
      <c r="Y861" s="1012"/>
    </row>
    <row r="862" spans="1:25" ht="63" customHeight="1">
      <c r="A862" s="1006">
        <v>744</v>
      </c>
      <c r="B862" s="1007" t="s">
        <v>2512</v>
      </c>
      <c r="C862" s="1008"/>
      <c r="D862" s="1008" t="s">
        <v>4148</v>
      </c>
      <c r="E862" s="1007" t="s">
        <v>2513</v>
      </c>
      <c r="F862" s="1010" t="s">
        <v>2978</v>
      </c>
      <c r="G862" s="989">
        <v>104000</v>
      </c>
      <c r="H862" s="937"/>
      <c r="I862" s="1046"/>
      <c r="J862" s="1046"/>
      <c r="K862" s="1047"/>
      <c r="L862" s="1046"/>
      <c r="M862" s="1094"/>
      <c r="N862" s="989">
        <v>104000</v>
      </c>
      <c r="O862" s="989">
        <v>0</v>
      </c>
      <c r="P862" s="989">
        <v>104000</v>
      </c>
      <c r="Q862" s="989">
        <f t="shared" si="92"/>
        <v>104000</v>
      </c>
      <c r="R862" s="989">
        <f t="shared" si="94"/>
        <v>100</v>
      </c>
      <c r="S862" s="1011">
        <v>0</v>
      </c>
      <c r="T862" s="989">
        <f t="shared" si="88"/>
        <v>0</v>
      </c>
      <c r="U862" s="989">
        <f t="shared" si="93"/>
        <v>104000</v>
      </c>
      <c r="V862" s="989">
        <f t="shared" si="95"/>
        <v>100</v>
      </c>
      <c r="W862" s="989"/>
      <c r="X862" s="989">
        <f t="shared" si="91"/>
        <v>0</v>
      </c>
      <c r="Y862" s="1012"/>
    </row>
    <row r="863" spans="1:25" ht="63" customHeight="1">
      <c r="A863" s="1006">
        <v>745</v>
      </c>
      <c r="B863" s="1007" t="s">
        <v>2514</v>
      </c>
      <c r="C863" s="1008"/>
      <c r="D863" s="1008" t="s">
        <v>4149</v>
      </c>
      <c r="E863" s="1007" t="s">
        <v>3178</v>
      </c>
      <c r="F863" s="1010" t="s">
        <v>358</v>
      </c>
      <c r="G863" s="989">
        <v>208000</v>
      </c>
      <c r="H863" s="937"/>
      <c r="I863" s="1046"/>
      <c r="J863" s="1046"/>
      <c r="K863" s="1047"/>
      <c r="L863" s="1046"/>
      <c r="M863" s="1094"/>
      <c r="N863" s="989">
        <v>208000</v>
      </c>
      <c r="O863" s="989">
        <v>0</v>
      </c>
      <c r="P863" s="989">
        <v>208000</v>
      </c>
      <c r="Q863" s="989">
        <f t="shared" si="92"/>
        <v>208000</v>
      </c>
      <c r="R863" s="989">
        <f t="shared" si="94"/>
        <v>100</v>
      </c>
      <c r="S863" s="1011">
        <v>0</v>
      </c>
      <c r="T863" s="989">
        <f t="shared" si="88"/>
        <v>0</v>
      </c>
      <c r="U863" s="989">
        <f t="shared" si="93"/>
        <v>208000</v>
      </c>
      <c r="V863" s="989">
        <f t="shared" si="95"/>
        <v>100</v>
      </c>
      <c r="W863" s="989"/>
      <c r="X863" s="989">
        <f t="shared" si="91"/>
        <v>0</v>
      </c>
      <c r="Y863" s="1012"/>
    </row>
    <row r="864" spans="1:25" ht="63" customHeight="1">
      <c r="A864" s="1006">
        <v>746</v>
      </c>
      <c r="B864" s="1007" t="s">
        <v>2515</v>
      </c>
      <c r="C864" s="1008"/>
      <c r="D864" s="1008" t="s">
        <v>4150</v>
      </c>
      <c r="E864" s="1007" t="s">
        <v>2516</v>
      </c>
      <c r="F864" s="1010" t="s">
        <v>358</v>
      </c>
      <c r="G864" s="989">
        <v>104000</v>
      </c>
      <c r="H864" s="937"/>
      <c r="I864" s="1046"/>
      <c r="J864" s="1046"/>
      <c r="K864" s="1047"/>
      <c r="L864" s="1046"/>
      <c r="M864" s="1094"/>
      <c r="N864" s="989">
        <v>104000</v>
      </c>
      <c r="O864" s="989">
        <v>0</v>
      </c>
      <c r="P864" s="989">
        <v>104000</v>
      </c>
      <c r="Q864" s="989">
        <f t="shared" si="92"/>
        <v>104000</v>
      </c>
      <c r="R864" s="989">
        <f t="shared" si="94"/>
        <v>100</v>
      </c>
      <c r="S864" s="1011">
        <v>0</v>
      </c>
      <c r="T864" s="989">
        <f t="shared" ref="T864:T927" si="96">S864/N864*100</f>
        <v>0</v>
      </c>
      <c r="U864" s="989">
        <f t="shared" si="93"/>
        <v>104000</v>
      </c>
      <c r="V864" s="989">
        <f t="shared" si="95"/>
        <v>100</v>
      </c>
      <c r="W864" s="989"/>
      <c r="X864" s="989">
        <f t="shared" si="91"/>
        <v>0</v>
      </c>
      <c r="Y864" s="1012"/>
    </row>
    <row r="865" spans="1:25" ht="63" customHeight="1">
      <c r="A865" s="1006">
        <v>747</v>
      </c>
      <c r="B865" s="1007" t="s">
        <v>2517</v>
      </c>
      <c r="C865" s="1008"/>
      <c r="D865" s="1008" t="s">
        <v>4151</v>
      </c>
      <c r="E865" s="1007" t="s">
        <v>3179</v>
      </c>
      <c r="F865" s="1010" t="s">
        <v>358</v>
      </c>
      <c r="G865" s="989">
        <f>416000-91640.48</f>
        <v>324359.52</v>
      </c>
      <c r="H865" s="937"/>
      <c r="I865" s="1046"/>
      <c r="J865" s="1046"/>
      <c r="K865" s="1047"/>
      <c r="L865" s="1046"/>
      <c r="M865" s="1094">
        <f>-91640.48+91640.48</f>
        <v>0</v>
      </c>
      <c r="N865" s="989">
        <f>G865+M865</f>
        <v>324359.52</v>
      </c>
      <c r="O865" s="989">
        <v>0</v>
      </c>
      <c r="P865" s="989">
        <v>324359.52</v>
      </c>
      <c r="Q865" s="989">
        <f t="shared" si="92"/>
        <v>324359.52</v>
      </c>
      <c r="R865" s="989">
        <f t="shared" si="94"/>
        <v>100</v>
      </c>
      <c r="S865" s="1011">
        <v>0</v>
      </c>
      <c r="T865" s="989">
        <f t="shared" si="96"/>
        <v>0</v>
      </c>
      <c r="U865" s="989">
        <f t="shared" si="93"/>
        <v>324359.52</v>
      </c>
      <c r="V865" s="989">
        <f t="shared" si="95"/>
        <v>100</v>
      </c>
      <c r="W865" s="989"/>
      <c r="X865" s="989">
        <f t="shared" si="91"/>
        <v>0</v>
      </c>
      <c r="Y865" s="1012"/>
    </row>
    <row r="866" spans="1:25" ht="63" customHeight="1">
      <c r="A866" s="1006">
        <v>748</v>
      </c>
      <c r="B866" s="1007" t="s">
        <v>2518</v>
      </c>
      <c r="C866" s="1008"/>
      <c r="D866" s="1008" t="s">
        <v>4152</v>
      </c>
      <c r="E866" s="1007" t="s">
        <v>3180</v>
      </c>
      <c r="F866" s="1010" t="s">
        <v>358</v>
      </c>
      <c r="G866" s="989">
        <f>208000-14440.14</f>
        <v>193559.86</v>
      </c>
      <c r="H866" s="937"/>
      <c r="I866" s="1046"/>
      <c r="J866" s="1046"/>
      <c r="K866" s="1047"/>
      <c r="L866" s="1046"/>
      <c r="M866" s="1094">
        <f>-14440.14+14440.14</f>
        <v>0</v>
      </c>
      <c r="N866" s="989">
        <f>G866+M866</f>
        <v>193559.86</v>
      </c>
      <c r="O866" s="989">
        <v>0</v>
      </c>
      <c r="P866" s="989">
        <v>193559.86</v>
      </c>
      <c r="Q866" s="989">
        <f t="shared" si="92"/>
        <v>193559.86</v>
      </c>
      <c r="R866" s="989">
        <f t="shared" si="94"/>
        <v>100</v>
      </c>
      <c r="S866" s="1011">
        <v>0</v>
      </c>
      <c r="T866" s="989">
        <f t="shared" si="96"/>
        <v>0</v>
      </c>
      <c r="U866" s="989">
        <f t="shared" si="93"/>
        <v>193559.86</v>
      </c>
      <c r="V866" s="989">
        <f t="shared" si="95"/>
        <v>100</v>
      </c>
      <c r="W866" s="989"/>
      <c r="X866" s="989">
        <f t="shared" si="91"/>
        <v>0</v>
      </c>
      <c r="Y866" s="1012"/>
    </row>
    <row r="867" spans="1:25" ht="63" customHeight="1">
      <c r="A867" s="1006">
        <v>749</v>
      </c>
      <c r="B867" s="1007" t="s">
        <v>2519</v>
      </c>
      <c r="C867" s="1008"/>
      <c r="D867" s="1008" t="s">
        <v>4153</v>
      </c>
      <c r="E867" s="1007" t="s">
        <v>3181</v>
      </c>
      <c r="F867" s="1010" t="s">
        <v>358</v>
      </c>
      <c r="G867" s="989">
        <v>520000</v>
      </c>
      <c r="H867" s="937"/>
      <c r="I867" s="1046"/>
      <c r="J867" s="1046"/>
      <c r="K867" s="1047"/>
      <c r="L867" s="1046"/>
      <c r="M867" s="1094"/>
      <c r="N867" s="989">
        <v>520000</v>
      </c>
      <c r="O867" s="989">
        <v>0</v>
      </c>
      <c r="P867" s="989">
        <v>520000</v>
      </c>
      <c r="Q867" s="989">
        <f t="shared" si="92"/>
        <v>520000</v>
      </c>
      <c r="R867" s="989">
        <f t="shared" si="94"/>
        <v>100</v>
      </c>
      <c r="S867" s="1011">
        <v>0</v>
      </c>
      <c r="T867" s="989">
        <f t="shared" si="96"/>
        <v>0</v>
      </c>
      <c r="U867" s="989">
        <f t="shared" si="93"/>
        <v>520000</v>
      </c>
      <c r="V867" s="989">
        <f t="shared" si="95"/>
        <v>100</v>
      </c>
      <c r="W867" s="989"/>
      <c r="X867" s="989">
        <f t="shared" si="91"/>
        <v>0</v>
      </c>
      <c r="Y867" s="1012"/>
    </row>
    <row r="868" spans="1:25" ht="63" customHeight="1">
      <c r="A868" s="1006">
        <v>750</v>
      </c>
      <c r="B868" s="1007" t="s">
        <v>2520</v>
      </c>
      <c r="C868" s="1008"/>
      <c r="D868" s="1008" t="s">
        <v>4154</v>
      </c>
      <c r="E868" s="1007" t="s">
        <v>2521</v>
      </c>
      <c r="F868" s="1010" t="s">
        <v>358</v>
      </c>
      <c r="G868" s="989">
        <f>104000-11300</f>
        <v>92700</v>
      </c>
      <c r="H868" s="937"/>
      <c r="I868" s="1046"/>
      <c r="J868" s="1046"/>
      <c r="K868" s="1047"/>
      <c r="L868" s="1046"/>
      <c r="M868" s="1094">
        <f>-11300+11300</f>
        <v>0</v>
      </c>
      <c r="N868" s="989">
        <f>G868+M868</f>
        <v>92700</v>
      </c>
      <c r="O868" s="989">
        <v>0</v>
      </c>
      <c r="P868" s="989">
        <v>92700</v>
      </c>
      <c r="Q868" s="989">
        <f t="shared" si="92"/>
        <v>92700</v>
      </c>
      <c r="R868" s="989">
        <f t="shared" si="94"/>
        <v>100</v>
      </c>
      <c r="S868" s="1011">
        <v>0</v>
      </c>
      <c r="T868" s="989">
        <f t="shared" si="96"/>
        <v>0</v>
      </c>
      <c r="U868" s="989">
        <f t="shared" si="93"/>
        <v>92700</v>
      </c>
      <c r="V868" s="989">
        <f t="shared" si="95"/>
        <v>100</v>
      </c>
      <c r="W868" s="989"/>
      <c r="X868" s="989">
        <f t="shared" si="91"/>
        <v>0</v>
      </c>
      <c r="Y868" s="1012"/>
    </row>
    <row r="869" spans="1:25" ht="63" customHeight="1">
      <c r="A869" s="1006">
        <v>751</v>
      </c>
      <c r="B869" s="1007" t="s">
        <v>2522</v>
      </c>
      <c r="C869" s="1008"/>
      <c r="D869" s="1008" t="s">
        <v>4155</v>
      </c>
      <c r="E869" s="1007" t="s">
        <v>3182</v>
      </c>
      <c r="F869" s="1010" t="s">
        <v>358</v>
      </c>
      <c r="G869" s="989">
        <f>208000-105660</f>
        <v>102340</v>
      </c>
      <c r="H869" s="937"/>
      <c r="I869" s="1046"/>
      <c r="J869" s="1046"/>
      <c r="K869" s="1047"/>
      <c r="L869" s="1046"/>
      <c r="M869" s="1094">
        <f>-105660+105660</f>
        <v>0</v>
      </c>
      <c r="N869" s="989">
        <f>G869+M869</f>
        <v>102340</v>
      </c>
      <c r="O869" s="989">
        <v>0</v>
      </c>
      <c r="P869" s="989">
        <v>102340</v>
      </c>
      <c r="Q869" s="989">
        <f t="shared" si="92"/>
        <v>102340</v>
      </c>
      <c r="R869" s="989">
        <f t="shared" si="94"/>
        <v>100</v>
      </c>
      <c r="S869" s="1011">
        <v>0</v>
      </c>
      <c r="T869" s="989">
        <f t="shared" si="96"/>
        <v>0</v>
      </c>
      <c r="U869" s="989">
        <f t="shared" si="93"/>
        <v>102340</v>
      </c>
      <c r="V869" s="989">
        <f t="shared" si="95"/>
        <v>100</v>
      </c>
      <c r="W869" s="989"/>
      <c r="X869" s="989">
        <f t="shared" si="91"/>
        <v>0</v>
      </c>
      <c r="Y869" s="1012"/>
    </row>
    <row r="870" spans="1:25" ht="63" customHeight="1">
      <c r="A870" s="1006">
        <v>752</v>
      </c>
      <c r="B870" s="1007" t="s">
        <v>4531</v>
      </c>
      <c r="C870" s="1008"/>
      <c r="D870" s="1008" t="s">
        <v>4532</v>
      </c>
      <c r="E870" s="1007" t="s">
        <v>4407</v>
      </c>
      <c r="F870" s="1010" t="s">
        <v>357</v>
      </c>
      <c r="G870" s="989">
        <v>0</v>
      </c>
      <c r="H870" s="937"/>
      <c r="I870" s="1046"/>
      <c r="J870" s="1046"/>
      <c r="K870" s="1047"/>
      <c r="L870" s="1046"/>
      <c r="M870" s="1094"/>
      <c r="N870" s="989">
        <v>0</v>
      </c>
      <c r="O870" s="989">
        <v>0</v>
      </c>
      <c r="P870" s="989"/>
      <c r="Q870" s="989">
        <f t="shared" si="92"/>
        <v>0</v>
      </c>
      <c r="R870" s="989" t="e">
        <f t="shared" si="94"/>
        <v>#DIV/0!</v>
      </c>
      <c r="S870" s="1011"/>
      <c r="T870" s="989">
        <v>0</v>
      </c>
      <c r="U870" s="989">
        <f t="shared" si="93"/>
        <v>0</v>
      </c>
      <c r="V870" s="989">
        <v>0</v>
      </c>
      <c r="W870" s="989"/>
      <c r="X870" s="989">
        <f t="shared" si="91"/>
        <v>0</v>
      </c>
      <c r="Y870" s="1012"/>
    </row>
    <row r="871" spans="1:25" ht="63" customHeight="1">
      <c r="A871" s="1006">
        <v>753</v>
      </c>
      <c r="B871" s="1007" t="s">
        <v>2523</v>
      </c>
      <c r="C871" s="1008"/>
      <c r="D871" s="1008" t="s">
        <v>4156</v>
      </c>
      <c r="E871" s="1007" t="s">
        <v>2995</v>
      </c>
      <c r="F871" s="1010" t="s">
        <v>357</v>
      </c>
      <c r="G871" s="989">
        <f>208000-83800</f>
        <v>124200</v>
      </c>
      <c r="H871" s="937"/>
      <c r="I871" s="1046"/>
      <c r="J871" s="1046"/>
      <c r="K871" s="1047"/>
      <c r="L871" s="1046"/>
      <c r="M871" s="1094">
        <f>-83800+83800</f>
        <v>0</v>
      </c>
      <c r="N871" s="989">
        <f>G871+M871</f>
        <v>124200</v>
      </c>
      <c r="O871" s="989">
        <v>0</v>
      </c>
      <c r="P871" s="989">
        <v>124200</v>
      </c>
      <c r="Q871" s="989">
        <f t="shared" si="92"/>
        <v>124200</v>
      </c>
      <c r="R871" s="989">
        <f t="shared" si="94"/>
        <v>100</v>
      </c>
      <c r="S871" s="1011">
        <v>0</v>
      </c>
      <c r="T871" s="989">
        <f t="shared" si="96"/>
        <v>0</v>
      </c>
      <c r="U871" s="989">
        <f t="shared" si="93"/>
        <v>124200</v>
      </c>
      <c r="V871" s="989">
        <f t="shared" si="95"/>
        <v>100</v>
      </c>
      <c r="W871" s="989"/>
      <c r="X871" s="989">
        <f t="shared" si="91"/>
        <v>0</v>
      </c>
      <c r="Y871" s="1012"/>
    </row>
    <row r="872" spans="1:25" ht="63" customHeight="1">
      <c r="A872" s="1006">
        <v>754</v>
      </c>
      <c r="B872" s="1007" t="s">
        <v>2524</v>
      </c>
      <c r="C872" s="1008"/>
      <c r="D872" s="1008" t="s">
        <v>4157</v>
      </c>
      <c r="E872" s="1007" t="s">
        <v>2525</v>
      </c>
      <c r="F872" s="1010" t="s">
        <v>357</v>
      </c>
      <c r="G872" s="989">
        <f>104000-53340</f>
        <v>50660</v>
      </c>
      <c r="H872" s="937"/>
      <c r="I872" s="1046"/>
      <c r="J872" s="1046"/>
      <c r="K872" s="1047"/>
      <c r="L872" s="1046"/>
      <c r="M872" s="1094">
        <f>-53340+53340</f>
        <v>0</v>
      </c>
      <c r="N872" s="989">
        <f>G872+M872</f>
        <v>50660</v>
      </c>
      <c r="O872" s="989">
        <v>50660</v>
      </c>
      <c r="P872" s="989">
        <v>0</v>
      </c>
      <c r="Q872" s="989">
        <f t="shared" si="92"/>
        <v>50660</v>
      </c>
      <c r="R872" s="989">
        <f t="shared" si="94"/>
        <v>100</v>
      </c>
      <c r="S872" s="1011">
        <v>0</v>
      </c>
      <c r="T872" s="989">
        <f t="shared" si="96"/>
        <v>0</v>
      </c>
      <c r="U872" s="989">
        <f t="shared" si="93"/>
        <v>50660</v>
      </c>
      <c r="V872" s="989">
        <f t="shared" si="95"/>
        <v>100</v>
      </c>
      <c r="W872" s="989"/>
      <c r="X872" s="989">
        <f t="shared" si="91"/>
        <v>0</v>
      </c>
      <c r="Y872" s="1012"/>
    </row>
    <row r="873" spans="1:25" ht="63" customHeight="1">
      <c r="A873" s="1006">
        <v>755</v>
      </c>
      <c r="B873" s="1007" t="s">
        <v>2526</v>
      </c>
      <c r="C873" s="1008"/>
      <c r="D873" s="1008" t="s">
        <v>4158</v>
      </c>
      <c r="E873" s="1007" t="s">
        <v>2527</v>
      </c>
      <c r="F873" s="1010" t="s">
        <v>357</v>
      </c>
      <c r="G873" s="989">
        <f>208000-97740.11</f>
        <v>110259.89</v>
      </c>
      <c r="H873" s="937"/>
      <c r="I873" s="1046"/>
      <c r="J873" s="1046"/>
      <c r="K873" s="1047"/>
      <c r="L873" s="1046"/>
      <c r="M873" s="1094">
        <f>-36393.76-61346.35+97740.11</f>
        <v>0</v>
      </c>
      <c r="N873" s="989">
        <f>G873+M873</f>
        <v>110259.89</v>
      </c>
      <c r="O873" s="989">
        <v>0</v>
      </c>
      <c r="P873" s="989">
        <v>110259.89</v>
      </c>
      <c r="Q873" s="989">
        <f t="shared" si="92"/>
        <v>110259.89</v>
      </c>
      <c r="R873" s="989">
        <f t="shared" si="94"/>
        <v>100</v>
      </c>
      <c r="S873" s="1011">
        <v>0</v>
      </c>
      <c r="T873" s="989">
        <f t="shared" si="96"/>
        <v>0</v>
      </c>
      <c r="U873" s="989">
        <f t="shared" si="93"/>
        <v>110259.89</v>
      </c>
      <c r="V873" s="989">
        <f t="shared" si="95"/>
        <v>100</v>
      </c>
      <c r="W873" s="989"/>
      <c r="X873" s="989">
        <f t="shared" si="91"/>
        <v>0</v>
      </c>
      <c r="Y873" s="1012"/>
    </row>
    <row r="874" spans="1:25" ht="63" customHeight="1">
      <c r="A874" s="1006">
        <v>756</v>
      </c>
      <c r="B874" s="1007" t="s">
        <v>2528</v>
      </c>
      <c r="C874" s="1008"/>
      <c r="D874" s="1008" t="s">
        <v>4159</v>
      </c>
      <c r="E874" s="1007" t="s">
        <v>2529</v>
      </c>
      <c r="F874" s="1010" t="s">
        <v>555</v>
      </c>
      <c r="G874" s="989">
        <v>312000</v>
      </c>
      <c r="H874" s="937"/>
      <c r="I874" s="1046"/>
      <c r="J874" s="1046"/>
      <c r="K874" s="1047"/>
      <c r="L874" s="1046"/>
      <c r="M874" s="1094"/>
      <c r="N874" s="989">
        <v>312000</v>
      </c>
      <c r="O874" s="989">
        <v>0</v>
      </c>
      <c r="P874" s="989">
        <v>312000</v>
      </c>
      <c r="Q874" s="989">
        <f t="shared" si="92"/>
        <v>312000</v>
      </c>
      <c r="R874" s="989">
        <f t="shared" si="94"/>
        <v>100</v>
      </c>
      <c r="S874" s="1011">
        <v>0</v>
      </c>
      <c r="T874" s="989">
        <f t="shared" si="96"/>
        <v>0</v>
      </c>
      <c r="U874" s="989">
        <f t="shared" si="93"/>
        <v>312000</v>
      </c>
      <c r="V874" s="989">
        <f t="shared" si="95"/>
        <v>100</v>
      </c>
      <c r="W874" s="989"/>
      <c r="X874" s="989">
        <f t="shared" si="91"/>
        <v>0</v>
      </c>
      <c r="Y874" s="1012"/>
    </row>
    <row r="875" spans="1:25" ht="63" customHeight="1">
      <c r="A875" s="1006">
        <v>757</v>
      </c>
      <c r="B875" s="1007" t="s">
        <v>2530</v>
      </c>
      <c r="C875" s="1008"/>
      <c r="D875" s="1008" t="s">
        <v>4160</v>
      </c>
      <c r="E875" s="1007" t="s">
        <v>2531</v>
      </c>
      <c r="F875" s="1010" t="s">
        <v>555</v>
      </c>
      <c r="G875" s="989">
        <f>208000-33771.92</f>
        <v>174228.08000000002</v>
      </c>
      <c r="H875" s="937"/>
      <c r="I875" s="1046"/>
      <c r="J875" s="1046"/>
      <c r="K875" s="1047"/>
      <c r="L875" s="1046"/>
      <c r="M875" s="1094">
        <f>-33600-171.92+33771.92</f>
        <v>0</v>
      </c>
      <c r="N875" s="989">
        <f>G875+M875</f>
        <v>174228.08000000002</v>
      </c>
      <c r="O875" s="989">
        <v>0</v>
      </c>
      <c r="P875" s="989">
        <v>174228.08</v>
      </c>
      <c r="Q875" s="989">
        <f t="shared" si="92"/>
        <v>174228.08</v>
      </c>
      <c r="R875" s="989">
        <f t="shared" si="94"/>
        <v>99.999999999999972</v>
      </c>
      <c r="S875" s="1011">
        <v>0</v>
      </c>
      <c r="T875" s="989">
        <f t="shared" si="96"/>
        <v>0</v>
      </c>
      <c r="U875" s="989">
        <f t="shared" si="93"/>
        <v>174228.08</v>
      </c>
      <c r="V875" s="989">
        <f t="shared" si="95"/>
        <v>99.999999999999972</v>
      </c>
      <c r="W875" s="989"/>
      <c r="X875" s="989">
        <f t="shared" si="91"/>
        <v>0</v>
      </c>
      <c r="Y875" s="1012"/>
    </row>
    <row r="876" spans="1:25" ht="63" customHeight="1">
      <c r="A876" s="1006">
        <v>758</v>
      </c>
      <c r="B876" s="1007" t="s">
        <v>2532</v>
      </c>
      <c r="C876" s="1008"/>
      <c r="D876" s="1008" t="s">
        <v>4161</v>
      </c>
      <c r="E876" s="1007" t="s">
        <v>2533</v>
      </c>
      <c r="F876" s="1010" t="s">
        <v>555</v>
      </c>
      <c r="G876" s="989">
        <v>104000</v>
      </c>
      <c r="H876" s="937"/>
      <c r="I876" s="1046"/>
      <c r="J876" s="1046"/>
      <c r="K876" s="1047"/>
      <c r="L876" s="1046"/>
      <c r="M876" s="1094"/>
      <c r="N876" s="989">
        <v>104000</v>
      </c>
      <c r="O876" s="989">
        <v>104000</v>
      </c>
      <c r="P876" s="989"/>
      <c r="Q876" s="989">
        <f t="shared" si="92"/>
        <v>104000</v>
      </c>
      <c r="R876" s="989">
        <f t="shared" si="94"/>
        <v>100</v>
      </c>
      <c r="S876" s="1011"/>
      <c r="T876" s="989">
        <f t="shared" si="96"/>
        <v>0</v>
      </c>
      <c r="U876" s="989">
        <f t="shared" si="93"/>
        <v>104000</v>
      </c>
      <c r="V876" s="989">
        <f t="shared" si="95"/>
        <v>100</v>
      </c>
      <c r="W876" s="989"/>
      <c r="X876" s="989">
        <f t="shared" si="91"/>
        <v>0</v>
      </c>
      <c r="Y876" s="1012"/>
    </row>
    <row r="877" spans="1:25" ht="63" customHeight="1">
      <c r="A877" s="1006">
        <v>759</v>
      </c>
      <c r="B877" s="1007" t="s">
        <v>2534</v>
      </c>
      <c r="C877" s="1008"/>
      <c r="D877" s="1008" t="s">
        <v>4162</v>
      </c>
      <c r="E877" s="1007" t="s">
        <v>2535</v>
      </c>
      <c r="F877" s="1010" t="s">
        <v>555</v>
      </c>
      <c r="G877" s="989">
        <v>520000</v>
      </c>
      <c r="H877" s="937"/>
      <c r="I877" s="1046"/>
      <c r="J877" s="1046"/>
      <c r="K877" s="1047"/>
      <c r="L877" s="1046"/>
      <c r="M877" s="1094"/>
      <c r="N877" s="989">
        <v>520000</v>
      </c>
      <c r="O877" s="989">
        <v>0</v>
      </c>
      <c r="P877" s="989">
        <v>520000</v>
      </c>
      <c r="Q877" s="989">
        <f t="shared" si="92"/>
        <v>520000</v>
      </c>
      <c r="R877" s="989">
        <f t="shared" si="94"/>
        <v>100</v>
      </c>
      <c r="S877" s="1011">
        <v>0</v>
      </c>
      <c r="T877" s="989">
        <f t="shared" si="96"/>
        <v>0</v>
      </c>
      <c r="U877" s="989">
        <f t="shared" si="93"/>
        <v>520000</v>
      </c>
      <c r="V877" s="989">
        <f t="shared" si="95"/>
        <v>100</v>
      </c>
      <c r="W877" s="989"/>
      <c r="X877" s="989">
        <f t="shared" si="91"/>
        <v>0</v>
      </c>
      <c r="Y877" s="1012"/>
    </row>
    <row r="878" spans="1:25" ht="63" customHeight="1">
      <c r="A878" s="1006">
        <v>760</v>
      </c>
      <c r="B878" s="1007" t="s">
        <v>2536</v>
      </c>
      <c r="C878" s="1008"/>
      <c r="D878" s="1008" t="s">
        <v>4163</v>
      </c>
      <c r="E878" s="1007" t="s">
        <v>2537</v>
      </c>
      <c r="F878" s="1010" t="s">
        <v>551</v>
      </c>
      <c r="G878" s="989">
        <v>416000</v>
      </c>
      <c r="H878" s="937"/>
      <c r="I878" s="1046"/>
      <c r="J878" s="1046"/>
      <c r="K878" s="1047"/>
      <c r="L878" s="1046"/>
      <c r="M878" s="1094"/>
      <c r="N878" s="989">
        <v>416000</v>
      </c>
      <c r="O878" s="989">
        <v>416000</v>
      </c>
      <c r="P878" s="989"/>
      <c r="Q878" s="989">
        <f t="shared" si="92"/>
        <v>416000</v>
      </c>
      <c r="R878" s="989">
        <f t="shared" si="94"/>
        <v>100</v>
      </c>
      <c r="S878" s="1011"/>
      <c r="T878" s="989">
        <f t="shared" si="96"/>
        <v>0</v>
      </c>
      <c r="U878" s="989">
        <f t="shared" si="93"/>
        <v>416000</v>
      </c>
      <c r="V878" s="989">
        <f t="shared" si="95"/>
        <v>100</v>
      </c>
      <c r="W878" s="989"/>
      <c r="X878" s="989">
        <f t="shared" si="91"/>
        <v>0</v>
      </c>
      <c r="Y878" s="1012"/>
    </row>
    <row r="879" spans="1:25" ht="63" customHeight="1">
      <c r="A879" s="1006">
        <v>761</v>
      </c>
      <c r="B879" s="1007" t="s">
        <v>2538</v>
      </c>
      <c r="C879" s="1008"/>
      <c r="D879" s="1008" t="s">
        <v>4164</v>
      </c>
      <c r="E879" s="1007" t="s">
        <v>2539</v>
      </c>
      <c r="F879" s="1010" t="s">
        <v>551</v>
      </c>
      <c r="G879" s="989">
        <f>416000-34019.6</f>
        <v>381980.4</v>
      </c>
      <c r="H879" s="937"/>
      <c r="I879" s="1046"/>
      <c r="J879" s="1046"/>
      <c r="K879" s="1047"/>
      <c r="L879" s="1046"/>
      <c r="M879" s="1094">
        <f>-30090-3929.6+34019.6</f>
        <v>0</v>
      </c>
      <c r="N879" s="989">
        <f>G879+M879</f>
        <v>381980.4</v>
      </c>
      <c r="O879" s="989">
        <v>381980.4</v>
      </c>
      <c r="P879" s="989">
        <v>0</v>
      </c>
      <c r="Q879" s="989">
        <f t="shared" si="92"/>
        <v>381980.4</v>
      </c>
      <c r="R879" s="989">
        <f t="shared" si="94"/>
        <v>100</v>
      </c>
      <c r="S879" s="1011">
        <v>0</v>
      </c>
      <c r="T879" s="989">
        <f t="shared" si="96"/>
        <v>0</v>
      </c>
      <c r="U879" s="989">
        <f t="shared" si="93"/>
        <v>381980.4</v>
      </c>
      <c r="V879" s="989">
        <f t="shared" si="95"/>
        <v>100</v>
      </c>
      <c r="W879" s="989"/>
      <c r="X879" s="989">
        <f t="shared" si="91"/>
        <v>0</v>
      </c>
      <c r="Y879" s="1012"/>
    </row>
    <row r="880" spans="1:25" ht="63" customHeight="1">
      <c r="A880" s="1006">
        <v>762</v>
      </c>
      <c r="B880" s="1007" t="s">
        <v>2540</v>
      </c>
      <c r="C880" s="1008"/>
      <c r="D880" s="1008" t="s">
        <v>4165</v>
      </c>
      <c r="E880" s="1007" t="s">
        <v>3288</v>
      </c>
      <c r="F880" s="1010" t="s">
        <v>551</v>
      </c>
      <c r="G880" s="989">
        <f>416000-122977.52</f>
        <v>293022.48</v>
      </c>
      <c r="H880" s="937"/>
      <c r="I880" s="1046"/>
      <c r="J880" s="1046"/>
      <c r="K880" s="1047"/>
      <c r="L880" s="1046"/>
      <c r="M880" s="1094">
        <f>-122977.52+122977.52</f>
        <v>0</v>
      </c>
      <c r="N880" s="989">
        <f>G880+M880</f>
        <v>293022.48</v>
      </c>
      <c r="O880" s="989">
        <v>293022.48</v>
      </c>
      <c r="P880" s="989">
        <v>0</v>
      </c>
      <c r="Q880" s="989">
        <f t="shared" si="92"/>
        <v>293022.48</v>
      </c>
      <c r="R880" s="989">
        <f t="shared" si="94"/>
        <v>100</v>
      </c>
      <c r="S880" s="1011">
        <v>0</v>
      </c>
      <c r="T880" s="989">
        <f t="shared" si="96"/>
        <v>0</v>
      </c>
      <c r="U880" s="989">
        <f t="shared" si="93"/>
        <v>293022.48</v>
      </c>
      <c r="V880" s="989">
        <f t="shared" si="95"/>
        <v>100</v>
      </c>
      <c r="W880" s="989"/>
      <c r="X880" s="989">
        <f t="shared" si="91"/>
        <v>0</v>
      </c>
      <c r="Y880" s="1012"/>
    </row>
    <row r="881" spans="1:39" s="969" customFormat="1" ht="63" customHeight="1">
      <c r="A881" s="1006">
        <v>763</v>
      </c>
      <c r="B881" s="1007" t="s">
        <v>2541</v>
      </c>
      <c r="C881" s="1008"/>
      <c r="D881" s="1008" t="s">
        <v>4166</v>
      </c>
      <c r="E881" s="1007" t="s">
        <v>2542</v>
      </c>
      <c r="F881" s="1010" t="s">
        <v>551</v>
      </c>
      <c r="G881" s="989">
        <v>104000</v>
      </c>
      <c r="H881" s="937"/>
      <c r="I881" s="1046"/>
      <c r="J881" s="1046"/>
      <c r="K881" s="1047"/>
      <c r="L881" s="1046"/>
      <c r="M881" s="1094"/>
      <c r="N881" s="989">
        <v>104000</v>
      </c>
      <c r="O881" s="989">
        <v>104000</v>
      </c>
      <c r="P881" s="989"/>
      <c r="Q881" s="989">
        <f t="shared" si="92"/>
        <v>104000</v>
      </c>
      <c r="R881" s="989">
        <f t="shared" si="94"/>
        <v>100</v>
      </c>
      <c r="S881" s="1011"/>
      <c r="T881" s="989">
        <f t="shared" si="96"/>
        <v>0</v>
      </c>
      <c r="U881" s="989">
        <f t="shared" si="93"/>
        <v>104000</v>
      </c>
      <c r="V881" s="989">
        <f t="shared" si="95"/>
        <v>100</v>
      </c>
      <c r="W881" s="989"/>
      <c r="X881" s="989">
        <f t="shared" si="91"/>
        <v>0</v>
      </c>
      <c r="Y881" s="1012"/>
      <c r="Z881" s="941"/>
      <c r="AA881" s="941"/>
      <c r="AB881" s="941"/>
      <c r="AC881" s="941"/>
      <c r="AD881" s="941"/>
      <c r="AE881" s="941"/>
      <c r="AF881" s="941"/>
      <c r="AG881" s="941"/>
      <c r="AH881" s="941"/>
      <c r="AI881" s="941"/>
      <c r="AJ881" s="941"/>
      <c r="AK881" s="941"/>
      <c r="AL881" s="941"/>
      <c r="AM881" s="941"/>
    </row>
    <row r="882" spans="1:39" s="969" customFormat="1" ht="63" customHeight="1">
      <c r="A882" s="1006">
        <v>764</v>
      </c>
      <c r="B882" s="1007" t="s">
        <v>2543</v>
      </c>
      <c r="C882" s="1008"/>
      <c r="D882" s="1008" t="s">
        <v>4167</v>
      </c>
      <c r="E882" s="1007" t="s">
        <v>2544</v>
      </c>
      <c r="F882" s="1010" t="s">
        <v>551</v>
      </c>
      <c r="G882" s="989">
        <v>104000</v>
      </c>
      <c r="H882" s="937"/>
      <c r="I882" s="1046"/>
      <c r="J882" s="1046"/>
      <c r="K882" s="1047"/>
      <c r="L882" s="1046"/>
      <c r="M882" s="1094"/>
      <c r="N882" s="989">
        <v>104000</v>
      </c>
      <c r="O882" s="989">
        <v>104000</v>
      </c>
      <c r="P882" s="989"/>
      <c r="Q882" s="989">
        <f t="shared" si="92"/>
        <v>104000</v>
      </c>
      <c r="R882" s="989">
        <f t="shared" si="94"/>
        <v>100</v>
      </c>
      <c r="S882" s="1011"/>
      <c r="T882" s="989">
        <f t="shared" si="96"/>
        <v>0</v>
      </c>
      <c r="U882" s="989">
        <f t="shared" si="93"/>
        <v>104000</v>
      </c>
      <c r="V882" s="989">
        <f t="shared" si="95"/>
        <v>100</v>
      </c>
      <c r="W882" s="989"/>
      <c r="X882" s="989">
        <f t="shared" si="91"/>
        <v>0</v>
      </c>
      <c r="Y882" s="1012"/>
      <c r="Z882" s="941"/>
      <c r="AA882" s="941"/>
      <c r="AB882" s="941"/>
      <c r="AC882" s="941"/>
      <c r="AD882" s="941"/>
      <c r="AE882" s="941"/>
      <c r="AF882" s="941"/>
      <c r="AG882" s="941"/>
      <c r="AH882" s="941"/>
      <c r="AI882" s="941"/>
      <c r="AJ882" s="941"/>
      <c r="AK882" s="941"/>
      <c r="AL882" s="941"/>
      <c r="AM882" s="941"/>
    </row>
    <row r="883" spans="1:39" s="969" customFormat="1" ht="63" customHeight="1">
      <c r="A883" s="1006">
        <v>765</v>
      </c>
      <c r="B883" s="1007" t="s">
        <v>2545</v>
      </c>
      <c r="C883" s="1008"/>
      <c r="D883" s="1008" t="s">
        <v>4168</v>
      </c>
      <c r="E883" s="1007" t="s">
        <v>2546</v>
      </c>
      <c r="F883" s="1010" t="s">
        <v>551</v>
      </c>
      <c r="G883" s="989">
        <f>624000-23169</f>
        <v>600831</v>
      </c>
      <c r="H883" s="937"/>
      <c r="I883" s="1046"/>
      <c r="J883" s="1046"/>
      <c r="K883" s="1047"/>
      <c r="L883" s="1046"/>
      <c r="M883" s="1094">
        <f>-23169+23169</f>
        <v>0</v>
      </c>
      <c r="N883" s="989">
        <f>G883+M883</f>
        <v>600831</v>
      </c>
      <c r="O883" s="989">
        <v>520000</v>
      </c>
      <c r="P883" s="989">
        <v>80831</v>
      </c>
      <c r="Q883" s="989">
        <f t="shared" si="92"/>
        <v>600831</v>
      </c>
      <c r="R883" s="989">
        <f t="shared" si="94"/>
        <v>100</v>
      </c>
      <c r="S883" s="1011">
        <v>0</v>
      </c>
      <c r="T883" s="989">
        <f t="shared" si="96"/>
        <v>0</v>
      </c>
      <c r="U883" s="989">
        <f t="shared" si="93"/>
        <v>600831</v>
      </c>
      <c r="V883" s="989">
        <f t="shared" si="95"/>
        <v>100</v>
      </c>
      <c r="W883" s="989"/>
      <c r="X883" s="989">
        <f t="shared" si="91"/>
        <v>0</v>
      </c>
      <c r="Y883" s="1012"/>
      <c r="Z883" s="941"/>
      <c r="AA883" s="941"/>
      <c r="AB883" s="941"/>
      <c r="AC883" s="941"/>
      <c r="AD883" s="941"/>
      <c r="AE883" s="941"/>
      <c r="AF883" s="941"/>
      <c r="AG883" s="941"/>
      <c r="AH883" s="941"/>
      <c r="AI883" s="941"/>
      <c r="AJ883" s="941"/>
      <c r="AK883" s="941"/>
      <c r="AL883" s="941"/>
      <c r="AM883" s="941"/>
    </row>
    <row r="884" spans="1:39" s="969" customFormat="1" ht="63" customHeight="1">
      <c r="A884" s="1006">
        <v>766</v>
      </c>
      <c r="B884" s="1007" t="s">
        <v>2547</v>
      </c>
      <c r="C884" s="1008"/>
      <c r="D884" s="1008" t="s">
        <v>4169</v>
      </c>
      <c r="E884" s="1007" t="s">
        <v>2548</v>
      </c>
      <c r="F884" s="1010" t="s">
        <v>551</v>
      </c>
      <c r="G884" s="989">
        <f>104000-4675.44</f>
        <v>99324.56</v>
      </c>
      <c r="H884" s="937"/>
      <c r="I884" s="1046"/>
      <c r="J884" s="1046"/>
      <c r="K884" s="1047"/>
      <c r="L884" s="1046"/>
      <c r="M884" s="1094">
        <f>-4675.44+4675.44</f>
        <v>0</v>
      </c>
      <c r="N884" s="989">
        <f>G884+M884</f>
        <v>99324.56</v>
      </c>
      <c r="O884" s="989">
        <v>99324.56</v>
      </c>
      <c r="P884" s="989">
        <v>0</v>
      </c>
      <c r="Q884" s="989">
        <f t="shared" si="92"/>
        <v>99324.56</v>
      </c>
      <c r="R884" s="989">
        <f t="shared" si="94"/>
        <v>100</v>
      </c>
      <c r="S884" s="1011">
        <v>0</v>
      </c>
      <c r="T884" s="989">
        <f t="shared" si="96"/>
        <v>0</v>
      </c>
      <c r="U884" s="989">
        <f t="shared" si="93"/>
        <v>99324.56</v>
      </c>
      <c r="V884" s="989">
        <f t="shared" si="95"/>
        <v>100</v>
      </c>
      <c r="W884" s="989"/>
      <c r="X884" s="989">
        <f t="shared" si="91"/>
        <v>0</v>
      </c>
      <c r="Y884" s="1012"/>
      <c r="Z884" s="941"/>
      <c r="AA884" s="941"/>
      <c r="AB884" s="941"/>
      <c r="AC884" s="941"/>
      <c r="AD884" s="941"/>
      <c r="AE884" s="941"/>
      <c r="AF884" s="941"/>
      <c r="AG884" s="941"/>
      <c r="AH884" s="941"/>
      <c r="AI884" s="941"/>
      <c r="AJ884" s="941"/>
      <c r="AK884" s="941"/>
      <c r="AL884" s="941"/>
      <c r="AM884" s="941"/>
    </row>
    <row r="885" spans="1:39" s="969" customFormat="1" ht="63" customHeight="1">
      <c r="A885" s="1006">
        <v>767</v>
      </c>
      <c r="B885" s="1007" t="s">
        <v>2549</v>
      </c>
      <c r="C885" s="1008"/>
      <c r="D885" s="1008" t="s">
        <v>4170</v>
      </c>
      <c r="E885" s="1007" t="s">
        <v>2550</v>
      </c>
      <c r="F885" s="1010" t="s">
        <v>551</v>
      </c>
      <c r="G885" s="989">
        <f>416000-40120</f>
        <v>375880</v>
      </c>
      <c r="H885" s="937"/>
      <c r="I885" s="1046"/>
      <c r="J885" s="1046"/>
      <c r="K885" s="1047"/>
      <c r="L885" s="1046"/>
      <c r="M885" s="1094">
        <f>-30300-9820+40120</f>
        <v>0</v>
      </c>
      <c r="N885" s="989">
        <f>G885+M885</f>
        <v>375880</v>
      </c>
      <c r="O885" s="989">
        <v>375880</v>
      </c>
      <c r="P885" s="989">
        <v>0</v>
      </c>
      <c r="Q885" s="989">
        <f t="shared" si="92"/>
        <v>375880</v>
      </c>
      <c r="R885" s="989">
        <f t="shared" si="94"/>
        <v>100</v>
      </c>
      <c r="S885" s="1011">
        <v>0</v>
      </c>
      <c r="T885" s="989">
        <f t="shared" si="96"/>
        <v>0</v>
      </c>
      <c r="U885" s="989">
        <f t="shared" si="93"/>
        <v>375880</v>
      </c>
      <c r="V885" s="989">
        <f t="shared" si="95"/>
        <v>100</v>
      </c>
      <c r="W885" s="989"/>
      <c r="X885" s="989">
        <f t="shared" ref="X885:X948" si="97">N885-U885</f>
        <v>0</v>
      </c>
      <c r="Y885" s="1012"/>
      <c r="Z885" s="941"/>
      <c r="AA885" s="941"/>
      <c r="AB885" s="941"/>
      <c r="AC885" s="941"/>
      <c r="AD885" s="941"/>
      <c r="AE885" s="941"/>
      <c r="AF885" s="941"/>
      <c r="AG885" s="941"/>
      <c r="AH885" s="941"/>
      <c r="AI885" s="941"/>
      <c r="AJ885" s="941"/>
      <c r="AK885" s="941"/>
      <c r="AL885" s="941"/>
      <c r="AM885" s="941"/>
    </row>
    <row r="886" spans="1:39" s="969" customFormat="1" ht="63" customHeight="1">
      <c r="A886" s="1006">
        <v>768</v>
      </c>
      <c r="B886" s="1007" t="s">
        <v>2551</v>
      </c>
      <c r="C886" s="1008"/>
      <c r="D886" s="1008" t="s">
        <v>4171</v>
      </c>
      <c r="E886" s="1007" t="s">
        <v>2552</v>
      </c>
      <c r="F886" s="1010" t="s">
        <v>551</v>
      </c>
      <c r="G886" s="989">
        <v>416000</v>
      </c>
      <c r="H886" s="937"/>
      <c r="I886" s="1046"/>
      <c r="J886" s="1046"/>
      <c r="K886" s="1047"/>
      <c r="L886" s="1046"/>
      <c r="M886" s="1094"/>
      <c r="N886" s="989">
        <v>416000</v>
      </c>
      <c r="O886" s="989">
        <v>416000</v>
      </c>
      <c r="P886" s="989"/>
      <c r="Q886" s="989">
        <f t="shared" si="92"/>
        <v>416000</v>
      </c>
      <c r="R886" s="989">
        <f t="shared" si="94"/>
        <v>100</v>
      </c>
      <c r="S886" s="1011"/>
      <c r="T886" s="989">
        <f t="shared" si="96"/>
        <v>0</v>
      </c>
      <c r="U886" s="989">
        <f t="shared" si="93"/>
        <v>416000</v>
      </c>
      <c r="V886" s="989">
        <f t="shared" si="95"/>
        <v>100</v>
      </c>
      <c r="W886" s="989"/>
      <c r="X886" s="989">
        <f t="shared" si="97"/>
        <v>0</v>
      </c>
      <c r="Y886" s="1012"/>
      <c r="Z886" s="941"/>
      <c r="AA886" s="941"/>
      <c r="AB886" s="941"/>
      <c r="AC886" s="941"/>
      <c r="AD886" s="941"/>
      <c r="AE886" s="941"/>
      <c r="AF886" s="941"/>
      <c r="AG886" s="941"/>
      <c r="AH886" s="941"/>
      <c r="AI886" s="941"/>
      <c r="AJ886" s="941"/>
      <c r="AK886" s="941"/>
      <c r="AL886" s="941"/>
      <c r="AM886" s="941"/>
    </row>
    <row r="887" spans="1:39" s="969" customFormat="1" ht="63" customHeight="1">
      <c r="A887" s="1006">
        <v>769</v>
      </c>
      <c r="B887" s="1007" t="s">
        <v>2553</v>
      </c>
      <c r="C887" s="1008"/>
      <c r="D887" s="1008" t="s">
        <v>4172</v>
      </c>
      <c r="E887" s="1007" t="s">
        <v>2554</v>
      </c>
      <c r="F887" s="1010" t="s">
        <v>551</v>
      </c>
      <c r="G887" s="989">
        <f>312000-19578.25</f>
        <v>292421.75</v>
      </c>
      <c r="H887" s="937"/>
      <c r="I887" s="1046"/>
      <c r="J887" s="1046"/>
      <c r="K887" s="1047"/>
      <c r="L887" s="1046"/>
      <c r="M887" s="1094">
        <f>-19578.25+19578.25</f>
        <v>0</v>
      </c>
      <c r="N887" s="989">
        <f>G887+M887</f>
        <v>292421.75</v>
      </c>
      <c r="O887" s="989">
        <v>292421.75</v>
      </c>
      <c r="P887" s="989">
        <v>0</v>
      </c>
      <c r="Q887" s="989">
        <f t="shared" ref="Q887:Q950" si="98">P887+O887</f>
        <v>292421.75</v>
      </c>
      <c r="R887" s="989">
        <f t="shared" si="94"/>
        <v>100</v>
      </c>
      <c r="S887" s="1011">
        <v>0</v>
      </c>
      <c r="T887" s="989">
        <f t="shared" si="96"/>
        <v>0</v>
      </c>
      <c r="U887" s="989">
        <f t="shared" ref="U887:U950" si="99">S887+Q887</f>
        <v>292421.75</v>
      </c>
      <c r="V887" s="989">
        <f t="shared" si="95"/>
        <v>100</v>
      </c>
      <c r="W887" s="989"/>
      <c r="X887" s="989">
        <f t="shared" si="97"/>
        <v>0</v>
      </c>
      <c r="Y887" s="1012"/>
      <c r="Z887" s="941"/>
      <c r="AA887" s="941"/>
      <c r="AB887" s="941"/>
      <c r="AC887" s="941"/>
      <c r="AD887" s="941"/>
      <c r="AE887" s="941"/>
      <c r="AF887" s="941"/>
      <c r="AG887" s="941"/>
      <c r="AH887" s="941"/>
      <c r="AI887" s="941"/>
      <c r="AJ887" s="941"/>
      <c r="AK887" s="941"/>
      <c r="AL887" s="941"/>
      <c r="AM887" s="941"/>
    </row>
    <row r="888" spans="1:39" s="969" customFormat="1" ht="63" customHeight="1">
      <c r="A888" s="1006">
        <v>770</v>
      </c>
      <c r="B888" s="1007" t="s">
        <v>2555</v>
      </c>
      <c r="C888" s="1008"/>
      <c r="D888" s="1008" t="s">
        <v>4173</v>
      </c>
      <c r="E888" s="1007" t="s">
        <v>2556</v>
      </c>
      <c r="F888" s="1010" t="s">
        <v>551</v>
      </c>
      <c r="G888" s="989">
        <v>312000</v>
      </c>
      <c r="H888" s="937"/>
      <c r="I888" s="1046"/>
      <c r="J888" s="1046"/>
      <c r="K888" s="1047"/>
      <c r="L888" s="1046"/>
      <c r="M888" s="1094"/>
      <c r="N888" s="989">
        <v>312000</v>
      </c>
      <c r="O888" s="989">
        <v>312000</v>
      </c>
      <c r="P888" s="989"/>
      <c r="Q888" s="989">
        <f t="shared" si="98"/>
        <v>312000</v>
      </c>
      <c r="R888" s="989">
        <f t="shared" ref="R888:R951" si="100">Q888/N888*100</f>
        <v>100</v>
      </c>
      <c r="S888" s="1011"/>
      <c r="T888" s="989">
        <f t="shared" si="96"/>
        <v>0</v>
      </c>
      <c r="U888" s="989">
        <f t="shared" si="99"/>
        <v>312000</v>
      </c>
      <c r="V888" s="989">
        <f t="shared" si="95"/>
        <v>100</v>
      </c>
      <c r="W888" s="989"/>
      <c r="X888" s="989">
        <f t="shared" si="97"/>
        <v>0</v>
      </c>
      <c r="Y888" s="1012"/>
      <c r="Z888" s="941"/>
      <c r="AA888" s="941"/>
      <c r="AB888" s="941"/>
      <c r="AC888" s="941"/>
      <c r="AD888" s="941"/>
      <c r="AE888" s="941"/>
      <c r="AF888" s="941"/>
      <c r="AG888" s="941"/>
      <c r="AH888" s="941"/>
      <c r="AI888" s="941"/>
      <c r="AJ888" s="941"/>
      <c r="AK888" s="941"/>
      <c r="AL888" s="941"/>
      <c r="AM888" s="941"/>
    </row>
    <row r="889" spans="1:39" s="969" customFormat="1" ht="63" customHeight="1">
      <c r="A889" s="1006">
        <v>771</v>
      </c>
      <c r="B889" s="1007" t="s">
        <v>2557</v>
      </c>
      <c r="C889" s="1008"/>
      <c r="D889" s="1008" t="s">
        <v>4174</v>
      </c>
      <c r="E889" s="1007" t="s">
        <v>2558</v>
      </c>
      <c r="F889" s="1010" t="s">
        <v>551</v>
      </c>
      <c r="G889" s="989">
        <v>208000</v>
      </c>
      <c r="H889" s="937"/>
      <c r="I889" s="1046"/>
      <c r="J889" s="1046"/>
      <c r="K889" s="1047"/>
      <c r="L889" s="1046"/>
      <c r="M889" s="1094"/>
      <c r="N889" s="989">
        <v>208000</v>
      </c>
      <c r="O889" s="989">
        <v>208000</v>
      </c>
      <c r="P889" s="989"/>
      <c r="Q889" s="989">
        <f t="shared" si="98"/>
        <v>208000</v>
      </c>
      <c r="R889" s="989">
        <f t="shared" si="100"/>
        <v>100</v>
      </c>
      <c r="S889" s="1011"/>
      <c r="T889" s="989">
        <f t="shared" si="96"/>
        <v>0</v>
      </c>
      <c r="U889" s="989">
        <f t="shared" si="99"/>
        <v>208000</v>
      </c>
      <c r="V889" s="989">
        <f t="shared" ref="V889:V952" si="101">U889/N889*100</f>
        <v>100</v>
      </c>
      <c r="W889" s="989"/>
      <c r="X889" s="989">
        <f t="shared" si="97"/>
        <v>0</v>
      </c>
      <c r="Y889" s="1012"/>
      <c r="Z889" s="941"/>
      <c r="AA889" s="941"/>
      <c r="AB889" s="941"/>
      <c r="AC889" s="941"/>
      <c r="AD889" s="941"/>
      <c r="AE889" s="941"/>
      <c r="AF889" s="941"/>
      <c r="AG889" s="941"/>
      <c r="AH889" s="941"/>
      <c r="AI889" s="941"/>
      <c r="AJ889" s="941"/>
      <c r="AK889" s="941"/>
      <c r="AL889" s="941"/>
      <c r="AM889" s="941"/>
    </row>
    <row r="890" spans="1:39" s="969" customFormat="1" ht="63" customHeight="1">
      <c r="A890" s="1006">
        <v>772</v>
      </c>
      <c r="B890" s="1007" t="s">
        <v>2559</v>
      </c>
      <c r="C890" s="1008"/>
      <c r="D890" s="1008" t="s">
        <v>4175</v>
      </c>
      <c r="E890" s="1007" t="s">
        <v>2560</v>
      </c>
      <c r="F890" s="1010" t="s">
        <v>551</v>
      </c>
      <c r="G890" s="989">
        <f>208000-12828</f>
        <v>195172</v>
      </c>
      <c r="H890" s="937"/>
      <c r="I890" s="1046"/>
      <c r="J890" s="1046"/>
      <c r="K890" s="1047"/>
      <c r="L890" s="1046"/>
      <c r="M890" s="1094">
        <f>-12828+12828</f>
        <v>0</v>
      </c>
      <c r="N890" s="989">
        <f>G890+M890</f>
        <v>195172</v>
      </c>
      <c r="O890" s="989">
        <v>195172</v>
      </c>
      <c r="P890" s="989">
        <v>0</v>
      </c>
      <c r="Q890" s="989">
        <f t="shared" si="98"/>
        <v>195172</v>
      </c>
      <c r="R890" s="989">
        <f t="shared" si="100"/>
        <v>100</v>
      </c>
      <c r="S890" s="1011">
        <v>0</v>
      </c>
      <c r="T890" s="989">
        <f t="shared" si="96"/>
        <v>0</v>
      </c>
      <c r="U890" s="989">
        <f t="shared" si="99"/>
        <v>195172</v>
      </c>
      <c r="V890" s="989">
        <f t="shared" si="101"/>
        <v>100</v>
      </c>
      <c r="W890" s="989"/>
      <c r="X890" s="989">
        <f t="shared" si="97"/>
        <v>0</v>
      </c>
      <c r="Y890" s="1012"/>
      <c r="Z890" s="941"/>
      <c r="AA890" s="941"/>
      <c r="AB890" s="941"/>
      <c r="AC890" s="941"/>
      <c r="AD890" s="941"/>
      <c r="AE890" s="941"/>
      <c r="AF890" s="941"/>
      <c r="AG890" s="941"/>
      <c r="AH890" s="941"/>
      <c r="AI890" s="941"/>
      <c r="AJ890" s="941"/>
      <c r="AK890" s="941"/>
      <c r="AL890" s="941"/>
      <c r="AM890" s="941"/>
    </row>
    <row r="891" spans="1:39" s="969" customFormat="1" ht="63" customHeight="1">
      <c r="A891" s="1006">
        <v>773</v>
      </c>
      <c r="B891" s="1007" t="s">
        <v>2561</v>
      </c>
      <c r="C891" s="1008"/>
      <c r="D891" s="1008" t="s">
        <v>4176</v>
      </c>
      <c r="E891" s="1007" t="s">
        <v>2562</v>
      </c>
      <c r="F891" s="1010" t="s">
        <v>551</v>
      </c>
      <c r="G891" s="989">
        <f>312000-35638</f>
        <v>276362</v>
      </c>
      <c r="H891" s="937"/>
      <c r="I891" s="1046"/>
      <c r="J891" s="1046"/>
      <c r="K891" s="1047"/>
      <c r="L891" s="1046"/>
      <c r="M891" s="1094">
        <f>-35638+35638</f>
        <v>0</v>
      </c>
      <c r="N891" s="989">
        <f>G891+M891</f>
        <v>276362</v>
      </c>
      <c r="O891" s="989">
        <v>276362</v>
      </c>
      <c r="P891" s="989">
        <v>0</v>
      </c>
      <c r="Q891" s="989">
        <f t="shared" si="98"/>
        <v>276362</v>
      </c>
      <c r="R891" s="989">
        <f t="shared" si="100"/>
        <v>100</v>
      </c>
      <c r="S891" s="1011">
        <v>0</v>
      </c>
      <c r="T891" s="989">
        <f t="shared" si="96"/>
        <v>0</v>
      </c>
      <c r="U891" s="989">
        <f t="shared" si="99"/>
        <v>276362</v>
      </c>
      <c r="V891" s="989">
        <f t="shared" si="101"/>
        <v>100</v>
      </c>
      <c r="W891" s="989"/>
      <c r="X891" s="989">
        <f t="shared" si="97"/>
        <v>0</v>
      </c>
      <c r="Y891" s="1012"/>
      <c r="Z891" s="941"/>
      <c r="AA891" s="941"/>
      <c r="AB891" s="941"/>
      <c r="AC891" s="941"/>
      <c r="AD891" s="941"/>
      <c r="AE891" s="941"/>
      <c r="AF891" s="941"/>
      <c r="AG891" s="941"/>
      <c r="AH891" s="941"/>
      <c r="AI891" s="941"/>
      <c r="AJ891" s="941"/>
      <c r="AK891" s="941"/>
      <c r="AL891" s="941"/>
      <c r="AM891" s="941"/>
    </row>
    <row r="892" spans="1:39" s="969" customFormat="1" ht="63" customHeight="1">
      <c r="A892" s="1006">
        <v>774</v>
      </c>
      <c r="B892" s="1007" t="s">
        <v>2563</v>
      </c>
      <c r="C892" s="1008"/>
      <c r="D892" s="1008" t="s">
        <v>4177</v>
      </c>
      <c r="E892" s="1007" t="s">
        <v>2564</v>
      </c>
      <c r="F892" s="1010" t="s">
        <v>560</v>
      </c>
      <c r="G892" s="989">
        <v>208000</v>
      </c>
      <c r="H892" s="937"/>
      <c r="I892" s="1046"/>
      <c r="J892" s="1046"/>
      <c r="K892" s="1047">
        <v>-3440</v>
      </c>
      <c r="L892" s="1046"/>
      <c r="M892" s="1094">
        <f>-4</f>
        <v>-4</v>
      </c>
      <c r="N892" s="989">
        <f>208000+M892+K892</f>
        <v>204556</v>
      </c>
      <c r="O892" s="989">
        <v>0</v>
      </c>
      <c r="P892" s="989">
        <v>204556</v>
      </c>
      <c r="Q892" s="989">
        <f t="shared" si="98"/>
        <v>204556</v>
      </c>
      <c r="R892" s="989">
        <f t="shared" si="100"/>
        <v>100</v>
      </c>
      <c r="S892" s="1011">
        <v>0</v>
      </c>
      <c r="T892" s="989">
        <f t="shared" si="96"/>
        <v>0</v>
      </c>
      <c r="U892" s="989">
        <f t="shared" si="99"/>
        <v>204556</v>
      </c>
      <c r="V892" s="989">
        <f t="shared" si="101"/>
        <v>100</v>
      </c>
      <c r="W892" s="989"/>
      <c r="X892" s="989">
        <f t="shared" si="97"/>
        <v>0</v>
      </c>
      <c r="Y892" s="1012"/>
      <c r="Z892" s="941"/>
      <c r="AA892" s="941"/>
      <c r="AB892" s="941"/>
      <c r="AC892" s="941"/>
      <c r="AD892" s="941"/>
      <c r="AE892" s="941"/>
      <c r="AF892" s="941"/>
      <c r="AG892" s="941"/>
      <c r="AH892" s="941"/>
      <c r="AI892" s="941"/>
      <c r="AJ892" s="941"/>
      <c r="AK892" s="941"/>
      <c r="AL892" s="941"/>
      <c r="AM892" s="941"/>
    </row>
    <row r="893" spans="1:39" s="969" customFormat="1" ht="63" customHeight="1">
      <c r="A893" s="1006">
        <v>775</v>
      </c>
      <c r="B893" s="1007" t="s">
        <v>2565</v>
      </c>
      <c r="C893" s="1008"/>
      <c r="D893" s="1008" t="s">
        <v>4178</v>
      </c>
      <c r="E893" s="1007" t="s">
        <v>2566</v>
      </c>
      <c r="F893" s="1010" t="s">
        <v>560</v>
      </c>
      <c r="G893" s="989">
        <v>624000</v>
      </c>
      <c r="H893" s="937"/>
      <c r="I893" s="1046"/>
      <c r="J893" s="1046"/>
      <c r="K893" s="1047"/>
      <c r="L893" s="1046"/>
      <c r="M893" s="1094"/>
      <c r="N893" s="989">
        <v>624000</v>
      </c>
      <c r="O893" s="989">
        <v>0</v>
      </c>
      <c r="P893" s="989">
        <v>624000</v>
      </c>
      <c r="Q893" s="989">
        <f t="shared" si="98"/>
        <v>624000</v>
      </c>
      <c r="R893" s="989">
        <f t="shared" si="100"/>
        <v>100</v>
      </c>
      <c r="S893" s="1011">
        <v>0</v>
      </c>
      <c r="T893" s="989">
        <f t="shared" si="96"/>
        <v>0</v>
      </c>
      <c r="U893" s="989">
        <f t="shared" si="99"/>
        <v>624000</v>
      </c>
      <c r="V893" s="989">
        <f t="shared" si="101"/>
        <v>100</v>
      </c>
      <c r="W893" s="989"/>
      <c r="X893" s="989">
        <f t="shared" si="97"/>
        <v>0</v>
      </c>
      <c r="Y893" s="1012"/>
      <c r="Z893" s="941"/>
      <c r="AA893" s="941"/>
      <c r="AB893" s="941"/>
      <c r="AC893" s="941"/>
      <c r="AD893" s="941"/>
      <c r="AE893" s="941"/>
      <c r="AF893" s="941"/>
      <c r="AG893" s="941"/>
      <c r="AH893" s="941"/>
      <c r="AI893" s="941"/>
      <c r="AJ893" s="941"/>
      <c r="AK893" s="941"/>
      <c r="AL893" s="941"/>
      <c r="AM893" s="941"/>
    </row>
    <row r="894" spans="1:39" s="969" customFormat="1" ht="63" customHeight="1">
      <c r="A894" s="1006">
        <v>776</v>
      </c>
      <c r="B894" s="1007" t="s">
        <v>2567</v>
      </c>
      <c r="C894" s="1008"/>
      <c r="D894" s="1008" t="s">
        <v>4179</v>
      </c>
      <c r="E894" s="1007" t="s">
        <v>2568</v>
      </c>
      <c r="F894" s="1010" t="s">
        <v>560</v>
      </c>
      <c r="G894" s="989">
        <v>624000</v>
      </c>
      <c r="H894" s="937"/>
      <c r="I894" s="1046"/>
      <c r="J894" s="1046"/>
      <c r="K894" s="1047">
        <v>-31600</v>
      </c>
      <c r="L894" s="1046"/>
      <c r="M894" s="1094">
        <v>-54916.82</v>
      </c>
      <c r="N894" s="989">
        <f>624000+K894+M894</f>
        <v>537483.18000000005</v>
      </c>
      <c r="O894" s="989">
        <v>0</v>
      </c>
      <c r="P894" s="989">
        <v>537483.18000000005</v>
      </c>
      <c r="Q894" s="989">
        <f t="shared" si="98"/>
        <v>537483.18000000005</v>
      </c>
      <c r="R894" s="989">
        <f t="shared" si="100"/>
        <v>100</v>
      </c>
      <c r="S894" s="1011">
        <v>0</v>
      </c>
      <c r="T894" s="989">
        <f t="shared" si="96"/>
        <v>0</v>
      </c>
      <c r="U894" s="989">
        <f t="shared" si="99"/>
        <v>537483.18000000005</v>
      </c>
      <c r="V894" s="989">
        <f t="shared" si="101"/>
        <v>100</v>
      </c>
      <c r="W894" s="989"/>
      <c r="X894" s="989">
        <f t="shared" si="97"/>
        <v>0</v>
      </c>
      <c r="Y894" s="1012"/>
      <c r="Z894" s="941"/>
      <c r="AA894" s="941"/>
      <c r="AB894" s="941"/>
      <c r="AC894" s="941"/>
      <c r="AD894" s="941"/>
      <c r="AE894" s="941"/>
      <c r="AF894" s="941"/>
      <c r="AG894" s="941"/>
      <c r="AH894" s="941"/>
      <c r="AI894" s="941"/>
      <c r="AJ894" s="941"/>
      <c r="AK894" s="941"/>
      <c r="AL894" s="941"/>
      <c r="AM894" s="941"/>
    </row>
    <row r="895" spans="1:39" s="969" customFormat="1" ht="63" customHeight="1">
      <c r="A895" s="1006">
        <v>777</v>
      </c>
      <c r="B895" s="1007" t="s">
        <v>2569</v>
      </c>
      <c r="C895" s="1008"/>
      <c r="D895" s="1008" t="s">
        <v>4180</v>
      </c>
      <c r="E895" s="1007" t="s">
        <v>2570</v>
      </c>
      <c r="F895" s="1010" t="s">
        <v>560</v>
      </c>
      <c r="G895" s="989">
        <v>1248000</v>
      </c>
      <c r="H895" s="937"/>
      <c r="I895" s="1046"/>
      <c r="J895" s="1046"/>
      <c r="K895" s="1047">
        <v>-51900</v>
      </c>
      <c r="L895" s="1046"/>
      <c r="M895" s="1094">
        <v>-48165</v>
      </c>
      <c r="N895" s="989">
        <f>1248000+M895+K895</f>
        <v>1147935</v>
      </c>
      <c r="O895" s="989">
        <v>0</v>
      </c>
      <c r="P895" s="989">
        <v>1147935</v>
      </c>
      <c r="Q895" s="989">
        <f t="shared" si="98"/>
        <v>1147935</v>
      </c>
      <c r="R895" s="989">
        <f t="shared" si="100"/>
        <v>100</v>
      </c>
      <c r="S895" s="1011">
        <v>0</v>
      </c>
      <c r="T895" s="989">
        <f t="shared" si="96"/>
        <v>0</v>
      </c>
      <c r="U895" s="989">
        <f t="shared" si="99"/>
        <v>1147935</v>
      </c>
      <c r="V895" s="989">
        <f t="shared" si="101"/>
        <v>100</v>
      </c>
      <c r="W895" s="989"/>
      <c r="X895" s="989">
        <f t="shared" si="97"/>
        <v>0</v>
      </c>
      <c r="Y895" s="1012"/>
      <c r="Z895" s="941"/>
      <c r="AA895" s="941"/>
      <c r="AB895" s="941"/>
      <c r="AC895" s="941"/>
      <c r="AD895" s="941"/>
      <c r="AE895" s="941"/>
      <c r="AF895" s="941"/>
      <c r="AG895" s="941"/>
      <c r="AH895" s="941"/>
      <c r="AI895" s="941"/>
      <c r="AJ895" s="941"/>
      <c r="AK895" s="941"/>
      <c r="AL895" s="941"/>
      <c r="AM895" s="941"/>
    </row>
    <row r="896" spans="1:39" s="969" customFormat="1" ht="63" customHeight="1">
      <c r="A896" s="1006">
        <v>778</v>
      </c>
      <c r="B896" s="1007" t="s">
        <v>2571</v>
      </c>
      <c r="C896" s="1008"/>
      <c r="D896" s="1008" t="s">
        <v>4181</v>
      </c>
      <c r="E896" s="1007" t="s">
        <v>2572</v>
      </c>
      <c r="F896" s="1010" t="s">
        <v>560</v>
      </c>
      <c r="G896" s="989">
        <f>208000-22517</f>
        <v>185483</v>
      </c>
      <c r="H896" s="937"/>
      <c r="I896" s="1046"/>
      <c r="J896" s="1046"/>
      <c r="K896" s="1047">
        <v>-9000</v>
      </c>
      <c r="L896" s="1046"/>
      <c r="M896" s="1094">
        <f>-22517+22517</f>
        <v>0</v>
      </c>
      <c r="N896" s="989">
        <f>G896+M896+K896</f>
        <v>176483</v>
      </c>
      <c r="O896" s="989">
        <v>176483</v>
      </c>
      <c r="P896" s="989">
        <v>0</v>
      </c>
      <c r="Q896" s="989">
        <f t="shared" si="98"/>
        <v>176483</v>
      </c>
      <c r="R896" s="989">
        <f t="shared" si="100"/>
        <v>100</v>
      </c>
      <c r="S896" s="1011">
        <v>0</v>
      </c>
      <c r="T896" s="989">
        <f t="shared" si="96"/>
        <v>0</v>
      </c>
      <c r="U896" s="989">
        <f t="shared" si="99"/>
        <v>176483</v>
      </c>
      <c r="V896" s="989">
        <f t="shared" si="101"/>
        <v>100</v>
      </c>
      <c r="W896" s="989"/>
      <c r="X896" s="989">
        <f t="shared" si="97"/>
        <v>0</v>
      </c>
      <c r="Y896" s="1012"/>
      <c r="Z896" s="941"/>
      <c r="AA896" s="941"/>
      <c r="AB896" s="941"/>
      <c r="AC896" s="941"/>
      <c r="AD896" s="941"/>
      <c r="AE896" s="941"/>
      <c r="AF896" s="941"/>
      <c r="AG896" s="941"/>
      <c r="AH896" s="941"/>
      <c r="AI896" s="941"/>
      <c r="AJ896" s="941"/>
      <c r="AK896" s="941"/>
      <c r="AL896" s="941"/>
      <c r="AM896" s="941"/>
    </row>
    <row r="897" spans="1:39" s="969" customFormat="1" ht="63" customHeight="1">
      <c r="A897" s="1006">
        <v>779</v>
      </c>
      <c r="B897" s="1007" t="s">
        <v>2573</v>
      </c>
      <c r="C897" s="1008"/>
      <c r="D897" s="1008" t="s">
        <v>4182</v>
      </c>
      <c r="E897" s="1007" t="s">
        <v>2574</v>
      </c>
      <c r="F897" s="1010" t="s">
        <v>560</v>
      </c>
      <c r="G897" s="989">
        <v>208000</v>
      </c>
      <c r="H897" s="937"/>
      <c r="I897" s="1046"/>
      <c r="J897" s="1046"/>
      <c r="K897" s="1047">
        <v>-9000</v>
      </c>
      <c r="L897" s="1046"/>
      <c r="M897" s="1094">
        <v>-35205.129999999997</v>
      </c>
      <c r="N897" s="989">
        <f>208000+M897+K897</f>
        <v>163794.87</v>
      </c>
      <c r="O897" s="989">
        <v>0</v>
      </c>
      <c r="P897" s="989">
        <v>163794.87</v>
      </c>
      <c r="Q897" s="989">
        <f t="shared" si="98"/>
        <v>163794.87</v>
      </c>
      <c r="R897" s="989">
        <f t="shared" si="100"/>
        <v>100</v>
      </c>
      <c r="S897" s="1011">
        <v>0</v>
      </c>
      <c r="T897" s="989">
        <f t="shared" si="96"/>
        <v>0</v>
      </c>
      <c r="U897" s="989">
        <f t="shared" si="99"/>
        <v>163794.87</v>
      </c>
      <c r="V897" s="989">
        <f t="shared" si="101"/>
        <v>100</v>
      </c>
      <c r="W897" s="989"/>
      <c r="X897" s="989">
        <f t="shared" si="97"/>
        <v>0</v>
      </c>
      <c r="Y897" s="1012"/>
      <c r="Z897" s="941"/>
      <c r="AA897" s="941"/>
      <c r="AB897" s="941"/>
      <c r="AC897" s="941"/>
      <c r="AD897" s="941"/>
      <c r="AE897" s="941"/>
      <c r="AF897" s="941"/>
      <c r="AG897" s="941"/>
      <c r="AH897" s="941"/>
      <c r="AI897" s="941"/>
      <c r="AJ897" s="941"/>
      <c r="AK897" s="941"/>
      <c r="AL897" s="941"/>
      <c r="AM897" s="941"/>
    </row>
    <row r="898" spans="1:39" s="969" customFormat="1" ht="63" customHeight="1">
      <c r="A898" s="1006">
        <v>780</v>
      </c>
      <c r="B898" s="1007" t="s">
        <v>2575</v>
      </c>
      <c r="C898" s="1008"/>
      <c r="D898" s="1008" t="s">
        <v>4183</v>
      </c>
      <c r="E898" s="1007" t="s">
        <v>2576</v>
      </c>
      <c r="F898" s="1010" t="s">
        <v>560</v>
      </c>
      <c r="G898" s="989">
        <f>624000-16118.96</f>
        <v>607881.04</v>
      </c>
      <c r="H898" s="937"/>
      <c r="I898" s="1046"/>
      <c r="J898" s="1046"/>
      <c r="K898" s="1047">
        <v>-9000</v>
      </c>
      <c r="L898" s="1046"/>
      <c r="M898" s="1094">
        <f>-16118.96+16118.96</f>
        <v>0</v>
      </c>
      <c r="N898" s="989">
        <f>G898+M898+K898</f>
        <v>598881.04</v>
      </c>
      <c r="O898" s="989">
        <v>0</v>
      </c>
      <c r="P898" s="989">
        <v>598881.04</v>
      </c>
      <c r="Q898" s="989">
        <f t="shared" si="98"/>
        <v>598881.04</v>
      </c>
      <c r="R898" s="989">
        <f t="shared" si="100"/>
        <v>100</v>
      </c>
      <c r="S898" s="1011">
        <v>0</v>
      </c>
      <c r="T898" s="989">
        <f t="shared" si="96"/>
        <v>0</v>
      </c>
      <c r="U898" s="989">
        <f t="shared" si="99"/>
        <v>598881.04</v>
      </c>
      <c r="V898" s="989">
        <f t="shared" si="101"/>
        <v>100</v>
      </c>
      <c r="W898" s="989"/>
      <c r="X898" s="989">
        <f t="shared" si="97"/>
        <v>0</v>
      </c>
      <c r="Y898" s="1012"/>
      <c r="Z898" s="941"/>
      <c r="AA898" s="941"/>
      <c r="AB898" s="941"/>
      <c r="AC898" s="941"/>
      <c r="AD898" s="941"/>
      <c r="AE898" s="941"/>
      <c r="AF898" s="941"/>
      <c r="AG898" s="941"/>
      <c r="AH898" s="941"/>
      <c r="AI898" s="941"/>
      <c r="AJ898" s="941"/>
      <c r="AK898" s="941"/>
      <c r="AL898" s="941"/>
      <c r="AM898" s="941"/>
    </row>
    <row r="899" spans="1:39" s="969" customFormat="1" ht="63" customHeight="1">
      <c r="A899" s="1006">
        <v>781</v>
      </c>
      <c r="B899" s="1007" t="s">
        <v>2577</v>
      </c>
      <c r="C899" s="1008"/>
      <c r="D899" s="1008" t="s">
        <v>4184</v>
      </c>
      <c r="E899" s="1007" t="s">
        <v>4353</v>
      </c>
      <c r="F899" s="1010" t="s">
        <v>560</v>
      </c>
      <c r="G899" s="989">
        <f>624000-108127.4</f>
        <v>515872.6</v>
      </c>
      <c r="H899" s="937"/>
      <c r="I899" s="1046"/>
      <c r="J899" s="1046"/>
      <c r="K899" s="1047">
        <v>-45000</v>
      </c>
      <c r="L899" s="1046"/>
      <c r="M899" s="1094">
        <f>-108127.4+108127.4</f>
        <v>0</v>
      </c>
      <c r="N899" s="989">
        <f>G899+K899+M899</f>
        <v>470872.6</v>
      </c>
      <c r="O899" s="989">
        <v>470872.6</v>
      </c>
      <c r="P899" s="989">
        <v>0</v>
      </c>
      <c r="Q899" s="989">
        <f t="shared" si="98"/>
        <v>470872.6</v>
      </c>
      <c r="R899" s="989">
        <f t="shared" si="100"/>
        <v>100</v>
      </c>
      <c r="S899" s="1011">
        <v>0</v>
      </c>
      <c r="T899" s="989">
        <f t="shared" si="96"/>
        <v>0</v>
      </c>
      <c r="U899" s="989">
        <f t="shared" si="99"/>
        <v>470872.6</v>
      </c>
      <c r="V899" s="989">
        <f t="shared" si="101"/>
        <v>100</v>
      </c>
      <c r="W899" s="989"/>
      <c r="X899" s="989">
        <f t="shared" si="97"/>
        <v>0</v>
      </c>
      <c r="Y899" s="1012"/>
      <c r="Z899" s="941"/>
      <c r="AA899" s="941"/>
      <c r="AB899" s="941"/>
      <c r="AC899" s="941"/>
      <c r="AD899" s="941"/>
      <c r="AE899" s="941"/>
      <c r="AF899" s="941"/>
      <c r="AG899" s="941"/>
      <c r="AH899" s="941"/>
      <c r="AI899" s="941"/>
      <c r="AJ899" s="941"/>
      <c r="AK899" s="941"/>
      <c r="AL899" s="941"/>
      <c r="AM899" s="941"/>
    </row>
    <row r="900" spans="1:39" s="969" customFormat="1" ht="63" customHeight="1">
      <c r="A900" s="1006">
        <v>782</v>
      </c>
      <c r="B900" s="1007" t="s">
        <v>2578</v>
      </c>
      <c r="C900" s="1008"/>
      <c r="D900" s="1008" t="s">
        <v>4185</v>
      </c>
      <c r="E900" s="1007" t="s">
        <v>2579</v>
      </c>
      <c r="F900" s="1010" t="s">
        <v>560</v>
      </c>
      <c r="G900" s="989">
        <f>520000-7384.55</f>
        <v>512615.45</v>
      </c>
      <c r="H900" s="937"/>
      <c r="I900" s="1046"/>
      <c r="J900" s="1046"/>
      <c r="K900" s="1047">
        <v>-26200</v>
      </c>
      <c r="L900" s="1046"/>
      <c r="M900" s="1094">
        <f>-7384.55+7384.55</f>
        <v>0</v>
      </c>
      <c r="N900" s="989">
        <f>G900+K900+M900</f>
        <v>486415.45</v>
      </c>
      <c r="O900" s="989">
        <v>0</v>
      </c>
      <c r="P900" s="989">
        <v>486415.45</v>
      </c>
      <c r="Q900" s="989">
        <f t="shared" si="98"/>
        <v>486415.45</v>
      </c>
      <c r="R900" s="989">
        <f t="shared" si="100"/>
        <v>100</v>
      </c>
      <c r="S900" s="1011">
        <v>0</v>
      </c>
      <c r="T900" s="989">
        <f t="shared" si="96"/>
        <v>0</v>
      </c>
      <c r="U900" s="989">
        <f t="shared" si="99"/>
        <v>486415.45</v>
      </c>
      <c r="V900" s="989">
        <f t="shared" si="101"/>
        <v>100</v>
      </c>
      <c r="W900" s="989"/>
      <c r="X900" s="989">
        <f t="shared" si="97"/>
        <v>0</v>
      </c>
      <c r="Y900" s="1012"/>
      <c r="Z900" s="941"/>
      <c r="AA900" s="941"/>
      <c r="AB900" s="941"/>
      <c r="AC900" s="941"/>
      <c r="AD900" s="941"/>
      <c r="AE900" s="941"/>
      <c r="AF900" s="941"/>
      <c r="AG900" s="941"/>
      <c r="AH900" s="941"/>
      <c r="AI900" s="941"/>
      <c r="AJ900" s="941"/>
      <c r="AK900" s="941"/>
      <c r="AL900" s="941"/>
      <c r="AM900" s="941"/>
    </row>
    <row r="901" spans="1:39" s="969" customFormat="1" ht="63" customHeight="1">
      <c r="A901" s="1006">
        <v>783</v>
      </c>
      <c r="B901" s="1007" t="s">
        <v>2580</v>
      </c>
      <c r="C901" s="1008"/>
      <c r="D901" s="1008" t="s">
        <v>4186</v>
      </c>
      <c r="E901" s="1007" t="s">
        <v>2581</v>
      </c>
      <c r="F901" s="1010" t="s">
        <v>560</v>
      </c>
      <c r="G901" s="989">
        <f>416000-78469</f>
        <v>337531</v>
      </c>
      <c r="H901" s="937"/>
      <c r="I901" s="1046"/>
      <c r="J901" s="1046"/>
      <c r="K901" s="1047">
        <v>-18000</v>
      </c>
      <c r="L901" s="1046"/>
      <c r="M901" s="1094">
        <f>-78469+78469</f>
        <v>0</v>
      </c>
      <c r="N901" s="989">
        <f>G901+M901+K901</f>
        <v>319531</v>
      </c>
      <c r="O901" s="989">
        <v>104000</v>
      </c>
      <c r="P901" s="989">
        <v>215531</v>
      </c>
      <c r="Q901" s="989">
        <f t="shared" si="98"/>
        <v>319531</v>
      </c>
      <c r="R901" s="989">
        <f t="shared" si="100"/>
        <v>100</v>
      </c>
      <c r="S901" s="1011">
        <v>0</v>
      </c>
      <c r="T901" s="989">
        <f t="shared" si="96"/>
        <v>0</v>
      </c>
      <c r="U901" s="989">
        <f t="shared" si="99"/>
        <v>319531</v>
      </c>
      <c r="V901" s="989">
        <f t="shared" si="101"/>
        <v>100</v>
      </c>
      <c r="W901" s="989"/>
      <c r="X901" s="989">
        <f t="shared" si="97"/>
        <v>0</v>
      </c>
      <c r="Y901" s="1012"/>
      <c r="Z901" s="941"/>
      <c r="AA901" s="941"/>
      <c r="AB901" s="941"/>
      <c r="AC901" s="941"/>
      <c r="AD901" s="941"/>
      <c r="AE901" s="941"/>
      <c r="AF901" s="941"/>
      <c r="AG901" s="941"/>
      <c r="AH901" s="941"/>
      <c r="AI901" s="941"/>
      <c r="AJ901" s="941"/>
      <c r="AK901" s="941"/>
      <c r="AL901" s="941"/>
      <c r="AM901" s="941"/>
    </row>
    <row r="902" spans="1:39" s="969" customFormat="1" ht="63" customHeight="1">
      <c r="A902" s="1006">
        <v>784</v>
      </c>
      <c r="B902" s="1007" t="s">
        <v>2582</v>
      </c>
      <c r="C902" s="1008"/>
      <c r="D902" s="1008" t="s">
        <v>4187</v>
      </c>
      <c r="E902" s="1007" t="s">
        <v>2583</v>
      </c>
      <c r="F902" s="1010" t="s">
        <v>560</v>
      </c>
      <c r="G902" s="989">
        <f>1248000-260810</f>
        <v>987190</v>
      </c>
      <c r="H902" s="937"/>
      <c r="I902" s="1046"/>
      <c r="J902" s="1046"/>
      <c r="K902" s="1047">
        <v>-89860</v>
      </c>
      <c r="L902" s="1046"/>
      <c r="M902" s="1094">
        <f>-260810+260810</f>
        <v>0</v>
      </c>
      <c r="N902" s="989">
        <f>G902+M902+K902</f>
        <v>897330</v>
      </c>
      <c r="O902" s="989">
        <v>897330</v>
      </c>
      <c r="P902" s="989">
        <v>0</v>
      </c>
      <c r="Q902" s="989">
        <f t="shared" si="98"/>
        <v>897330</v>
      </c>
      <c r="R902" s="989">
        <f t="shared" si="100"/>
        <v>100</v>
      </c>
      <c r="S902" s="1011">
        <v>0</v>
      </c>
      <c r="T902" s="989">
        <f t="shared" si="96"/>
        <v>0</v>
      </c>
      <c r="U902" s="989">
        <f t="shared" si="99"/>
        <v>897330</v>
      </c>
      <c r="V902" s="989">
        <f t="shared" si="101"/>
        <v>100</v>
      </c>
      <c r="W902" s="989"/>
      <c r="X902" s="989">
        <f t="shared" si="97"/>
        <v>0</v>
      </c>
      <c r="Y902" s="1012"/>
      <c r="Z902" s="941"/>
      <c r="AA902" s="941"/>
      <c r="AB902" s="941"/>
      <c r="AC902" s="941"/>
      <c r="AD902" s="941"/>
      <c r="AE902" s="941"/>
      <c r="AF902" s="941"/>
      <c r="AG902" s="941"/>
      <c r="AH902" s="941"/>
      <c r="AI902" s="941"/>
      <c r="AJ902" s="941"/>
      <c r="AK902" s="941"/>
      <c r="AL902" s="941"/>
      <c r="AM902" s="941"/>
    </row>
    <row r="903" spans="1:39" s="969" customFormat="1" ht="63" customHeight="1">
      <c r="A903" s="1006">
        <v>785</v>
      </c>
      <c r="B903" s="1007" t="s">
        <v>2584</v>
      </c>
      <c r="C903" s="1008"/>
      <c r="D903" s="1008" t="s">
        <v>4188</v>
      </c>
      <c r="E903" s="1007" t="s">
        <v>2585</v>
      </c>
      <c r="F903" s="1010" t="s">
        <v>560</v>
      </c>
      <c r="G903" s="989">
        <v>520000</v>
      </c>
      <c r="H903" s="937"/>
      <c r="I903" s="1046"/>
      <c r="J903" s="1046"/>
      <c r="K903" s="1047"/>
      <c r="L903" s="1046"/>
      <c r="M903" s="1094"/>
      <c r="N903" s="989">
        <v>520000</v>
      </c>
      <c r="O903" s="989">
        <v>0</v>
      </c>
      <c r="P903" s="989">
        <v>520000</v>
      </c>
      <c r="Q903" s="989">
        <f t="shared" si="98"/>
        <v>520000</v>
      </c>
      <c r="R903" s="989">
        <f t="shared" si="100"/>
        <v>100</v>
      </c>
      <c r="S903" s="1011">
        <v>0</v>
      </c>
      <c r="T903" s="989">
        <f t="shared" si="96"/>
        <v>0</v>
      </c>
      <c r="U903" s="989">
        <f t="shared" si="99"/>
        <v>520000</v>
      </c>
      <c r="V903" s="989">
        <f t="shared" si="101"/>
        <v>100</v>
      </c>
      <c r="W903" s="989"/>
      <c r="X903" s="989">
        <f t="shared" si="97"/>
        <v>0</v>
      </c>
      <c r="Y903" s="1012"/>
      <c r="Z903" s="941"/>
      <c r="AA903" s="941"/>
      <c r="AB903" s="941"/>
      <c r="AC903" s="941"/>
      <c r="AD903" s="941"/>
      <c r="AE903" s="941"/>
      <c r="AF903" s="941"/>
      <c r="AG903" s="941"/>
      <c r="AH903" s="941"/>
      <c r="AI903" s="941"/>
      <c r="AJ903" s="941"/>
      <c r="AK903" s="941"/>
      <c r="AL903" s="941"/>
      <c r="AM903" s="941"/>
    </row>
    <row r="904" spans="1:39" s="969" customFormat="1" ht="63" customHeight="1">
      <c r="A904" s="1006">
        <v>786</v>
      </c>
      <c r="B904" s="1007" t="s">
        <v>2586</v>
      </c>
      <c r="C904" s="1008"/>
      <c r="D904" s="1008" t="s">
        <v>4189</v>
      </c>
      <c r="E904" s="1007" t="s">
        <v>2587</v>
      </c>
      <c r="F904" s="1010" t="s">
        <v>560</v>
      </c>
      <c r="G904" s="989">
        <f>1144000-82896.31</f>
        <v>1061103.69</v>
      </c>
      <c r="H904" s="937"/>
      <c r="I904" s="1046"/>
      <c r="J904" s="1046"/>
      <c r="K904" s="1047">
        <v>-54000</v>
      </c>
      <c r="L904" s="1046"/>
      <c r="M904" s="1094">
        <f>-82896.31+82896.31</f>
        <v>0</v>
      </c>
      <c r="N904" s="989">
        <f>G904+M904+K904</f>
        <v>1007103.69</v>
      </c>
      <c r="O904" s="989">
        <v>0</v>
      </c>
      <c r="P904" s="989">
        <v>1007103.69</v>
      </c>
      <c r="Q904" s="989">
        <f t="shared" si="98"/>
        <v>1007103.69</v>
      </c>
      <c r="R904" s="989">
        <f t="shared" si="100"/>
        <v>100</v>
      </c>
      <c r="S904" s="1011">
        <v>0</v>
      </c>
      <c r="T904" s="989">
        <f t="shared" si="96"/>
        <v>0</v>
      </c>
      <c r="U904" s="989">
        <f t="shared" si="99"/>
        <v>1007103.69</v>
      </c>
      <c r="V904" s="989">
        <f t="shared" si="101"/>
        <v>100</v>
      </c>
      <c r="W904" s="989"/>
      <c r="X904" s="989">
        <f t="shared" si="97"/>
        <v>0</v>
      </c>
      <c r="Y904" s="1012"/>
      <c r="Z904" s="941"/>
      <c r="AA904" s="941"/>
      <c r="AB904" s="941"/>
      <c r="AC904" s="941"/>
      <c r="AD904" s="941"/>
      <c r="AE904" s="941"/>
      <c r="AF904" s="941"/>
      <c r="AG904" s="941"/>
      <c r="AH904" s="941"/>
      <c r="AI904" s="941"/>
      <c r="AJ904" s="941"/>
      <c r="AK904" s="941"/>
      <c r="AL904" s="941"/>
      <c r="AM904" s="941"/>
    </row>
    <row r="905" spans="1:39" s="969" customFormat="1" ht="63" customHeight="1">
      <c r="A905" s="1006">
        <v>787</v>
      </c>
      <c r="B905" s="1007" t="s">
        <v>2588</v>
      </c>
      <c r="C905" s="1008"/>
      <c r="D905" s="1008" t="s">
        <v>4190</v>
      </c>
      <c r="E905" s="1007" t="s">
        <v>2589</v>
      </c>
      <c r="F905" s="1010" t="s">
        <v>560</v>
      </c>
      <c r="G905" s="989">
        <v>2496000</v>
      </c>
      <c r="H905" s="937"/>
      <c r="I905" s="1046"/>
      <c r="J905" s="1046"/>
      <c r="K905" s="1047">
        <v>-191200</v>
      </c>
      <c r="L905" s="1046"/>
      <c r="M905" s="1094">
        <v>-140195.19</v>
      </c>
      <c r="N905" s="989">
        <f>2496000+K905+M905</f>
        <v>2164604.81</v>
      </c>
      <c r="O905" s="989">
        <v>0</v>
      </c>
      <c r="P905" s="989">
        <v>1995554.51</v>
      </c>
      <c r="Q905" s="989">
        <f t="shared" si="98"/>
        <v>1995554.51</v>
      </c>
      <c r="R905" s="989">
        <f t="shared" si="100"/>
        <v>92.190246495848811</v>
      </c>
      <c r="S905" s="1011">
        <v>169050.3</v>
      </c>
      <c r="T905" s="989">
        <f t="shared" si="96"/>
        <v>7.8097535041511792</v>
      </c>
      <c r="U905" s="989">
        <f t="shared" si="99"/>
        <v>2164604.81</v>
      </c>
      <c r="V905" s="989">
        <f t="shared" si="101"/>
        <v>100</v>
      </c>
      <c r="W905" s="989"/>
      <c r="X905" s="989">
        <f t="shared" si="97"/>
        <v>0</v>
      </c>
      <c r="Y905" s="1012"/>
      <c r="Z905" s="941"/>
      <c r="AA905" s="941"/>
      <c r="AB905" s="941"/>
      <c r="AC905" s="941"/>
      <c r="AD905" s="941"/>
      <c r="AE905" s="941"/>
      <c r="AF905" s="941"/>
      <c r="AG905" s="941"/>
      <c r="AH905" s="941"/>
      <c r="AI905" s="941"/>
      <c r="AJ905" s="941"/>
      <c r="AK905" s="941"/>
      <c r="AL905" s="941"/>
      <c r="AM905" s="941"/>
    </row>
    <row r="906" spans="1:39" s="969" customFormat="1" ht="63" customHeight="1">
      <c r="A906" s="1006">
        <v>788</v>
      </c>
      <c r="B906" s="1007" t="s">
        <v>2590</v>
      </c>
      <c r="C906" s="1008"/>
      <c r="D906" s="1008" t="s">
        <v>4191</v>
      </c>
      <c r="E906" s="1007" t="s">
        <v>2591</v>
      </c>
      <c r="F906" s="1010" t="s">
        <v>560</v>
      </c>
      <c r="G906" s="989">
        <v>936000</v>
      </c>
      <c r="H906" s="937"/>
      <c r="I906" s="1046"/>
      <c r="J906" s="1046"/>
      <c r="K906" s="1047"/>
      <c r="L906" s="1046"/>
      <c r="M906" s="1094"/>
      <c r="N906" s="989">
        <v>936000</v>
      </c>
      <c r="O906" s="989">
        <v>0</v>
      </c>
      <c r="P906" s="989">
        <v>936000</v>
      </c>
      <c r="Q906" s="989">
        <f t="shared" si="98"/>
        <v>936000</v>
      </c>
      <c r="R906" s="989">
        <f t="shared" si="100"/>
        <v>100</v>
      </c>
      <c r="S906" s="1011">
        <v>0</v>
      </c>
      <c r="T906" s="989">
        <f t="shared" si="96"/>
        <v>0</v>
      </c>
      <c r="U906" s="989">
        <f t="shared" si="99"/>
        <v>936000</v>
      </c>
      <c r="V906" s="989">
        <f t="shared" si="101"/>
        <v>100</v>
      </c>
      <c r="W906" s="989"/>
      <c r="X906" s="989">
        <f t="shared" si="97"/>
        <v>0</v>
      </c>
      <c r="Y906" s="1012"/>
      <c r="Z906" s="941"/>
      <c r="AA906" s="941"/>
      <c r="AB906" s="941"/>
      <c r="AC906" s="941"/>
      <c r="AD906" s="941"/>
      <c r="AE906" s="941"/>
      <c r="AF906" s="941"/>
      <c r="AG906" s="941"/>
      <c r="AH906" s="941"/>
      <c r="AI906" s="941"/>
      <c r="AJ906" s="941"/>
      <c r="AK906" s="941"/>
      <c r="AL906" s="941"/>
      <c r="AM906" s="941"/>
    </row>
    <row r="907" spans="1:39" s="969" customFormat="1" ht="63" customHeight="1">
      <c r="A907" s="1006">
        <v>789</v>
      </c>
      <c r="B907" s="1007" t="s">
        <v>2592</v>
      </c>
      <c r="C907" s="1008"/>
      <c r="D907" s="1008" t="s">
        <v>4192</v>
      </c>
      <c r="E907" s="1007" t="s">
        <v>2593</v>
      </c>
      <c r="F907" s="1010" t="s">
        <v>560</v>
      </c>
      <c r="G907" s="989">
        <f>624000-25279</f>
        <v>598721</v>
      </c>
      <c r="H907" s="937"/>
      <c r="I907" s="1046"/>
      <c r="J907" s="1046"/>
      <c r="K907" s="1047">
        <v>-43015</v>
      </c>
      <c r="L907" s="1046"/>
      <c r="M907" s="1094">
        <f>-25279+25279</f>
        <v>0</v>
      </c>
      <c r="N907" s="989">
        <f>G907+M907-43015</f>
        <v>555706</v>
      </c>
      <c r="O907" s="989">
        <v>0</v>
      </c>
      <c r="P907" s="989">
        <v>555706</v>
      </c>
      <c r="Q907" s="989">
        <f t="shared" si="98"/>
        <v>555706</v>
      </c>
      <c r="R907" s="989">
        <f t="shared" si="100"/>
        <v>100</v>
      </c>
      <c r="S907" s="1011">
        <v>0</v>
      </c>
      <c r="T907" s="989">
        <f t="shared" si="96"/>
        <v>0</v>
      </c>
      <c r="U907" s="989">
        <f t="shared" si="99"/>
        <v>555706</v>
      </c>
      <c r="V907" s="989">
        <f t="shared" si="101"/>
        <v>100</v>
      </c>
      <c r="W907" s="989"/>
      <c r="X907" s="989">
        <f t="shared" si="97"/>
        <v>0</v>
      </c>
      <c r="Y907" s="1012"/>
      <c r="Z907" s="941"/>
      <c r="AA907" s="941"/>
      <c r="AB907" s="941"/>
      <c r="AC907" s="941"/>
      <c r="AD907" s="941"/>
      <c r="AE907" s="941"/>
      <c r="AF907" s="941"/>
      <c r="AG907" s="941"/>
      <c r="AH907" s="941"/>
      <c r="AI907" s="941"/>
      <c r="AJ907" s="941"/>
      <c r="AK907" s="941"/>
      <c r="AL907" s="941"/>
      <c r="AM907" s="941"/>
    </row>
    <row r="908" spans="1:39" s="969" customFormat="1" ht="63" customHeight="1">
      <c r="A908" s="1006">
        <v>790</v>
      </c>
      <c r="B908" s="1007" t="s">
        <v>2594</v>
      </c>
      <c r="C908" s="1008"/>
      <c r="D908" s="1008" t="s">
        <v>4193</v>
      </c>
      <c r="E908" s="1007" t="s">
        <v>2595</v>
      </c>
      <c r="F908" s="1010" t="s">
        <v>581</v>
      </c>
      <c r="G908" s="989">
        <v>208000</v>
      </c>
      <c r="H908" s="937"/>
      <c r="I908" s="1046"/>
      <c r="J908" s="1046"/>
      <c r="K908" s="1047"/>
      <c r="L908" s="1046"/>
      <c r="M908" s="1094">
        <v>-57200</v>
      </c>
      <c r="N908" s="989">
        <f>208000+M908</f>
        <v>150800</v>
      </c>
      <c r="O908" s="989">
        <v>0</v>
      </c>
      <c r="P908" s="989">
        <v>150800</v>
      </c>
      <c r="Q908" s="989">
        <f t="shared" si="98"/>
        <v>150800</v>
      </c>
      <c r="R908" s="989">
        <f t="shared" si="100"/>
        <v>100</v>
      </c>
      <c r="S908" s="1011">
        <v>0</v>
      </c>
      <c r="T908" s="989">
        <f t="shared" si="96"/>
        <v>0</v>
      </c>
      <c r="U908" s="989">
        <f t="shared" si="99"/>
        <v>150800</v>
      </c>
      <c r="V908" s="989">
        <f t="shared" si="101"/>
        <v>100</v>
      </c>
      <c r="W908" s="989"/>
      <c r="X908" s="989">
        <f t="shared" si="97"/>
        <v>0</v>
      </c>
      <c r="Y908" s="1012"/>
      <c r="Z908" s="941"/>
      <c r="AA908" s="941"/>
      <c r="AB908" s="941"/>
      <c r="AC908" s="941"/>
      <c r="AD908" s="941"/>
      <c r="AE908" s="941"/>
      <c r="AF908" s="941"/>
      <c r="AG908" s="941"/>
      <c r="AH908" s="941"/>
      <c r="AI908" s="941"/>
      <c r="AJ908" s="941"/>
      <c r="AK908" s="941"/>
      <c r="AL908" s="941"/>
      <c r="AM908" s="941"/>
    </row>
    <row r="909" spans="1:39" s="969" customFormat="1" ht="63" customHeight="1">
      <c r="A909" s="1006">
        <v>791</v>
      </c>
      <c r="B909" s="1007" t="s">
        <v>2596</v>
      </c>
      <c r="C909" s="1008"/>
      <c r="D909" s="1008" t="s">
        <v>4194</v>
      </c>
      <c r="E909" s="1007" t="s">
        <v>2996</v>
      </c>
      <c r="F909" s="1010" t="s">
        <v>581</v>
      </c>
      <c r="G909" s="989">
        <v>208000</v>
      </c>
      <c r="H909" s="937"/>
      <c r="I909" s="1046"/>
      <c r="J909" s="1046"/>
      <c r="K909" s="1047"/>
      <c r="L909" s="1046"/>
      <c r="M909" s="1094"/>
      <c r="N909" s="989">
        <v>208000</v>
      </c>
      <c r="O909" s="989">
        <v>0</v>
      </c>
      <c r="P909" s="989">
        <v>208000</v>
      </c>
      <c r="Q909" s="989">
        <f t="shared" si="98"/>
        <v>208000</v>
      </c>
      <c r="R909" s="989">
        <f t="shared" si="100"/>
        <v>100</v>
      </c>
      <c r="S909" s="1011">
        <v>0</v>
      </c>
      <c r="T909" s="989">
        <f t="shared" si="96"/>
        <v>0</v>
      </c>
      <c r="U909" s="989">
        <f t="shared" si="99"/>
        <v>208000</v>
      </c>
      <c r="V909" s="989">
        <f t="shared" si="101"/>
        <v>100</v>
      </c>
      <c r="W909" s="989"/>
      <c r="X909" s="989">
        <f t="shared" si="97"/>
        <v>0</v>
      </c>
      <c r="Y909" s="1012"/>
      <c r="Z909" s="941"/>
      <c r="AA909" s="941"/>
      <c r="AB909" s="941"/>
      <c r="AC909" s="941"/>
      <c r="AD909" s="941"/>
      <c r="AE909" s="941"/>
      <c r="AF909" s="941"/>
      <c r="AG909" s="941"/>
      <c r="AH909" s="941"/>
      <c r="AI909" s="941"/>
      <c r="AJ909" s="941"/>
      <c r="AK909" s="941"/>
      <c r="AL909" s="941"/>
      <c r="AM909" s="941"/>
    </row>
    <row r="910" spans="1:39" s="969" customFormat="1" ht="63" customHeight="1">
      <c r="A910" s="1006">
        <v>792</v>
      </c>
      <c r="B910" s="1007" t="s">
        <v>2597</v>
      </c>
      <c r="C910" s="1008"/>
      <c r="D910" s="1008" t="s">
        <v>4195</v>
      </c>
      <c r="E910" s="1007" t="s">
        <v>2997</v>
      </c>
      <c r="F910" s="1010" t="s">
        <v>581</v>
      </c>
      <c r="G910" s="989">
        <v>312000</v>
      </c>
      <c r="H910" s="937"/>
      <c r="I910" s="1046"/>
      <c r="J910" s="1046"/>
      <c r="K910" s="1047"/>
      <c r="L910" s="1046"/>
      <c r="M910" s="1094">
        <v>-39370</v>
      </c>
      <c r="N910" s="989">
        <f>312000+M910</f>
        <v>272630</v>
      </c>
      <c r="O910" s="989">
        <v>0</v>
      </c>
      <c r="P910" s="989">
        <v>272630</v>
      </c>
      <c r="Q910" s="989">
        <f t="shared" si="98"/>
        <v>272630</v>
      </c>
      <c r="R910" s="989">
        <f t="shared" si="100"/>
        <v>100</v>
      </c>
      <c r="S910" s="1011">
        <v>0</v>
      </c>
      <c r="T910" s="989">
        <f t="shared" si="96"/>
        <v>0</v>
      </c>
      <c r="U910" s="989">
        <f t="shared" si="99"/>
        <v>272630</v>
      </c>
      <c r="V910" s="989">
        <f t="shared" si="101"/>
        <v>100</v>
      </c>
      <c r="W910" s="989"/>
      <c r="X910" s="989">
        <f t="shared" si="97"/>
        <v>0</v>
      </c>
      <c r="Y910" s="1012"/>
      <c r="Z910" s="941"/>
      <c r="AA910" s="941"/>
      <c r="AB910" s="941"/>
      <c r="AC910" s="941"/>
      <c r="AD910" s="941"/>
      <c r="AE910" s="941"/>
      <c r="AF910" s="941"/>
      <c r="AG910" s="941"/>
      <c r="AH910" s="941"/>
      <c r="AI910" s="941"/>
      <c r="AJ910" s="941"/>
      <c r="AK910" s="941"/>
      <c r="AL910" s="941"/>
      <c r="AM910" s="941"/>
    </row>
    <row r="911" spans="1:39" s="969" customFormat="1" ht="63" customHeight="1">
      <c r="A911" s="1006">
        <v>793</v>
      </c>
      <c r="B911" s="1007" t="s">
        <v>2598</v>
      </c>
      <c r="C911" s="1008"/>
      <c r="D911" s="1008" t="s">
        <v>4196</v>
      </c>
      <c r="E911" s="1007" t="s">
        <v>2998</v>
      </c>
      <c r="F911" s="1010" t="s">
        <v>581</v>
      </c>
      <c r="G911" s="989">
        <v>312000</v>
      </c>
      <c r="H911" s="937"/>
      <c r="I911" s="1046"/>
      <c r="J911" s="1046"/>
      <c r="K911" s="1047"/>
      <c r="L911" s="1046"/>
      <c r="M911" s="1094">
        <v>-46800</v>
      </c>
      <c r="N911" s="989">
        <f>312000+M911</f>
        <v>265200</v>
      </c>
      <c r="O911" s="989">
        <v>0</v>
      </c>
      <c r="P911" s="989">
        <v>265200</v>
      </c>
      <c r="Q911" s="989">
        <f t="shared" si="98"/>
        <v>265200</v>
      </c>
      <c r="R911" s="989">
        <f t="shared" si="100"/>
        <v>100</v>
      </c>
      <c r="S911" s="1011">
        <v>0</v>
      </c>
      <c r="T911" s="989">
        <f t="shared" si="96"/>
        <v>0</v>
      </c>
      <c r="U911" s="989">
        <f t="shared" si="99"/>
        <v>265200</v>
      </c>
      <c r="V911" s="989">
        <f t="shared" si="101"/>
        <v>100</v>
      </c>
      <c r="W911" s="989"/>
      <c r="X911" s="989">
        <f t="shared" si="97"/>
        <v>0</v>
      </c>
      <c r="Y911" s="1012"/>
      <c r="Z911" s="941"/>
      <c r="AA911" s="941"/>
      <c r="AB911" s="941"/>
      <c r="AC911" s="941"/>
      <c r="AD911" s="941"/>
      <c r="AE911" s="941"/>
      <c r="AF911" s="941"/>
      <c r="AG911" s="941"/>
      <c r="AH911" s="941"/>
      <c r="AI911" s="941"/>
      <c r="AJ911" s="941"/>
      <c r="AK911" s="941"/>
      <c r="AL911" s="941"/>
      <c r="AM911" s="941"/>
    </row>
    <row r="912" spans="1:39" s="969" customFormat="1" ht="63" customHeight="1">
      <c r="A912" s="1006">
        <v>794</v>
      </c>
      <c r="B912" s="1007" t="s">
        <v>2599</v>
      </c>
      <c r="C912" s="1008"/>
      <c r="D912" s="1008" t="s">
        <v>4197</v>
      </c>
      <c r="E912" s="1007" t="s">
        <v>2600</v>
      </c>
      <c r="F912" s="1010" t="s">
        <v>581</v>
      </c>
      <c r="G912" s="989">
        <v>104000</v>
      </c>
      <c r="H912" s="937"/>
      <c r="I912" s="1046"/>
      <c r="J912" s="1046"/>
      <c r="K912" s="1047"/>
      <c r="L912" s="1046"/>
      <c r="M912" s="1094">
        <v>-22087.02</v>
      </c>
      <c r="N912" s="989">
        <f>104000+M912</f>
        <v>81912.98</v>
      </c>
      <c r="O912" s="989">
        <v>0</v>
      </c>
      <c r="P912" s="989">
        <v>81912.98</v>
      </c>
      <c r="Q912" s="989">
        <f t="shared" si="98"/>
        <v>81912.98</v>
      </c>
      <c r="R912" s="989">
        <f t="shared" si="100"/>
        <v>100</v>
      </c>
      <c r="S912" s="1011">
        <v>0</v>
      </c>
      <c r="T912" s="989">
        <f t="shared" si="96"/>
        <v>0</v>
      </c>
      <c r="U912" s="989">
        <f t="shared" si="99"/>
        <v>81912.98</v>
      </c>
      <c r="V912" s="989">
        <f t="shared" si="101"/>
        <v>100</v>
      </c>
      <c r="W912" s="989"/>
      <c r="X912" s="989">
        <f t="shared" si="97"/>
        <v>0</v>
      </c>
      <c r="Y912" s="1012"/>
      <c r="Z912" s="941"/>
      <c r="AA912" s="941"/>
      <c r="AB912" s="941"/>
      <c r="AC912" s="941"/>
      <c r="AD912" s="941"/>
      <c r="AE912" s="941"/>
      <c r="AF912" s="941"/>
      <c r="AG912" s="941"/>
      <c r="AH912" s="941"/>
      <c r="AI912" s="941"/>
      <c r="AJ912" s="941"/>
      <c r="AK912" s="941"/>
      <c r="AL912" s="941"/>
      <c r="AM912" s="941"/>
    </row>
    <row r="913" spans="1:25" ht="63" customHeight="1">
      <c r="A913" s="1006">
        <v>795</v>
      </c>
      <c r="B913" s="1007" t="s">
        <v>4533</v>
      </c>
      <c r="C913" s="1008"/>
      <c r="D913" s="1008" t="s">
        <v>4534</v>
      </c>
      <c r="E913" s="1007" t="s">
        <v>4408</v>
      </c>
      <c r="F913" s="1010" t="s">
        <v>581</v>
      </c>
      <c r="G913" s="989">
        <v>0</v>
      </c>
      <c r="H913" s="937"/>
      <c r="I913" s="1046"/>
      <c r="J913" s="1046"/>
      <c r="K913" s="1047"/>
      <c r="L913" s="1046"/>
      <c r="M913" s="1094"/>
      <c r="N913" s="989">
        <v>0</v>
      </c>
      <c r="O913" s="989">
        <v>0</v>
      </c>
      <c r="P913" s="989"/>
      <c r="Q913" s="989">
        <f t="shared" si="98"/>
        <v>0</v>
      </c>
      <c r="R913" s="989"/>
      <c r="S913" s="1011"/>
      <c r="T913" s="989">
        <v>0</v>
      </c>
      <c r="U913" s="989">
        <f t="shared" si="99"/>
        <v>0</v>
      </c>
      <c r="V913" s="989">
        <v>0</v>
      </c>
      <c r="W913" s="989"/>
      <c r="X913" s="989">
        <f t="shared" si="97"/>
        <v>0</v>
      </c>
      <c r="Y913" s="1012"/>
    </row>
    <row r="914" spans="1:25" ht="63" customHeight="1">
      <c r="A914" s="1006">
        <v>796</v>
      </c>
      <c r="B914" s="1007" t="s">
        <v>2601</v>
      </c>
      <c r="C914" s="1008"/>
      <c r="D914" s="1008" t="s">
        <v>4198</v>
      </c>
      <c r="E914" s="1007" t="s">
        <v>2602</v>
      </c>
      <c r="F914" s="1010" t="s">
        <v>582</v>
      </c>
      <c r="G914" s="989">
        <v>104000</v>
      </c>
      <c r="H914" s="937"/>
      <c r="I914" s="1046"/>
      <c r="J914" s="1046"/>
      <c r="K914" s="1047"/>
      <c r="L914" s="1046"/>
      <c r="M914" s="1094"/>
      <c r="N914" s="989">
        <v>104000</v>
      </c>
      <c r="O914" s="989">
        <v>0</v>
      </c>
      <c r="P914" s="989">
        <v>104000</v>
      </c>
      <c r="Q914" s="989">
        <f t="shared" si="98"/>
        <v>104000</v>
      </c>
      <c r="R914" s="989">
        <f t="shared" si="100"/>
        <v>100</v>
      </c>
      <c r="S914" s="1011">
        <v>0</v>
      </c>
      <c r="T914" s="989">
        <f t="shared" si="96"/>
        <v>0</v>
      </c>
      <c r="U914" s="989">
        <f t="shared" si="99"/>
        <v>104000</v>
      </c>
      <c r="V914" s="989">
        <f t="shared" si="101"/>
        <v>100</v>
      </c>
      <c r="W914" s="989"/>
      <c r="X914" s="989">
        <f t="shared" si="97"/>
        <v>0</v>
      </c>
      <c r="Y914" s="1012"/>
    </row>
    <row r="915" spans="1:25" ht="63" customHeight="1">
      <c r="A915" s="1006">
        <v>797</v>
      </c>
      <c r="B915" s="1007" t="s">
        <v>2603</v>
      </c>
      <c r="C915" s="1008"/>
      <c r="D915" s="1008" t="s">
        <v>4199</v>
      </c>
      <c r="E915" s="1007" t="s">
        <v>2604</v>
      </c>
      <c r="F915" s="1010" t="s">
        <v>582</v>
      </c>
      <c r="G915" s="989"/>
      <c r="H915" s="937"/>
      <c r="I915" s="1046"/>
      <c r="J915" s="1046"/>
      <c r="K915" s="1047"/>
      <c r="L915" s="1046"/>
      <c r="M915" s="1094"/>
      <c r="N915" s="989">
        <f t="shared" ref="N915:N920" si="102">G915+M915</f>
        <v>0</v>
      </c>
      <c r="O915" s="989">
        <v>0</v>
      </c>
      <c r="P915" s="989">
        <v>0</v>
      </c>
      <c r="Q915" s="989">
        <f t="shared" si="98"/>
        <v>0</v>
      </c>
      <c r="R915" s="989"/>
      <c r="S915" s="1011">
        <v>0</v>
      </c>
      <c r="T915" s="989" t="e">
        <f t="shared" si="96"/>
        <v>#DIV/0!</v>
      </c>
      <c r="U915" s="989">
        <f t="shared" si="99"/>
        <v>0</v>
      </c>
      <c r="V915" s="989" t="e">
        <f t="shared" si="101"/>
        <v>#DIV/0!</v>
      </c>
      <c r="W915" s="989"/>
      <c r="X915" s="989">
        <f t="shared" si="97"/>
        <v>0</v>
      </c>
      <c r="Y915" s="1012"/>
    </row>
    <row r="916" spans="1:25" ht="63" customHeight="1">
      <c r="A916" s="1006">
        <v>798</v>
      </c>
      <c r="B916" s="1007" t="s">
        <v>2605</v>
      </c>
      <c r="C916" s="1008"/>
      <c r="D916" s="1008" t="s">
        <v>4200</v>
      </c>
      <c r="E916" s="1007" t="s">
        <v>2606</v>
      </c>
      <c r="F916" s="1010" t="s">
        <v>582</v>
      </c>
      <c r="G916" s="989">
        <f>104000-30680.6</f>
        <v>73319.399999999994</v>
      </c>
      <c r="H916" s="937"/>
      <c r="I916" s="1046"/>
      <c r="J916" s="1046"/>
      <c r="K916" s="1047"/>
      <c r="L916" s="1046"/>
      <c r="M916" s="1094">
        <f>-27600-3080.6+30680.6</f>
        <v>0</v>
      </c>
      <c r="N916" s="989">
        <f t="shared" si="102"/>
        <v>73319.399999999994</v>
      </c>
      <c r="O916" s="989">
        <v>0</v>
      </c>
      <c r="P916" s="989">
        <v>73319.399999999994</v>
      </c>
      <c r="Q916" s="989">
        <f t="shared" si="98"/>
        <v>73319.399999999994</v>
      </c>
      <c r="R916" s="989">
        <f t="shared" si="100"/>
        <v>100</v>
      </c>
      <c r="S916" s="1011">
        <v>0</v>
      </c>
      <c r="T916" s="989">
        <f t="shared" si="96"/>
        <v>0</v>
      </c>
      <c r="U916" s="989">
        <f t="shared" si="99"/>
        <v>73319.399999999994</v>
      </c>
      <c r="V916" s="989">
        <f t="shared" si="101"/>
        <v>100</v>
      </c>
      <c r="W916" s="989"/>
      <c r="X916" s="989">
        <f t="shared" si="97"/>
        <v>0</v>
      </c>
      <c r="Y916" s="1012"/>
    </row>
    <row r="917" spans="1:25" ht="63" customHeight="1">
      <c r="A917" s="1006">
        <v>799</v>
      </c>
      <c r="B917" s="1007" t="s">
        <v>2607</v>
      </c>
      <c r="C917" s="1008"/>
      <c r="D917" s="1008" t="s">
        <v>4201</v>
      </c>
      <c r="E917" s="1007" t="s">
        <v>2608</v>
      </c>
      <c r="F917" s="1010" t="s">
        <v>582</v>
      </c>
      <c r="G917" s="989">
        <f>312000-96363.12</f>
        <v>215636.88</v>
      </c>
      <c r="H917" s="937"/>
      <c r="I917" s="1046"/>
      <c r="J917" s="1046"/>
      <c r="K917" s="1047"/>
      <c r="L917" s="1046"/>
      <c r="M917" s="1094">
        <f>-23950-72413.12+96363.12</f>
        <v>0</v>
      </c>
      <c r="N917" s="989">
        <f t="shared" si="102"/>
        <v>215636.88</v>
      </c>
      <c r="O917" s="989">
        <v>0</v>
      </c>
      <c r="P917" s="989">
        <v>215636.88</v>
      </c>
      <c r="Q917" s="989">
        <f t="shared" si="98"/>
        <v>215636.88</v>
      </c>
      <c r="R917" s="989">
        <f t="shared" si="100"/>
        <v>100</v>
      </c>
      <c r="S917" s="1011">
        <v>0</v>
      </c>
      <c r="T917" s="989">
        <f t="shared" si="96"/>
        <v>0</v>
      </c>
      <c r="U917" s="989">
        <f t="shared" si="99"/>
        <v>215636.88</v>
      </c>
      <c r="V917" s="989">
        <f t="shared" si="101"/>
        <v>100</v>
      </c>
      <c r="W917" s="989"/>
      <c r="X917" s="989">
        <f t="shared" si="97"/>
        <v>0</v>
      </c>
      <c r="Y917" s="1012"/>
    </row>
    <row r="918" spans="1:25" ht="63" customHeight="1">
      <c r="A918" s="1006">
        <v>800</v>
      </c>
      <c r="B918" s="1007" t="s">
        <v>2609</v>
      </c>
      <c r="C918" s="1008"/>
      <c r="D918" s="1008" t="s">
        <v>4202</v>
      </c>
      <c r="E918" s="1007" t="s">
        <v>2610</v>
      </c>
      <c r="F918" s="1010" t="s">
        <v>540</v>
      </c>
      <c r="G918" s="989">
        <f>104000-7316</f>
        <v>96684</v>
      </c>
      <c r="H918" s="937"/>
      <c r="I918" s="1046"/>
      <c r="J918" s="1046"/>
      <c r="K918" s="1047"/>
      <c r="L918" s="1046"/>
      <c r="M918" s="1094">
        <f>-7316+7316</f>
        <v>0</v>
      </c>
      <c r="N918" s="989">
        <f t="shared" si="102"/>
        <v>96684</v>
      </c>
      <c r="O918" s="989">
        <v>0</v>
      </c>
      <c r="P918" s="989">
        <v>96684</v>
      </c>
      <c r="Q918" s="989">
        <f t="shared" si="98"/>
        <v>96684</v>
      </c>
      <c r="R918" s="989">
        <f t="shared" si="100"/>
        <v>100</v>
      </c>
      <c r="S918" s="1011">
        <v>0</v>
      </c>
      <c r="T918" s="989">
        <f t="shared" si="96"/>
        <v>0</v>
      </c>
      <c r="U918" s="989">
        <f t="shared" si="99"/>
        <v>96684</v>
      </c>
      <c r="V918" s="989">
        <f t="shared" si="101"/>
        <v>100</v>
      </c>
      <c r="W918" s="989"/>
      <c r="X918" s="989">
        <f t="shared" si="97"/>
        <v>0</v>
      </c>
      <c r="Y918" s="1012"/>
    </row>
    <row r="919" spans="1:25" ht="63" customHeight="1">
      <c r="A919" s="1006">
        <v>801</v>
      </c>
      <c r="B919" s="1007" t="s">
        <v>4535</v>
      </c>
      <c r="C919" s="1008"/>
      <c r="D919" s="1008" t="s">
        <v>4536</v>
      </c>
      <c r="E919" s="1007" t="s">
        <v>4409</v>
      </c>
      <c r="F919" s="1010" t="s">
        <v>540</v>
      </c>
      <c r="G919" s="989"/>
      <c r="H919" s="937"/>
      <c r="I919" s="1046"/>
      <c r="J919" s="1046"/>
      <c r="K919" s="1047"/>
      <c r="L919" s="1046"/>
      <c r="M919" s="1094"/>
      <c r="N919" s="989">
        <f t="shared" si="102"/>
        <v>0</v>
      </c>
      <c r="O919" s="989">
        <v>0</v>
      </c>
      <c r="P919" s="989">
        <v>0</v>
      </c>
      <c r="Q919" s="989">
        <f t="shared" si="98"/>
        <v>0</v>
      </c>
      <c r="R919" s="989" t="e">
        <f t="shared" si="100"/>
        <v>#DIV/0!</v>
      </c>
      <c r="S919" s="1011">
        <v>0</v>
      </c>
      <c r="T919" s="989">
        <v>0</v>
      </c>
      <c r="U919" s="989">
        <f t="shared" si="99"/>
        <v>0</v>
      </c>
      <c r="V919" s="989">
        <v>0</v>
      </c>
      <c r="W919" s="989"/>
      <c r="X919" s="989">
        <f t="shared" si="97"/>
        <v>0</v>
      </c>
      <c r="Y919" s="1012"/>
    </row>
    <row r="920" spans="1:25" ht="63" customHeight="1">
      <c r="A920" s="1006">
        <v>802</v>
      </c>
      <c r="B920" s="1007" t="s">
        <v>4537</v>
      </c>
      <c r="C920" s="1008"/>
      <c r="D920" s="1008" t="s">
        <v>4538</v>
      </c>
      <c r="E920" s="1007" t="s">
        <v>4410</v>
      </c>
      <c r="F920" s="1010" t="s">
        <v>344</v>
      </c>
      <c r="G920" s="989"/>
      <c r="H920" s="937"/>
      <c r="I920" s="1046"/>
      <c r="J920" s="1046"/>
      <c r="K920" s="1047"/>
      <c r="L920" s="1046"/>
      <c r="M920" s="1094"/>
      <c r="N920" s="989">
        <f t="shared" si="102"/>
        <v>0</v>
      </c>
      <c r="O920" s="989">
        <v>0</v>
      </c>
      <c r="P920" s="989">
        <v>0</v>
      </c>
      <c r="Q920" s="989">
        <f t="shared" si="98"/>
        <v>0</v>
      </c>
      <c r="R920" s="989" t="e">
        <f t="shared" si="100"/>
        <v>#DIV/0!</v>
      </c>
      <c r="S920" s="1011">
        <v>0</v>
      </c>
      <c r="T920" s="989">
        <v>0</v>
      </c>
      <c r="U920" s="989">
        <f t="shared" si="99"/>
        <v>0</v>
      </c>
      <c r="V920" s="989">
        <v>0</v>
      </c>
      <c r="W920" s="989"/>
      <c r="X920" s="989">
        <f t="shared" si="97"/>
        <v>0</v>
      </c>
      <c r="Y920" s="1012"/>
    </row>
    <row r="921" spans="1:25" ht="63" customHeight="1">
      <c r="A921" s="1006">
        <v>803</v>
      </c>
      <c r="B921" s="1007" t="s">
        <v>2611</v>
      </c>
      <c r="C921" s="1008"/>
      <c r="D921" s="1008" t="s">
        <v>4203</v>
      </c>
      <c r="E921" s="1007" t="s">
        <v>4354</v>
      </c>
      <c r="F921" s="1010" t="s">
        <v>547</v>
      </c>
      <c r="G921" s="989">
        <f>416000-34717</f>
        <v>381283</v>
      </c>
      <c r="H921" s="937"/>
      <c r="I921" s="1046"/>
      <c r="J921" s="1046"/>
      <c r="K921" s="1047">
        <v>-25392</v>
      </c>
      <c r="L921" s="1046"/>
      <c r="M921" s="1094">
        <f>-34717+34717</f>
        <v>0</v>
      </c>
      <c r="N921" s="989">
        <f>G921+K921+M921</f>
        <v>355891</v>
      </c>
      <c r="O921" s="989">
        <v>0</v>
      </c>
      <c r="P921" s="989">
        <v>355891</v>
      </c>
      <c r="Q921" s="989">
        <f t="shared" si="98"/>
        <v>355891</v>
      </c>
      <c r="R921" s="989">
        <f t="shared" si="100"/>
        <v>100</v>
      </c>
      <c r="S921" s="1011">
        <v>0</v>
      </c>
      <c r="T921" s="989">
        <f t="shared" si="96"/>
        <v>0</v>
      </c>
      <c r="U921" s="989">
        <f t="shared" si="99"/>
        <v>355891</v>
      </c>
      <c r="V921" s="989">
        <f t="shared" si="101"/>
        <v>100</v>
      </c>
      <c r="W921" s="989"/>
      <c r="X921" s="989">
        <f t="shared" si="97"/>
        <v>0</v>
      </c>
      <c r="Y921" s="1012"/>
    </row>
    <row r="922" spans="1:25" ht="63" customHeight="1">
      <c r="A922" s="1006">
        <v>804</v>
      </c>
      <c r="B922" s="1007" t="s">
        <v>2612</v>
      </c>
      <c r="C922" s="1008"/>
      <c r="D922" s="1008" t="s">
        <v>4204</v>
      </c>
      <c r="E922" s="1007" t="s">
        <v>4355</v>
      </c>
      <c r="F922" s="1010" t="s">
        <v>547</v>
      </c>
      <c r="G922" s="989">
        <f>520000-48653.4</f>
        <v>471346.6</v>
      </c>
      <c r="H922" s="937"/>
      <c r="I922" s="1046"/>
      <c r="J922" s="1046"/>
      <c r="K922" s="1047">
        <v>-28730</v>
      </c>
      <c r="L922" s="1046"/>
      <c r="M922" s="1094">
        <f>-48653.4+48653.4</f>
        <v>0</v>
      </c>
      <c r="N922" s="989">
        <f>G922+K922+M922</f>
        <v>442616.6</v>
      </c>
      <c r="O922" s="989">
        <v>0</v>
      </c>
      <c r="P922" s="989">
        <v>442616.6</v>
      </c>
      <c r="Q922" s="989">
        <f t="shared" si="98"/>
        <v>442616.6</v>
      </c>
      <c r="R922" s="989">
        <f t="shared" si="100"/>
        <v>100</v>
      </c>
      <c r="S922" s="1011">
        <v>0</v>
      </c>
      <c r="T922" s="989">
        <f t="shared" si="96"/>
        <v>0</v>
      </c>
      <c r="U922" s="989">
        <f t="shared" si="99"/>
        <v>442616.6</v>
      </c>
      <c r="V922" s="989">
        <f t="shared" si="101"/>
        <v>100</v>
      </c>
      <c r="W922" s="989"/>
      <c r="X922" s="989">
        <f t="shared" si="97"/>
        <v>0</v>
      </c>
      <c r="Y922" s="1012"/>
    </row>
    <row r="923" spans="1:25" ht="63" customHeight="1">
      <c r="A923" s="1006">
        <v>805</v>
      </c>
      <c r="B923" s="1007" t="s">
        <v>2613</v>
      </c>
      <c r="C923" s="1008"/>
      <c r="D923" s="1008" t="s">
        <v>4205</v>
      </c>
      <c r="E923" s="1007" t="s">
        <v>2614</v>
      </c>
      <c r="F923" s="1010" t="s">
        <v>1179</v>
      </c>
      <c r="G923" s="989">
        <f>208000-36975</f>
        <v>171025</v>
      </c>
      <c r="H923" s="937"/>
      <c r="I923" s="1046"/>
      <c r="J923" s="1046"/>
      <c r="K923" s="1047"/>
      <c r="L923" s="1046"/>
      <c r="M923" s="1094">
        <f>-36975+36975</f>
        <v>0</v>
      </c>
      <c r="N923" s="989">
        <f>G923+M923</f>
        <v>171025</v>
      </c>
      <c r="O923" s="989">
        <v>0</v>
      </c>
      <c r="P923" s="989">
        <v>171025</v>
      </c>
      <c r="Q923" s="989">
        <f t="shared" si="98"/>
        <v>171025</v>
      </c>
      <c r="R923" s="989">
        <f t="shared" si="100"/>
        <v>100</v>
      </c>
      <c r="S923" s="1011">
        <v>0</v>
      </c>
      <c r="T923" s="989">
        <f t="shared" si="96"/>
        <v>0</v>
      </c>
      <c r="U923" s="989">
        <f t="shared" si="99"/>
        <v>171025</v>
      </c>
      <c r="V923" s="989">
        <f t="shared" si="101"/>
        <v>100</v>
      </c>
      <c r="W923" s="989"/>
      <c r="X923" s="989">
        <f t="shared" si="97"/>
        <v>0</v>
      </c>
      <c r="Y923" s="1012"/>
    </row>
    <row r="924" spans="1:25" ht="63" customHeight="1">
      <c r="A924" s="1006">
        <v>806</v>
      </c>
      <c r="B924" s="1007" t="s">
        <v>2615</v>
      </c>
      <c r="C924" s="1008"/>
      <c r="D924" s="1008" t="s">
        <v>4206</v>
      </c>
      <c r="E924" s="1007" t="s">
        <v>3129</v>
      </c>
      <c r="F924" s="1010" t="s">
        <v>1179</v>
      </c>
      <c r="G924" s="989">
        <f>208000-105521.56</f>
        <v>102478.44</v>
      </c>
      <c r="H924" s="937"/>
      <c r="I924" s="1046"/>
      <c r="J924" s="1046"/>
      <c r="K924" s="1047"/>
      <c r="L924" s="1046"/>
      <c r="M924" s="1094">
        <f>-105521.56+105521.56</f>
        <v>0</v>
      </c>
      <c r="N924" s="989">
        <f>G924+M924</f>
        <v>102478.44</v>
      </c>
      <c r="O924" s="989">
        <v>0</v>
      </c>
      <c r="P924" s="989">
        <v>102478.44</v>
      </c>
      <c r="Q924" s="989">
        <f t="shared" si="98"/>
        <v>102478.44</v>
      </c>
      <c r="R924" s="989">
        <f t="shared" si="100"/>
        <v>100</v>
      </c>
      <c r="S924" s="1011">
        <v>0</v>
      </c>
      <c r="T924" s="989">
        <f t="shared" si="96"/>
        <v>0</v>
      </c>
      <c r="U924" s="989">
        <f t="shared" si="99"/>
        <v>102478.44</v>
      </c>
      <c r="V924" s="989">
        <f t="shared" si="101"/>
        <v>100</v>
      </c>
      <c r="W924" s="989"/>
      <c r="X924" s="989">
        <f t="shared" si="97"/>
        <v>0</v>
      </c>
      <c r="Y924" s="1012"/>
    </row>
    <row r="925" spans="1:25" ht="63" customHeight="1">
      <c r="A925" s="1006">
        <v>807</v>
      </c>
      <c r="B925" s="1007" t="s">
        <v>2616</v>
      </c>
      <c r="C925" s="1008"/>
      <c r="D925" s="1008" t="s">
        <v>4207</v>
      </c>
      <c r="E925" s="1007" t="s">
        <v>2617</v>
      </c>
      <c r="F925" s="1010" t="s">
        <v>1179</v>
      </c>
      <c r="G925" s="989">
        <f>208000-73048.66</f>
        <v>134951.34</v>
      </c>
      <c r="H925" s="937"/>
      <c r="I925" s="1046"/>
      <c r="J925" s="1046"/>
      <c r="K925" s="1047"/>
      <c r="L925" s="1046"/>
      <c r="M925" s="1094">
        <f>-73048.66+73048.66</f>
        <v>0</v>
      </c>
      <c r="N925" s="989">
        <f>G925+M925</f>
        <v>134951.34</v>
      </c>
      <c r="O925" s="989">
        <v>0</v>
      </c>
      <c r="P925" s="989">
        <v>134951.34</v>
      </c>
      <c r="Q925" s="989">
        <f t="shared" si="98"/>
        <v>134951.34</v>
      </c>
      <c r="R925" s="989">
        <f t="shared" si="100"/>
        <v>100</v>
      </c>
      <c r="S925" s="1011">
        <v>0</v>
      </c>
      <c r="T925" s="989">
        <f t="shared" si="96"/>
        <v>0</v>
      </c>
      <c r="U925" s="989">
        <f t="shared" si="99"/>
        <v>134951.34</v>
      </c>
      <c r="V925" s="989">
        <f t="shared" si="101"/>
        <v>100</v>
      </c>
      <c r="W925" s="989"/>
      <c r="X925" s="989">
        <f t="shared" si="97"/>
        <v>0</v>
      </c>
      <c r="Y925" s="1012"/>
    </row>
    <row r="926" spans="1:25" ht="63" customHeight="1">
      <c r="A926" s="1006">
        <v>808</v>
      </c>
      <c r="B926" s="1007" t="s">
        <v>2618</v>
      </c>
      <c r="C926" s="1008"/>
      <c r="D926" s="1008" t="s">
        <v>4208</v>
      </c>
      <c r="E926" s="1007" t="s">
        <v>2619</v>
      </c>
      <c r="F926" s="1010" t="s">
        <v>1179</v>
      </c>
      <c r="G926" s="989">
        <v>104000</v>
      </c>
      <c r="H926" s="937"/>
      <c r="I926" s="1046"/>
      <c r="J926" s="1046"/>
      <c r="K926" s="1047"/>
      <c r="L926" s="1046"/>
      <c r="M926" s="1094"/>
      <c r="N926" s="989">
        <v>104000</v>
      </c>
      <c r="O926" s="989">
        <v>0</v>
      </c>
      <c r="P926" s="989">
        <v>104000</v>
      </c>
      <c r="Q926" s="989">
        <f t="shared" si="98"/>
        <v>104000</v>
      </c>
      <c r="R926" s="989">
        <f t="shared" si="100"/>
        <v>100</v>
      </c>
      <c r="S926" s="1011">
        <v>0</v>
      </c>
      <c r="T926" s="989">
        <f t="shared" si="96"/>
        <v>0</v>
      </c>
      <c r="U926" s="989">
        <f t="shared" si="99"/>
        <v>104000</v>
      </c>
      <c r="V926" s="989">
        <f t="shared" si="101"/>
        <v>100</v>
      </c>
      <c r="W926" s="989"/>
      <c r="X926" s="989">
        <f t="shared" si="97"/>
        <v>0</v>
      </c>
      <c r="Y926" s="1012"/>
    </row>
    <row r="927" spans="1:25" ht="63" customHeight="1">
      <c r="A927" s="1006">
        <v>809</v>
      </c>
      <c r="B927" s="1007" t="s">
        <v>2620</v>
      </c>
      <c r="C927" s="1008"/>
      <c r="D927" s="1008" t="s">
        <v>4209</v>
      </c>
      <c r="E927" s="1007" t="s">
        <v>3130</v>
      </c>
      <c r="F927" s="1010" t="s">
        <v>1179</v>
      </c>
      <c r="G927" s="989">
        <f>312000-44802.85</f>
        <v>267197.15000000002</v>
      </c>
      <c r="H927" s="937"/>
      <c r="I927" s="1046"/>
      <c r="J927" s="1046"/>
      <c r="K927" s="1047"/>
      <c r="L927" s="1046"/>
      <c r="M927" s="1094">
        <f>-44802.85+44802.85</f>
        <v>0</v>
      </c>
      <c r="N927" s="989">
        <f>G927+M927</f>
        <v>267197.15000000002</v>
      </c>
      <c r="O927" s="989">
        <v>0</v>
      </c>
      <c r="P927" s="989">
        <v>267197.15000000002</v>
      </c>
      <c r="Q927" s="989">
        <f t="shared" si="98"/>
        <v>267197.15000000002</v>
      </c>
      <c r="R927" s="989">
        <f t="shared" si="100"/>
        <v>100</v>
      </c>
      <c r="S927" s="1011">
        <v>0</v>
      </c>
      <c r="T927" s="989">
        <f t="shared" si="96"/>
        <v>0</v>
      </c>
      <c r="U927" s="989">
        <f t="shared" si="99"/>
        <v>267197.15000000002</v>
      </c>
      <c r="V927" s="989">
        <f t="shared" si="101"/>
        <v>100</v>
      </c>
      <c r="W927" s="989"/>
      <c r="X927" s="989">
        <f t="shared" si="97"/>
        <v>0</v>
      </c>
      <c r="Y927" s="1012"/>
    </row>
    <row r="928" spans="1:25" ht="63" customHeight="1">
      <c r="A928" s="1006">
        <v>810</v>
      </c>
      <c r="B928" s="1007" t="s">
        <v>2621</v>
      </c>
      <c r="C928" s="1008"/>
      <c r="D928" s="1008" t="s">
        <v>4210</v>
      </c>
      <c r="E928" s="1007" t="s">
        <v>3131</v>
      </c>
      <c r="F928" s="1010" t="s">
        <v>1179</v>
      </c>
      <c r="G928" s="989">
        <f>312000-53155.46</f>
        <v>258844.54</v>
      </c>
      <c r="H928" s="937"/>
      <c r="I928" s="1046"/>
      <c r="J928" s="1046"/>
      <c r="K928" s="1047"/>
      <c r="L928" s="1046"/>
      <c r="M928" s="1094">
        <f>-53155.46+53155.46</f>
        <v>0</v>
      </c>
      <c r="N928" s="989">
        <f>G928+M928</f>
        <v>258844.54</v>
      </c>
      <c r="O928" s="989">
        <v>0</v>
      </c>
      <c r="P928" s="989">
        <v>258844.54</v>
      </c>
      <c r="Q928" s="989">
        <f t="shared" si="98"/>
        <v>258844.54</v>
      </c>
      <c r="R928" s="989">
        <f t="shared" si="100"/>
        <v>100</v>
      </c>
      <c r="S928" s="1011">
        <v>0</v>
      </c>
      <c r="T928" s="989">
        <f t="shared" ref="T928:T991" si="103">S928/N928*100</f>
        <v>0</v>
      </c>
      <c r="U928" s="989">
        <f t="shared" si="99"/>
        <v>258844.54</v>
      </c>
      <c r="V928" s="989">
        <f t="shared" si="101"/>
        <v>100</v>
      </c>
      <c r="W928" s="989"/>
      <c r="X928" s="989">
        <f t="shared" si="97"/>
        <v>0</v>
      </c>
      <c r="Y928" s="1012"/>
    </row>
    <row r="929" spans="1:25" ht="63" customHeight="1">
      <c r="A929" s="1006">
        <v>811</v>
      </c>
      <c r="B929" s="1007" t="s">
        <v>2622</v>
      </c>
      <c r="C929" s="1008"/>
      <c r="D929" s="1008" t="s">
        <v>4211</v>
      </c>
      <c r="E929" s="1007" t="s">
        <v>2623</v>
      </c>
      <c r="F929" s="1010" t="s">
        <v>1179</v>
      </c>
      <c r="G929" s="989">
        <f>208000-127627</f>
        <v>80373</v>
      </c>
      <c r="H929" s="937"/>
      <c r="I929" s="1046"/>
      <c r="J929" s="1046"/>
      <c r="K929" s="1047"/>
      <c r="L929" s="1046"/>
      <c r="M929" s="1094">
        <f>-127627+127627</f>
        <v>0</v>
      </c>
      <c r="N929" s="989">
        <f>G929+M929</f>
        <v>80373</v>
      </c>
      <c r="O929" s="989">
        <v>0</v>
      </c>
      <c r="P929" s="989">
        <v>80373</v>
      </c>
      <c r="Q929" s="989">
        <f t="shared" si="98"/>
        <v>80373</v>
      </c>
      <c r="R929" s="989">
        <f t="shared" si="100"/>
        <v>100</v>
      </c>
      <c r="S929" s="1011">
        <v>0</v>
      </c>
      <c r="T929" s="989">
        <f t="shared" si="103"/>
        <v>0</v>
      </c>
      <c r="U929" s="989">
        <f t="shared" si="99"/>
        <v>80373</v>
      </c>
      <c r="V929" s="989">
        <f t="shared" si="101"/>
        <v>100</v>
      </c>
      <c r="W929" s="989"/>
      <c r="X929" s="989">
        <f t="shared" si="97"/>
        <v>0</v>
      </c>
      <c r="Y929" s="1012"/>
    </row>
    <row r="930" spans="1:25" ht="63" customHeight="1">
      <c r="A930" s="1006">
        <v>812</v>
      </c>
      <c r="B930" s="1007" t="s">
        <v>2624</v>
      </c>
      <c r="C930" s="1008"/>
      <c r="D930" s="1008" t="s">
        <v>4212</v>
      </c>
      <c r="E930" s="1007" t="s">
        <v>3132</v>
      </c>
      <c r="F930" s="1010" t="s">
        <v>1179</v>
      </c>
      <c r="G930" s="989">
        <v>416000</v>
      </c>
      <c r="H930" s="937"/>
      <c r="I930" s="1046"/>
      <c r="J930" s="1046"/>
      <c r="K930" s="1047"/>
      <c r="L930" s="1046"/>
      <c r="M930" s="1094"/>
      <c r="N930" s="989">
        <v>416000</v>
      </c>
      <c r="O930" s="989">
        <v>0</v>
      </c>
      <c r="P930" s="989">
        <v>416000</v>
      </c>
      <c r="Q930" s="989">
        <f t="shared" si="98"/>
        <v>416000</v>
      </c>
      <c r="R930" s="989">
        <f t="shared" si="100"/>
        <v>100</v>
      </c>
      <c r="S930" s="1011">
        <v>0</v>
      </c>
      <c r="T930" s="989">
        <f t="shared" si="103"/>
        <v>0</v>
      </c>
      <c r="U930" s="989">
        <f t="shared" si="99"/>
        <v>416000</v>
      </c>
      <c r="V930" s="989">
        <f t="shared" si="101"/>
        <v>100</v>
      </c>
      <c r="W930" s="989"/>
      <c r="X930" s="989">
        <f t="shared" si="97"/>
        <v>0</v>
      </c>
      <c r="Y930" s="1012"/>
    </row>
    <row r="931" spans="1:25" ht="63" customHeight="1">
      <c r="A931" s="1006">
        <v>813</v>
      </c>
      <c r="B931" s="1007" t="s">
        <v>2625</v>
      </c>
      <c r="C931" s="1008"/>
      <c r="D931" s="1008" t="s">
        <v>4213</v>
      </c>
      <c r="E931" s="1007" t="s">
        <v>2626</v>
      </c>
      <c r="F931" s="1010" t="s">
        <v>1179</v>
      </c>
      <c r="G931" s="989">
        <f>208000-78451.35</f>
        <v>129548.65</v>
      </c>
      <c r="H931" s="937"/>
      <c r="I931" s="1046"/>
      <c r="J931" s="1046"/>
      <c r="K931" s="1047"/>
      <c r="L931" s="1046"/>
      <c r="M931" s="1094">
        <f>-78451.35+78451.35</f>
        <v>0</v>
      </c>
      <c r="N931" s="989">
        <f>G931+M931</f>
        <v>129548.65</v>
      </c>
      <c r="O931" s="989">
        <v>0</v>
      </c>
      <c r="P931" s="989">
        <v>129548.65</v>
      </c>
      <c r="Q931" s="989">
        <f t="shared" si="98"/>
        <v>129548.65</v>
      </c>
      <c r="R931" s="989">
        <f t="shared" si="100"/>
        <v>100</v>
      </c>
      <c r="S931" s="1011">
        <v>0</v>
      </c>
      <c r="T931" s="989">
        <f t="shared" si="103"/>
        <v>0</v>
      </c>
      <c r="U931" s="989">
        <f t="shared" si="99"/>
        <v>129548.65</v>
      </c>
      <c r="V931" s="989">
        <f t="shared" si="101"/>
        <v>100</v>
      </c>
      <c r="W931" s="989"/>
      <c r="X931" s="989">
        <f t="shared" si="97"/>
        <v>0</v>
      </c>
      <c r="Y931" s="1012"/>
    </row>
    <row r="932" spans="1:25" ht="63" customHeight="1">
      <c r="A932" s="1006">
        <v>814</v>
      </c>
      <c r="B932" s="1007" t="s">
        <v>2627</v>
      </c>
      <c r="C932" s="1008"/>
      <c r="D932" s="1008" t="s">
        <v>4214</v>
      </c>
      <c r="E932" s="1007" t="s">
        <v>2628</v>
      </c>
      <c r="F932" s="1010" t="s">
        <v>1179</v>
      </c>
      <c r="G932" s="989">
        <f>520000-154366.54</f>
        <v>365633.45999999996</v>
      </c>
      <c r="H932" s="937"/>
      <c r="I932" s="1046"/>
      <c r="J932" s="1046"/>
      <c r="K932" s="1047"/>
      <c r="L932" s="1046"/>
      <c r="M932" s="1094">
        <f>-111702.81-42663.73+154366.54</f>
        <v>0</v>
      </c>
      <c r="N932" s="989">
        <f>G932+M932</f>
        <v>365633.45999999996</v>
      </c>
      <c r="O932" s="989">
        <v>0</v>
      </c>
      <c r="P932" s="989">
        <v>365633.46</v>
      </c>
      <c r="Q932" s="989">
        <f t="shared" si="98"/>
        <v>365633.46</v>
      </c>
      <c r="R932" s="989">
        <f t="shared" si="100"/>
        <v>100.00000000000003</v>
      </c>
      <c r="S932" s="1011">
        <v>0</v>
      </c>
      <c r="T932" s="989">
        <f t="shared" si="103"/>
        <v>0</v>
      </c>
      <c r="U932" s="989">
        <f t="shared" si="99"/>
        <v>365633.46</v>
      </c>
      <c r="V932" s="989">
        <f t="shared" si="101"/>
        <v>100.00000000000003</v>
      </c>
      <c r="W932" s="989"/>
      <c r="X932" s="989">
        <f t="shared" si="97"/>
        <v>0</v>
      </c>
      <c r="Y932" s="1012"/>
    </row>
    <row r="933" spans="1:25" ht="63" customHeight="1">
      <c r="A933" s="1006">
        <v>815</v>
      </c>
      <c r="B933" s="1007" t="s">
        <v>2629</v>
      </c>
      <c r="C933" s="1008"/>
      <c r="D933" s="1008" t="s">
        <v>4215</v>
      </c>
      <c r="E933" s="1007" t="s">
        <v>3133</v>
      </c>
      <c r="F933" s="1010" t="s">
        <v>1179</v>
      </c>
      <c r="G933" s="989">
        <f>104000-43534.98</f>
        <v>60465.02</v>
      </c>
      <c r="H933" s="937"/>
      <c r="I933" s="1046"/>
      <c r="J933" s="1046"/>
      <c r="K933" s="1047"/>
      <c r="L933" s="1046"/>
      <c r="M933" s="1094">
        <f>-16550.6-26984.38+43534.98</f>
        <v>0</v>
      </c>
      <c r="N933" s="989">
        <f>G933+M933</f>
        <v>60465.02</v>
      </c>
      <c r="O933" s="989">
        <v>0</v>
      </c>
      <c r="P933" s="989">
        <v>60465.02</v>
      </c>
      <c r="Q933" s="989">
        <f t="shared" si="98"/>
        <v>60465.02</v>
      </c>
      <c r="R933" s="989">
        <f t="shared" si="100"/>
        <v>100</v>
      </c>
      <c r="S933" s="1011">
        <v>0</v>
      </c>
      <c r="T933" s="989">
        <f t="shared" si="103"/>
        <v>0</v>
      </c>
      <c r="U933" s="989">
        <f t="shared" si="99"/>
        <v>60465.02</v>
      </c>
      <c r="V933" s="989">
        <f t="shared" si="101"/>
        <v>100</v>
      </c>
      <c r="W933" s="989"/>
      <c r="X933" s="989">
        <f t="shared" si="97"/>
        <v>0</v>
      </c>
      <c r="Y933" s="1012"/>
    </row>
    <row r="934" spans="1:25" ht="63" customHeight="1">
      <c r="A934" s="1006">
        <v>816</v>
      </c>
      <c r="B934" s="1007" t="s">
        <v>2630</v>
      </c>
      <c r="C934" s="1008"/>
      <c r="D934" s="1008" t="s">
        <v>4216</v>
      </c>
      <c r="E934" s="1007" t="s">
        <v>2631</v>
      </c>
      <c r="F934" s="1010" t="s">
        <v>2982</v>
      </c>
      <c r="G934" s="989">
        <f>104000-51400</f>
        <v>52600</v>
      </c>
      <c r="H934" s="937"/>
      <c r="I934" s="1046"/>
      <c r="J934" s="1046"/>
      <c r="K934" s="1047"/>
      <c r="L934" s="1046"/>
      <c r="M934" s="1094">
        <f>-51400+51400</f>
        <v>0</v>
      </c>
      <c r="N934" s="989">
        <f>G934+M934</f>
        <v>52600</v>
      </c>
      <c r="O934" s="989">
        <v>0</v>
      </c>
      <c r="P934" s="989">
        <v>52600</v>
      </c>
      <c r="Q934" s="989">
        <f t="shared" si="98"/>
        <v>52600</v>
      </c>
      <c r="R934" s="989">
        <f t="shared" si="100"/>
        <v>100</v>
      </c>
      <c r="S934" s="1011">
        <v>0</v>
      </c>
      <c r="T934" s="989">
        <f t="shared" si="103"/>
        <v>0</v>
      </c>
      <c r="U934" s="989">
        <f t="shared" si="99"/>
        <v>52600</v>
      </c>
      <c r="V934" s="989">
        <f t="shared" si="101"/>
        <v>100</v>
      </c>
      <c r="W934" s="989"/>
      <c r="X934" s="989">
        <f t="shared" si="97"/>
        <v>0</v>
      </c>
      <c r="Y934" s="1012"/>
    </row>
    <row r="935" spans="1:25" ht="63" customHeight="1">
      <c r="A935" s="1006">
        <v>817</v>
      </c>
      <c r="B935" s="1007" t="s">
        <v>2632</v>
      </c>
      <c r="C935" s="1008"/>
      <c r="D935" s="1008" t="s">
        <v>4217</v>
      </c>
      <c r="E935" s="1007" t="s">
        <v>2633</v>
      </c>
      <c r="F935" s="1010" t="s">
        <v>2982</v>
      </c>
      <c r="G935" s="989">
        <v>624000</v>
      </c>
      <c r="H935" s="937"/>
      <c r="I935" s="1046"/>
      <c r="J935" s="1046"/>
      <c r="K935" s="1047">
        <v>-282440</v>
      </c>
      <c r="L935" s="1046"/>
      <c r="M935" s="1094"/>
      <c r="N935" s="989">
        <f>624000+M935+K935</f>
        <v>341560</v>
      </c>
      <c r="O935" s="989">
        <v>0</v>
      </c>
      <c r="P935" s="989">
        <v>341560</v>
      </c>
      <c r="Q935" s="989">
        <f t="shared" si="98"/>
        <v>341560</v>
      </c>
      <c r="R935" s="989">
        <f t="shared" si="100"/>
        <v>100</v>
      </c>
      <c r="S935" s="1011">
        <v>0</v>
      </c>
      <c r="T935" s="989">
        <f t="shared" si="103"/>
        <v>0</v>
      </c>
      <c r="U935" s="989">
        <f t="shared" si="99"/>
        <v>341560</v>
      </c>
      <c r="V935" s="989">
        <f t="shared" si="101"/>
        <v>100</v>
      </c>
      <c r="W935" s="989"/>
      <c r="X935" s="989">
        <f t="shared" si="97"/>
        <v>0</v>
      </c>
      <c r="Y935" s="1012"/>
    </row>
    <row r="936" spans="1:25" ht="63" customHeight="1">
      <c r="A936" s="1006">
        <v>818</v>
      </c>
      <c r="B936" s="1007" t="s">
        <v>2634</v>
      </c>
      <c r="C936" s="1008"/>
      <c r="D936" s="1008" t="s">
        <v>4218</v>
      </c>
      <c r="E936" s="1007" t="s">
        <v>2635</v>
      </c>
      <c r="F936" s="1010" t="s">
        <v>2982</v>
      </c>
      <c r="G936" s="989">
        <f>936000-396234.32</f>
        <v>539765.67999999993</v>
      </c>
      <c r="H936" s="937"/>
      <c r="I936" s="1046"/>
      <c r="J936" s="1046"/>
      <c r="K936" s="1047">
        <v>-396234.32</v>
      </c>
      <c r="L936" s="1046"/>
      <c r="M936" s="1094"/>
      <c r="N936" s="989">
        <f>936000+M936+K936</f>
        <v>539765.67999999993</v>
      </c>
      <c r="O936" s="989">
        <v>0</v>
      </c>
      <c r="P936" s="989">
        <v>539765.68000000005</v>
      </c>
      <c r="Q936" s="989">
        <f t="shared" si="98"/>
        <v>539765.68000000005</v>
      </c>
      <c r="R936" s="989">
        <f t="shared" si="100"/>
        <v>100.00000000000003</v>
      </c>
      <c r="S936" s="1011">
        <v>0</v>
      </c>
      <c r="T936" s="989">
        <f t="shared" si="103"/>
        <v>0</v>
      </c>
      <c r="U936" s="989">
        <f t="shared" si="99"/>
        <v>539765.68000000005</v>
      </c>
      <c r="V936" s="989">
        <f t="shared" si="101"/>
        <v>100.00000000000003</v>
      </c>
      <c r="W936" s="989"/>
      <c r="X936" s="989">
        <f t="shared" si="97"/>
        <v>0</v>
      </c>
      <c r="Y936" s="1012"/>
    </row>
    <row r="937" spans="1:25" ht="63" customHeight="1">
      <c r="A937" s="1006">
        <v>819</v>
      </c>
      <c r="B937" s="1007" t="s">
        <v>2636</v>
      </c>
      <c r="C937" s="1008"/>
      <c r="D937" s="1008" t="s">
        <v>4219</v>
      </c>
      <c r="E937" s="1007" t="s">
        <v>2637</v>
      </c>
      <c r="F937" s="1010" t="s">
        <v>2982</v>
      </c>
      <c r="G937" s="989">
        <f>208000-44444.34</f>
        <v>163555.66</v>
      </c>
      <c r="H937" s="937"/>
      <c r="I937" s="1046"/>
      <c r="J937" s="1046"/>
      <c r="K937" s="1047">
        <v>-36855.660000000003</v>
      </c>
      <c r="L937" s="1046"/>
      <c r="M937" s="1094"/>
      <c r="N937" s="989">
        <f>G937+M937+K937</f>
        <v>126700</v>
      </c>
      <c r="O937" s="989">
        <v>0</v>
      </c>
      <c r="P937" s="989">
        <v>126700</v>
      </c>
      <c r="Q937" s="989">
        <f t="shared" si="98"/>
        <v>126700</v>
      </c>
      <c r="R937" s="989">
        <f t="shared" si="100"/>
        <v>100</v>
      </c>
      <c r="S937" s="1011">
        <v>0</v>
      </c>
      <c r="T937" s="989">
        <f t="shared" si="103"/>
        <v>0</v>
      </c>
      <c r="U937" s="989">
        <f t="shared" si="99"/>
        <v>126700</v>
      </c>
      <c r="V937" s="989">
        <f t="shared" si="101"/>
        <v>100</v>
      </c>
      <c r="W937" s="989"/>
      <c r="X937" s="989">
        <f t="shared" si="97"/>
        <v>0</v>
      </c>
      <c r="Y937" s="1012"/>
    </row>
    <row r="938" spans="1:25" ht="63" customHeight="1">
      <c r="A938" s="1006">
        <v>820</v>
      </c>
      <c r="B938" s="1007" t="s">
        <v>2638</v>
      </c>
      <c r="C938" s="1008"/>
      <c r="D938" s="1008" t="s">
        <v>4220</v>
      </c>
      <c r="E938" s="1007" t="s">
        <v>2639</v>
      </c>
      <c r="F938" s="1010" t="s">
        <v>2982</v>
      </c>
      <c r="G938" s="989">
        <v>208000</v>
      </c>
      <c r="H938" s="937"/>
      <c r="I938" s="1046"/>
      <c r="J938" s="1046"/>
      <c r="K938" s="1047">
        <v>-32550</v>
      </c>
      <c r="L938" s="1046"/>
      <c r="M938" s="1094"/>
      <c r="N938" s="989">
        <f>208000+M938+K938</f>
        <v>175450</v>
      </c>
      <c r="O938" s="989">
        <v>0</v>
      </c>
      <c r="P938" s="989">
        <v>175450</v>
      </c>
      <c r="Q938" s="989">
        <f t="shared" si="98"/>
        <v>175450</v>
      </c>
      <c r="R938" s="989">
        <f t="shared" si="100"/>
        <v>100</v>
      </c>
      <c r="S938" s="1011">
        <v>0</v>
      </c>
      <c r="T938" s="989">
        <f t="shared" si="103"/>
        <v>0</v>
      </c>
      <c r="U938" s="989">
        <f t="shared" si="99"/>
        <v>175450</v>
      </c>
      <c r="V938" s="989">
        <f t="shared" si="101"/>
        <v>100</v>
      </c>
      <c r="W938" s="989"/>
      <c r="X938" s="989">
        <f t="shared" si="97"/>
        <v>0</v>
      </c>
      <c r="Y938" s="1012"/>
    </row>
    <row r="939" spans="1:25" ht="63" customHeight="1">
      <c r="A939" s="1006">
        <v>821</v>
      </c>
      <c r="B939" s="1007" t="s">
        <v>2640</v>
      </c>
      <c r="C939" s="1008"/>
      <c r="D939" s="1008" t="s">
        <v>4221</v>
      </c>
      <c r="E939" s="1007" t="s">
        <v>2641</v>
      </c>
      <c r="F939" s="1010" t="s">
        <v>2982</v>
      </c>
      <c r="G939" s="989">
        <v>104000</v>
      </c>
      <c r="H939" s="937"/>
      <c r="I939" s="1046"/>
      <c r="J939" s="1046"/>
      <c r="K939" s="1047">
        <v>-25520</v>
      </c>
      <c r="L939" s="1046"/>
      <c r="M939" s="1094"/>
      <c r="N939" s="989">
        <f>104000+M939+K939</f>
        <v>78480</v>
      </c>
      <c r="O939" s="989">
        <v>0</v>
      </c>
      <c r="P939" s="989">
        <v>78480</v>
      </c>
      <c r="Q939" s="989">
        <f t="shared" si="98"/>
        <v>78480</v>
      </c>
      <c r="R939" s="989">
        <f t="shared" si="100"/>
        <v>100</v>
      </c>
      <c r="S939" s="1011">
        <v>0</v>
      </c>
      <c r="T939" s="989">
        <f t="shared" si="103"/>
        <v>0</v>
      </c>
      <c r="U939" s="989">
        <f t="shared" si="99"/>
        <v>78480</v>
      </c>
      <c r="V939" s="989">
        <f t="shared" si="101"/>
        <v>100</v>
      </c>
      <c r="W939" s="989"/>
      <c r="X939" s="989">
        <f t="shared" si="97"/>
        <v>0</v>
      </c>
      <c r="Y939" s="1012"/>
    </row>
    <row r="940" spans="1:25" ht="63" customHeight="1">
      <c r="A940" s="1006">
        <v>822</v>
      </c>
      <c r="B940" s="1007" t="s">
        <v>2642</v>
      </c>
      <c r="C940" s="1008"/>
      <c r="D940" s="1008" t="s">
        <v>4222</v>
      </c>
      <c r="E940" s="1007" t="s">
        <v>2643</v>
      </c>
      <c r="F940" s="1010" t="s">
        <v>570</v>
      </c>
      <c r="G940" s="989">
        <v>416000</v>
      </c>
      <c r="H940" s="937"/>
      <c r="I940" s="1046"/>
      <c r="J940" s="1046"/>
      <c r="K940" s="1047">
        <v>-28310.959999999999</v>
      </c>
      <c r="L940" s="1046"/>
      <c r="M940" s="1094"/>
      <c r="N940" s="989">
        <f>416000+M940+K940</f>
        <v>387689.04</v>
      </c>
      <c r="O940" s="989">
        <v>387689.04</v>
      </c>
      <c r="P940" s="989">
        <v>0</v>
      </c>
      <c r="Q940" s="989">
        <f t="shared" si="98"/>
        <v>387689.04</v>
      </c>
      <c r="R940" s="989">
        <f t="shared" si="100"/>
        <v>100</v>
      </c>
      <c r="S940" s="1011">
        <v>0</v>
      </c>
      <c r="T940" s="989">
        <f t="shared" si="103"/>
        <v>0</v>
      </c>
      <c r="U940" s="989">
        <f t="shared" si="99"/>
        <v>387689.04</v>
      </c>
      <c r="V940" s="989">
        <f t="shared" si="101"/>
        <v>100</v>
      </c>
      <c r="W940" s="989"/>
      <c r="X940" s="989">
        <f t="shared" si="97"/>
        <v>0</v>
      </c>
      <c r="Y940" s="1012"/>
    </row>
    <row r="941" spans="1:25" ht="63" customHeight="1">
      <c r="A941" s="1006">
        <v>823</v>
      </c>
      <c r="B941" s="1007" t="s">
        <v>2644</v>
      </c>
      <c r="C941" s="1008"/>
      <c r="D941" s="1008" t="s">
        <v>4223</v>
      </c>
      <c r="E941" s="1007" t="s">
        <v>2645</v>
      </c>
      <c r="F941" s="1010" t="s">
        <v>570</v>
      </c>
      <c r="G941" s="989">
        <v>104000</v>
      </c>
      <c r="H941" s="937"/>
      <c r="I941" s="1046"/>
      <c r="J941" s="1046"/>
      <c r="K941" s="1047">
        <v>-41000</v>
      </c>
      <c r="L941" s="1046"/>
      <c r="M941" s="1094"/>
      <c r="N941" s="989">
        <f>104000+M941+K941</f>
        <v>63000</v>
      </c>
      <c r="O941" s="989">
        <v>63000</v>
      </c>
      <c r="P941" s="989">
        <v>0</v>
      </c>
      <c r="Q941" s="989">
        <f t="shared" si="98"/>
        <v>63000</v>
      </c>
      <c r="R941" s="989">
        <f t="shared" si="100"/>
        <v>100</v>
      </c>
      <c r="S941" s="1011">
        <v>0</v>
      </c>
      <c r="T941" s="989">
        <f t="shared" si="103"/>
        <v>0</v>
      </c>
      <c r="U941" s="989">
        <f t="shared" si="99"/>
        <v>63000</v>
      </c>
      <c r="V941" s="989">
        <f t="shared" si="101"/>
        <v>100</v>
      </c>
      <c r="W941" s="989"/>
      <c r="X941" s="989">
        <f t="shared" si="97"/>
        <v>0</v>
      </c>
      <c r="Y941" s="1012"/>
    </row>
    <row r="942" spans="1:25" ht="63" customHeight="1">
      <c r="A942" s="1006">
        <v>824</v>
      </c>
      <c r="B942" s="1007" t="s">
        <v>2646</v>
      </c>
      <c r="C942" s="1008"/>
      <c r="D942" s="1008" t="s">
        <v>4224</v>
      </c>
      <c r="E942" s="1007" t="s">
        <v>2647</v>
      </c>
      <c r="F942" s="1010" t="s">
        <v>570</v>
      </c>
      <c r="G942" s="989">
        <f>208000-103239.63</f>
        <v>104760.37</v>
      </c>
      <c r="H942" s="937"/>
      <c r="I942" s="1046"/>
      <c r="J942" s="1046"/>
      <c r="K942" s="1047">
        <v>-103239.63</v>
      </c>
      <c r="L942" s="1046"/>
      <c r="M942" s="1094"/>
      <c r="N942" s="989">
        <f>208000+M942+K942</f>
        <v>104760.37</v>
      </c>
      <c r="O942" s="989">
        <v>104760.37</v>
      </c>
      <c r="P942" s="989">
        <v>0</v>
      </c>
      <c r="Q942" s="989">
        <f t="shared" si="98"/>
        <v>104760.37</v>
      </c>
      <c r="R942" s="989">
        <f t="shared" si="100"/>
        <v>100</v>
      </c>
      <c r="S942" s="1011">
        <v>0</v>
      </c>
      <c r="T942" s="989">
        <f t="shared" si="103"/>
        <v>0</v>
      </c>
      <c r="U942" s="989">
        <f t="shared" si="99"/>
        <v>104760.37</v>
      </c>
      <c r="V942" s="989">
        <f t="shared" si="101"/>
        <v>100</v>
      </c>
      <c r="W942" s="989"/>
      <c r="X942" s="989">
        <f t="shared" si="97"/>
        <v>0</v>
      </c>
      <c r="Y942" s="1012"/>
    </row>
    <row r="943" spans="1:25" ht="63" customHeight="1">
      <c r="A943" s="1006">
        <v>825</v>
      </c>
      <c r="B943" s="1007" t="s">
        <v>2648</v>
      </c>
      <c r="C943" s="1008"/>
      <c r="D943" s="1008" t="s">
        <v>4225</v>
      </c>
      <c r="E943" s="1007" t="s">
        <v>2649</v>
      </c>
      <c r="F943" s="1010" t="s">
        <v>570</v>
      </c>
      <c r="G943" s="989">
        <v>208000</v>
      </c>
      <c r="H943" s="937"/>
      <c r="I943" s="1046"/>
      <c r="J943" s="1046"/>
      <c r="K943" s="1047">
        <v>-37800</v>
      </c>
      <c r="L943" s="1046"/>
      <c r="M943" s="1094"/>
      <c r="N943" s="989">
        <f>208000+M943+K943</f>
        <v>170200</v>
      </c>
      <c r="O943" s="989">
        <v>170200</v>
      </c>
      <c r="P943" s="989">
        <v>0</v>
      </c>
      <c r="Q943" s="989">
        <f t="shared" si="98"/>
        <v>170200</v>
      </c>
      <c r="R943" s="989">
        <f t="shared" si="100"/>
        <v>100</v>
      </c>
      <c r="S943" s="1011">
        <v>0</v>
      </c>
      <c r="T943" s="989">
        <f t="shared" si="103"/>
        <v>0</v>
      </c>
      <c r="U943" s="989">
        <f t="shared" si="99"/>
        <v>170200</v>
      </c>
      <c r="V943" s="989">
        <f t="shared" si="101"/>
        <v>100</v>
      </c>
      <c r="W943" s="989"/>
      <c r="X943" s="989">
        <f t="shared" si="97"/>
        <v>0</v>
      </c>
      <c r="Y943" s="1012"/>
    </row>
    <row r="944" spans="1:25" ht="63" customHeight="1">
      <c r="A944" s="1006">
        <v>826</v>
      </c>
      <c r="B944" s="1007" t="s">
        <v>2650</v>
      </c>
      <c r="C944" s="1008"/>
      <c r="D944" s="1008" t="s">
        <v>4226</v>
      </c>
      <c r="E944" s="1007" t="s">
        <v>2651</v>
      </c>
      <c r="F944" s="1010" t="s">
        <v>570</v>
      </c>
      <c r="G944" s="989">
        <v>208000</v>
      </c>
      <c r="H944" s="937"/>
      <c r="I944" s="1046"/>
      <c r="J944" s="1046"/>
      <c r="K944" s="1047">
        <v>-79100</v>
      </c>
      <c r="L944" s="1046"/>
      <c r="M944" s="1094"/>
      <c r="N944" s="989">
        <f>208000+M944+K944</f>
        <v>128900</v>
      </c>
      <c r="O944" s="989">
        <v>128900</v>
      </c>
      <c r="P944" s="989">
        <v>0</v>
      </c>
      <c r="Q944" s="989">
        <f t="shared" si="98"/>
        <v>128900</v>
      </c>
      <c r="R944" s="989">
        <f t="shared" si="100"/>
        <v>100</v>
      </c>
      <c r="S944" s="1011">
        <v>0</v>
      </c>
      <c r="T944" s="989">
        <f t="shared" si="103"/>
        <v>0</v>
      </c>
      <c r="U944" s="989">
        <f t="shared" si="99"/>
        <v>128900</v>
      </c>
      <c r="V944" s="989">
        <f t="shared" si="101"/>
        <v>100</v>
      </c>
      <c r="W944" s="989"/>
      <c r="X944" s="989">
        <f t="shared" si="97"/>
        <v>0</v>
      </c>
      <c r="Y944" s="1012"/>
    </row>
    <row r="945" spans="1:25" ht="63" customHeight="1">
      <c r="A945" s="1006">
        <v>827</v>
      </c>
      <c r="B945" s="1007" t="s">
        <v>2652</v>
      </c>
      <c r="C945" s="1008"/>
      <c r="D945" s="1008" t="s">
        <v>4227</v>
      </c>
      <c r="E945" s="1007" t="s">
        <v>3289</v>
      </c>
      <c r="F945" s="1010" t="s">
        <v>2983</v>
      </c>
      <c r="G945" s="989">
        <v>208000</v>
      </c>
      <c r="H945" s="937"/>
      <c r="I945" s="1046"/>
      <c r="J945" s="1046"/>
      <c r="K945" s="1047">
        <v>-104900</v>
      </c>
      <c r="L945" s="1046"/>
      <c r="M945" s="1094"/>
      <c r="N945" s="989">
        <f>208000+M945+K945</f>
        <v>103100</v>
      </c>
      <c r="O945" s="989">
        <v>0</v>
      </c>
      <c r="P945" s="989">
        <v>103100</v>
      </c>
      <c r="Q945" s="989">
        <f t="shared" si="98"/>
        <v>103100</v>
      </c>
      <c r="R945" s="989">
        <f t="shared" si="100"/>
        <v>100</v>
      </c>
      <c r="S945" s="1011">
        <v>0</v>
      </c>
      <c r="T945" s="989">
        <f t="shared" si="103"/>
        <v>0</v>
      </c>
      <c r="U945" s="989">
        <f t="shared" si="99"/>
        <v>103100</v>
      </c>
      <c r="V945" s="989">
        <f t="shared" si="101"/>
        <v>100</v>
      </c>
      <c r="W945" s="989"/>
      <c r="X945" s="989">
        <f t="shared" si="97"/>
        <v>0</v>
      </c>
      <c r="Y945" s="1012"/>
    </row>
    <row r="946" spans="1:25" ht="63" customHeight="1">
      <c r="A946" s="1006">
        <v>828</v>
      </c>
      <c r="B946" s="1007" t="s">
        <v>2653</v>
      </c>
      <c r="C946" s="1008"/>
      <c r="D946" s="1008" t="s">
        <v>4228</v>
      </c>
      <c r="E946" s="1007" t="s">
        <v>3290</v>
      </c>
      <c r="F946" s="1010" t="s">
        <v>2983</v>
      </c>
      <c r="G946" s="989">
        <v>312000</v>
      </c>
      <c r="H946" s="937"/>
      <c r="I946" s="1046"/>
      <c r="J946" s="1046"/>
      <c r="K946" s="1047">
        <v>-129582.49</v>
      </c>
      <c r="L946" s="1046"/>
      <c r="M946" s="1094"/>
      <c r="N946" s="989">
        <f>312000+M946+K946</f>
        <v>182417.51</v>
      </c>
      <c r="O946" s="989">
        <v>0</v>
      </c>
      <c r="P946" s="989">
        <v>182417.51</v>
      </c>
      <c r="Q946" s="989">
        <f t="shared" si="98"/>
        <v>182417.51</v>
      </c>
      <c r="R946" s="989">
        <f t="shared" si="100"/>
        <v>100</v>
      </c>
      <c r="S946" s="1011">
        <v>0</v>
      </c>
      <c r="T946" s="989">
        <f t="shared" si="103"/>
        <v>0</v>
      </c>
      <c r="U946" s="989">
        <f t="shared" si="99"/>
        <v>182417.51</v>
      </c>
      <c r="V946" s="989">
        <f t="shared" si="101"/>
        <v>100</v>
      </c>
      <c r="W946" s="989"/>
      <c r="X946" s="989">
        <f t="shared" si="97"/>
        <v>0</v>
      </c>
      <c r="Y946" s="1012"/>
    </row>
    <row r="947" spans="1:25" ht="63" customHeight="1">
      <c r="A947" s="1006">
        <v>829</v>
      </c>
      <c r="B947" s="1007" t="s">
        <v>4539</v>
      </c>
      <c r="C947" s="1008"/>
      <c r="D947" s="1008" t="s">
        <v>4540</v>
      </c>
      <c r="E947" s="1007" t="s">
        <v>4411</v>
      </c>
      <c r="F947" s="1010" t="s">
        <v>2983</v>
      </c>
      <c r="G947" s="989">
        <v>0</v>
      </c>
      <c r="H947" s="937"/>
      <c r="I947" s="1046"/>
      <c r="J947" s="1046"/>
      <c r="K947" s="1047"/>
      <c r="L947" s="1046"/>
      <c r="M947" s="1094"/>
      <c r="N947" s="989">
        <v>0</v>
      </c>
      <c r="O947" s="989">
        <v>0</v>
      </c>
      <c r="P947" s="989"/>
      <c r="Q947" s="989">
        <f t="shared" si="98"/>
        <v>0</v>
      </c>
      <c r="R947" s="989"/>
      <c r="S947" s="1011"/>
      <c r="T947" s="989">
        <v>0</v>
      </c>
      <c r="U947" s="989">
        <f t="shared" si="99"/>
        <v>0</v>
      </c>
      <c r="V947" s="989">
        <v>0</v>
      </c>
      <c r="W947" s="989"/>
      <c r="X947" s="989">
        <f t="shared" si="97"/>
        <v>0</v>
      </c>
      <c r="Y947" s="1012"/>
    </row>
    <row r="948" spans="1:25" ht="63" customHeight="1">
      <c r="A948" s="1006">
        <v>830</v>
      </c>
      <c r="B948" s="1007" t="s">
        <v>4541</v>
      </c>
      <c r="C948" s="1008"/>
      <c r="D948" s="1008" t="s">
        <v>4542</v>
      </c>
      <c r="E948" s="1007" t="s">
        <v>4412</v>
      </c>
      <c r="F948" s="1010" t="s">
        <v>2983</v>
      </c>
      <c r="G948" s="989">
        <v>0</v>
      </c>
      <c r="H948" s="937"/>
      <c r="I948" s="1046"/>
      <c r="J948" s="1046"/>
      <c r="K948" s="1047"/>
      <c r="L948" s="1046"/>
      <c r="M948" s="1094"/>
      <c r="N948" s="989">
        <v>0</v>
      </c>
      <c r="O948" s="989">
        <v>0</v>
      </c>
      <c r="P948" s="989"/>
      <c r="Q948" s="989">
        <f t="shared" si="98"/>
        <v>0</v>
      </c>
      <c r="R948" s="989"/>
      <c r="S948" s="1011"/>
      <c r="T948" s="989">
        <v>0</v>
      </c>
      <c r="U948" s="989">
        <f t="shared" si="99"/>
        <v>0</v>
      </c>
      <c r="V948" s="989">
        <v>0</v>
      </c>
      <c r="W948" s="989"/>
      <c r="X948" s="989">
        <f t="shared" si="97"/>
        <v>0</v>
      </c>
      <c r="Y948" s="1012"/>
    </row>
    <row r="949" spans="1:25" ht="63" customHeight="1">
      <c r="A949" s="1006">
        <v>831</v>
      </c>
      <c r="B949" s="1007" t="s">
        <v>2654</v>
      </c>
      <c r="C949" s="1008"/>
      <c r="D949" s="1008" t="s">
        <v>4229</v>
      </c>
      <c r="E949" s="1007" t="s">
        <v>2655</v>
      </c>
      <c r="F949" s="1010" t="s">
        <v>2983</v>
      </c>
      <c r="G949" s="989">
        <v>104000</v>
      </c>
      <c r="H949" s="937"/>
      <c r="I949" s="1046"/>
      <c r="J949" s="1046"/>
      <c r="K949" s="1047">
        <v>-44350</v>
      </c>
      <c r="L949" s="1046"/>
      <c r="M949" s="1094"/>
      <c r="N949" s="989">
        <f>104000+M949+K949</f>
        <v>59650</v>
      </c>
      <c r="O949" s="989">
        <v>0</v>
      </c>
      <c r="P949" s="989">
        <v>59650</v>
      </c>
      <c r="Q949" s="989">
        <f t="shared" si="98"/>
        <v>59650</v>
      </c>
      <c r="R949" s="989">
        <f t="shared" si="100"/>
        <v>100</v>
      </c>
      <c r="S949" s="1011">
        <v>0</v>
      </c>
      <c r="T949" s="989">
        <f t="shared" si="103"/>
        <v>0</v>
      </c>
      <c r="U949" s="989">
        <f t="shared" si="99"/>
        <v>59650</v>
      </c>
      <c r="V949" s="989">
        <f t="shared" si="101"/>
        <v>100</v>
      </c>
      <c r="W949" s="989"/>
      <c r="X949" s="989">
        <f t="shared" ref="X949:X1012" si="104">N949-U949</f>
        <v>0</v>
      </c>
      <c r="Y949" s="1012"/>
    </row>
    <row r="950" spans="1:25" ht="63" customHeight="1">
      <c r="A950" s="1006">
        <v>832</v>
      </c>
      <c r="B950" s="1007" t="s">
        <v>2656</v>
      </c>
      <c r="C950" s="1008"/>
      <c r="D950" s="1008" t="s">
        <v>4230</v>
      </c>
      <c r="E950" s="1007" t="s">
        <v>2657</v>
      </c>
      <c r="F950" s="1010" t="s">
        <v>1187</v>
      </c>
      <c r="G950" s="989">
        <v>416000</v>
      </c>
      <c r="H950" s="937"/>
      <c r="I950" s="1046"/>
      <c r="J950" s="1046"/>
      <c r="K950" s="1047"/>
      <c r="L950" s="1046"/>
      <c r="M950" s="1094">
        <v>-29046</v>
      </c>
      <c r="N950" s="989">
        <f>416000+M950</f>
        <v>386954</v>
      </c>
      <c r="O950" s="989">
        <v>0</v>
      </c>
      <c r="P950" s="989">
        <v>386954</v>
      </c>
      <c r="Q950" s="989">
        <f t="shared" si="98"/>
        <v>386954</v>
      </c>
      <c r="R950" s="989">
        <f t="shared" si="100"/>
        <v>100</v>
      </c>
      <c r="S950" s="1011">
        <v>0</v>
      </c>
      <c r="T950" s="989">
        <f t="shared" si="103"/>
        <v>0</v>
      </c>
      <c r="U950" s="989">
        <f t="shared" si="99"/>
        <v>386954</v>
      </c>
      <c r="V950" s="989">
        <f t="shared" si="101"/>
        <v>100</v>
      </c>
      <c r="W950" s="989"/>
      <c r="X950" s="989">
        <f t="shared" si="104"/>
        <v>0</v>
      </c>
      <c r="Y950" s="1012"/>
    </row>
    <row r="951" spans="1:25" ht="63" customHeight="1">
      <c r="A951" s="1006">
        <v>833</v>
      </c>
      <c r="B951" s="1007" t="s">
        <v>2658</v>
      </c>
      <c r="C951" s="1008"/>
      <c r="D951" s="1008" t="s">
        <v>4231</v>
      </c>
      <c r="E951" s="1007" t="s">
        <v>3183</v>
      </c>
      <c r="F951" s="1010" t="s">
        <v>1187</v>
      </c>
      <c r="G951" s="989">
        <v>208000</v>
      </c>
      <c r="H951" s="937"/>
      <c r="I951" s="1046"/>
      <c r="J951" s="1046"/>
      <c r="K951" s="1047">
        <v>-10439</v>
      </c>
      <c r="L951" s="1046"/>
      <c r="M951" s="1094"/>
      <c r="N951" s="989">
        <f>208000+M951+104000+K951</f>
        <v>301561</v>
      </c>
      <c r="O951" s="989">
        <v>97600</v>
      </c>
      <c r="P951" s="989">
        <v>203961</v>
      </c>
      <c r="Q951" s="989">
        <f t="shared" ref="Q951:Q1014" si="105">P951+O951</f>
        <v>301561</v>
      </c>
      <c r="R951" s="989">
        <f t="shared" si="100"/>
        <v>100</v>
      </c>
      <c r="S951" s="1011">
        <v>0</v>
      </c>
      <c r="T951" s="989">
        <f t="shared" si="103"/>
        <v>0</v>
      </c>
      <c r="U951" s="989">
        <f t="shared" ref="U951:U1014" si="106">S951+Q951</f>
        <v>301561</v>
      </c>
      <c r="V951" s="989">
        <f t="shared" si="101"/>
        <v>100</v>
      </c>
      <c r="W951" s="989"/>
      <c r="X951" s="989">
        <f t="shared" si="104"/>
        <v>0</v>
      </c>
      <c r="Y951" s="1012"/>
    </row>
    <row r="952" spans="1:25" ht="63" customHeight="1">
      <c r="A952" s="1006">
        <v>834</v>
      </c>
      <c r="B952" s="1007" t="s">
        <v>2659</v>
      </c>
      <c r="C952" s="1008"/>
      <c r="D952" s="1008" t="s">
        <v>4232</v>
      </c>
      <c r="E952" s="1007" t="s">
        <v>2660</v>
      </c>
      <c r="F952" s="1010" t="s">
        <v>1187</v>
      </c>
      <c r="G952" s="989">
        <v>104000</v>
      </c>
      <c r="H952" s="937"/>
      <c r="I952" s="1046"/>
      <c r="J952" s="1046"/>
      <c r="K952" s="1047"/>
      <c r="L952" s="1046"/>
      <c r="M952" s="1094"/>
      <c r="N952" s="989">
        <v>104000</v>
      </c>
      <c r="O952" s="989">
        <v>104000</v>
      </c>
      <c r="P952" s="989"/>
      <c r="Q952" s="989">
        <f t="shared" si="105"/>
        <v>104000</v>
      </c>
      <c r="R952" s="989">
        <f t="shared" ref="R952:R1015" si="107">Q952/N952*100</f>
        <v>100</v>
      </c>
      <c r="S952" s="1011"/>
      <c r="T952" s="989">
        <f t="shared" si="103"/>
        <v>0</v>
      </c>
      <c r="U952" s="989">
        <f t="shared" si="106"/>
        <v>104000</v>
      </c>
      <c r="V952" s="989">
        <f t="shared" si="101"/>
        <v>100</v>
      </c>
      <c r="W952" s="989"/>
      <c r="X952" s="989">
        <f t="shared" si="104"/>
        <v>0</v>
      </c>
      <c r="Y952" s="1012"/>
    </row>
    <row r="953" spans="1:25" ht="63" customHeight="1">
      <c r="A953" s="1006">
        <v>835</v>
      </c>
      <c r="B953" s="1007" t="s">
        <v>2661</v>
      </c>
      <c r="C953" s="1008"/>
      <c r="D953" s="1008" t="s">
        <v>4233</v>
      </c>
      <c r="E953" s="1007" t="s">
        <v>3184</v>
      </c>
      <c r="F953" s="1010" t="s">
        <v>1187</v>
      </c>
      <c r="G953" s="989">
        <v>312000</v>
      </c>
      <c r="H953" s="937"/>
      <c r="I953" s="1046"/>
      <c r="J953" s="1046"/>
      <c r="K953" s="1047"/>
      <c r="L953" s="1046"/>
      <c r="M953" s="1094"/>
      <c r="N953" s="989">
        <v>312000</v>
      </c>
      <c r="O953" s="989">
        <v>0</v>
      </c>
      <c r="P953" s="989">
        <v>312000</v>
      </c>
      <c r="Q953" s="989">
        <f t="shared" si="105"/>
        <v>312000</v>
      </c>
      <c r="R953" s="989">
        <f t="shared" si="107"/>
        <v>100</v>
      </c>
      <c r="S953" s="1011">
        <v>0</v>
      </c>
      <c r="T953" s="989">
        <f t="shared" si="103"/>
        <v>0</v>
      </c>
      <c r="U953" s="989">
        <f t="shared" si="106"/>
        <v>312000</v>
      </c>
      <c r="V953" s="989">
        <f t="shared" ref="V953:V1014" si="108">U953/N953*100</f>
        <v>100</v>
      </c>
      <c r="W953" s="989"/>
      <c r="X953" s="989">
        <f t="shared" si="104"/>
        <v>0</v>
      </c>
      <c r="Y953" s="1012"/>
    </row>
    <row r="954" spans="1:25" ht="63" customHeight="1">
      <c r="A954" s="1006">
        <v>836</v>
      </c>
      <c r="B954" s="1007" t="s">
        <v>4543</v>
      </c>
      <c r="C954" s="1008"/>
      <c r="D954" s="1008" t="s">
        <v>4544</v>
      </c>
      <c r="E954" s="1007" t="s">
        <v>4413</v>
      </c>
      <c r="F954" s="1010" t="s">
        <v>1187</v>
      </c>
      <c r="G954" s="989">
        <v>0</v>
      </c>
      <c r="H954" s="937"/>
      <c r="I954" s="1046"/>
      <c r="J954" s="1046"/>
      <c r="K954" s="1047"/>
      <c r="L954" s="1046"/>
      <c r="M954" s="1094"/>
      <c r="N954" s="989">
        <v>0</v>
      </c>
      <c r="O954" s="989">
        <v>0</v>
      </c>
      <c r="P954" s="989"/>
      <c r="Q954" s="989">
        <f t="shared" si="105"/>
        <v>0</v>
      </c>
      <c r="R954" s="989" t="e">
        <f t="shared" si="107"/>
        <v>#DIV/0!</v>
      </c>
      <c r="S954" s="1011"/>
      <c r="T954" s="989">
        <v>0</v>
      </c>
      <c r="U954" s="989">
        <f t="shared" si="106"/>
        <v>0</v>
      </c>
      <c r="V954" s="989">
        <v>0</v>
      </c>
      <c r="W954" s="989"/>
      <c r="X954" s="989">
        <f t="shared" si="104"/>
        <v>0</v>
      </c>
      <c r="Y954" s="1012"/>
    </row>
    <row r="955" spans="1:25" s="950" customFormat="1" ht="63" customHeight="1">
      <c r="A955" s="1006">
        <v>837</v>
      </c>
      <c r="B955" s="1007" t="s">
        <v>2662</v>
      </c>
      <c r="C955" s="1008"/>
      <c r="D955" s="1008" t="s">
        <v>4234</v>
      </c>
      <c r="E955" s="1007" t="s">
        <v>2663</v>
      </c>
      <c r="F955" s="1010" t="s">
        <v>1187</v>
      </c>
      <c r="G955" s="989">
        <v>208000</v>
      </c>
      <c r="H955" s="937"/>
      <c r="I955" s="1046"/>
      <c r="J955" s="1046"/>
      <c r="K955" s="1047"/>
      <c r="L955" s="1046"/>
      <c r="M955" s="1094"/>
      <c r="N955" s="989">
        <f>208000+M955</f>
        <v>208000</v>
      </c>
      <c r="O955" s="989">
        <v>0</v>
      </c>
      <c r="P955" s="989">
        <v>208000</v>
      </c>
      <c r="Q955" s="989">
        <f t="shared" si="105"/>
        <v>208000</v>
      </c>
      <c r="R955" s="989">
        <f t="shared" si="107"/>
        <v>100</v>
      </c>
      <c r="S955" s="1011">
        <v>0</v>
      </c>
      <c r="T955" s="989">
        <f t="shared" si="103"/>
        <v>0</v>
      </c>
      <c r="U955" s="989">
        <f t="shared" si="106"/>
        <v>208000</v>
      </c>
      <c r="V955" s="989">
        <f t="shared" si="108"/>
        <v>100</v>
      </c>
      <c r="W955" s="989"/>
      <c r="X955" s="989">
        <f t="shared" si="104"/>
        <v>0</v>
      </c>
      <c r="Y955" s="1012"/>
    </row>
    <row r="956" spans="1:25" ht="63" customHeight="1">
      <c r="A956" s="1006">
        <v>838</v>
      </c>
      <c r="B956" s="1007" t="s">
        <v>2664</v>
      </c>
      <c r="C956" s="1008"/>
      <c r="D956" s="1008" t="s">
        <v>4235</v>
      </c>
      <c r="E956" s="1007" t="s">
        <v>3185</v>
      </c>
      <c r="F956" s="1010" t="s">
        <v>1187</v>
      </c>
      <c r="G956" s="989">
        <v>208000</v>
      </c>
      <c r="H956" s="937"/>
      <c r="I956" s="1046"/>
      <c r="J956" s="1046"/>
      <c r="K956" s="1047"/>
      <c r="L956" s="1046"/>
      <c r="M956" s="1094">
        <v>-10600</v>
      </c>
      <c r="N956" s="989">
        <f>208000+M956</f>
        <v>197400</v>
      </c>
      <c r="O956" s="989">
        <v>0</v>
      </c>
      <c r="P956" s="989">
        <v>93400</v>
      </c>
      <c r="Q956" s="989">
        <f t="shared" si="105"/>
        <v>93400</v>
      </c>
      <c r="R956" s="989">
        <f t="shared" si="107"/>
        <v>47.315096251266468</v>
      </c>
      <c r="S956" s="1011">
        <v>104000</v>
      </c>
      <c r="T956" s="989">
        <f t="shared" si="103"/>
        <v>52.684903748733532</v>
      </c>
      <c r="U956" s="989">
        <f t="shared" si="106"/>
        <v>197400</v>
      </c>
      <c r="V956" s="989">
        <f t="shared" si="108"/>
        <v>100</v>
      </c>
      <c r="W956" s="989"/>
      <c r="X956" s="989">
        <f t="shared" si="104"/>
        <v>0</v>
      </c>
      <c r="Y956" s="1012"/>
    </row>
    <row r="957" spans="1:25" ht="63" customHeight="1">
      <c r="A957" s="1006">
        <v>839</v>
      </c>
      <c r="B957" s="1007" t="s">
        <v>2665</v>
      </c>
      <c r="C957" s="1008"/>
      <c r="D957" s="1008" t="s">
        <v>4236</v>
      </c>
      <c r="E957" s="1007" t="s">
        <v>3186</v>
      </c>
      <c r="F957" s="1010" t="s">
        <v>1187</v>
      </c>
      <c r="G957" s="989">
        <v>312000</v>
      </c>
      <c r="H957" s="937"/>
      <c r="I957" s="1046"/>
      <c r="J957" s="1046"/>
      <c r="K957" s="1047"/>
      <c r="L957" s="1046"/>
      <c r="M957" s="1094">
        <v>-75127</v>
      </c>
      <c r="N957" s="989">
        <f>312000+M957</f>
        <v>236873</v>
      </c>
      <c r="O957" s="989">
        <v>0</v>
      </c>
      <c r="P957" s="989">
        <v>236873</v>
      </c>
      <c r="Q957" s="989">
        <f t="shared" si="105"/>
        <v>236873</v>
      </c>
      <c r="R957" s="989">
        <f t="shared" si="107"/>
        <v>100</v>
      </c>
      <c r="S957" s="1011">
        <v>0</v>
      </c>
      <c r="T957" s="989">
        <f t="shared" si="103"/>
        <v>0</v>
      </c>
      <c r="U957" s="989">
        <f t="shared" si="106"/>
        <v>236873</v>
      </c>
      <c r="V957" s="989">
        <f t="shared" si="108"/>
        <v>100</v>
      </c>
      <c r="W957" s="989"/>
      <c r="X957" s="989">
        <f t="shared" si="104"/>
        <v>0</v>
      </c>
      <c r="Y957" s="1012"/>
    </row>
    <row r="958" spans="1:25" ht="63" customHeight="1">
      <c r="A958" s="1006">
        <v>840</v>
      </c>
      <c r="B958" s="1007" t="s">
        <v>2666</v>
      </c>
      <c r="C958" s="1008"/>
      <c r="D958" s="1008" t="s">
        <v>4237</v>
      </c>
      <c r="E958" s="1007" t="s">
        <v>2667</v>
      </c>
      <c r="F958" s="1010" t="s">
        <v>550</v>
      </c>
      <c r="G958" s="989">
        <v>208000</v>
      </c>
      <c r="H958" s="937"/>
      <c r="I958" s="1046"/>
      <c r="J958" s="1046"/>
      <c r="K958" s="1047"/>
      <c r="L958" s="1046"/>
      <c r="M958" s="1094"/>
      <c r="N958" s="989">
        <v>208000</v>
      </c>
      <c r="O958" s="989">
        <v>0</v>
      </c>
      <c r="P958" s="989">
        <v>208000</v>
      </c>
      <c r="Q958" s="989">
        <f t="shared" si="105"/>
        <v>208000</v>
      </c>
      <c r="R958" s="989">
        <f t="shared" si="107"/>
        <v>100</v>
      </c>
      <c r="S958" s="1011">
        <v>0</v>
      </c>
      <c r="T958" s="989">
        <f t="shared" si="103"/>
        <v>0</v>
      </c>
      <c r="U958" s="989">
        <f t="shared" si="106"/>
        <v>208000</v>
      </c>
      <c r="V958" s="989">
        <f t="shared" si="108"/>
        <v>100</v>
      </c>
      <c r="W958" s="989"/>
      <c r="X958" s="989">
        <f t="shared" si="104"/>
        <v>0</v>
      </c>
      <c r="Y958" s="1012"/>
    </row>
    <row r="959" spans="1:25" ht="63" customHeight="1">
      <c r="A959" s="1006">
        <v>841</v>
      </c>
      <c r="B959" s="1007" t="s">
        <v>2668</v>
      </c>
      <c r="C959" s="1008"/>
      <c r="D959" s="1008" t="s">
        <v>4238</v>
      </c>
      <c r="E959" s="1007" t="s">
        <v>2669</v>
      </c>
      <c r="F959" s="1010" t="s">
        <v>550</v>
      </c>
      <c r="G959" s="989">
        <v>104000</v>
      </c>
      <c r="H959" s="937"/>
      <c r="I959" s="1046"/>
      <c r="J959" s="1046"/>
      <c r="K959" s="1047">
        <v>-2063.94</v>
      </c>
      <c r="L959" s="1046"/>
      <c r="M959" s="1094"/>
      <c r="N959" s="989">
        <f>104000+M959+K959</f>
        <v>101936.06</v>
      </c>
      <c r="O959" s="989">
        <v>101936.06</v>
      </c>
      <c r="P959" s="989">
        <v>0</v>
      </c>
      <c r="Q959" s="989">
        <f t="shared" si="105"/>
        <v>101936.06</v>
      </c>
      <c r="R959" s="989">
        <f t="shared" si="107"/>
        <v>100</v>
      </c>
      <c r="S959" s="1011">
        <v>0</v>
      </c>
      <c r="T959" s="989">
        <f t="shared" si="103"/>
        <v>0</v>
      </c>
      <c r="U959" s="989">
        <f t="shared" si="106"/>
        <v>101936.06</v>
      </c>
      <c r="V959" s="989">
        <f t="shared" si="108"/>
        <v>100</v>
      </c>
      <c r="W959" s="989"/>
      <c r="X959" s="989">
        <f t="shared" si="104"/>
        <v>0</v>
      </c>
      <c r="Y959" s="1012"/>
    </row>
    <row r="960" spans="1:25" ht="63" customHeight="1">
      <c r="A960" s="1006">
        <v>842</v>
      </c>
      <c r="B960" s="1007" t="s">
        <v>2670</v>
      </c>
      <c r="C960" s="1008"/>
      <c r="D960" s="1008" t="s">
        <v>4239</v>
      </c>
      <c r="E960" s="1007" t="s">
        <v>2671</v>
      </c>
      <c r="F960" s="1010" t="s">
        <v>550</v>
      </c>
      <c r="G960" s="989">
        <v>1664000</v>
      </c>
      <c r="H960" s="937"/>
      <c r="I960" s="1046"/>
      <c r="J960" s="1046"/>
      <c r="K960" s="1047"/>
      <c r="L960" s="1046"/>
      <c r="M960" s="1094"/>
      <c r="N960" s="989">
        <v>1664000</v>
      </c>
      <c r="O960" s="989">
        <v>0</v>
      </c>
      <c r="P960" s="989">
        <v>1664000</v>
      </c>
      <c r="Q960" s="989">
        <f t="shared" si="105"/>
        <v>1664000</v>
      </c>
      <c r="R960" s="989">
        <f t="shared" si="107"/>
        <v>100</v>
      </c>
      <c r="S960" s="1011">
        <v>0</v>
      </c>
      <c r="T960" s="989">
        <f t="shared" si="103"/>
        <v>0</v>
      </c>
      <c r="U960" s="989">
        <f t="shared" si="106"/>
        <v>1664000</v>
      </c>
      <c r="V960" s="989">
        <f t="shared" si="108"/>
        <v>100</v>
      </c>
      <c r="W960" s="989"/>
      <c r="X960" s="989">
        <f t="shared" si="104"/>
        <v>0</v>
      </c>
      <c r="Y960" s="1012"/>
    </row>
    <row r="961" spans="1:39" s="969" customFormat="1" ht="63" customHeight="1">
      <c r="A961" s="1006">
        <v>843</v>
      </c>
      <c r="B961" s="1007" t="s">
        <v>2672</v>
      </c>
      <c r="C961" s="1008"/>
      <c r="D961" s="1008" t="s">
        <v>4240</v>
      </c>
      <c r="E961" s="1007" t="s">
        <v>2673</v>
      </c>
      <c r="F961" s="1010" t="s">
        <v>550</v>
      </c>
      <c r="G961" s="989">
        <v>1040000</v>
      </c>
      <c r="H961" s="937"/>
      <c r="I961" s="1046"/>
      <c r="J961" s="1046"/>
      <c r="K961" s="1047">
        <v>-34603</v>
      </c>
      <c r="L961" s="1046"/>
      <c r="M961" s="1094"/>
      <c r="N961" s="989">
        <f>1040000+M961+K961</f>
        <v>1005397</v>
      </c>
      <c r="O961" s="989">
        <v>1005397</v>
      </c>
      <c r="P961" s="989">
        <v>0</v>
      </c>
      <c r="Q961" s="989">
        <f t="shared" si="105"/>
        <v>1005397</v>
      </c>
      <c r="R961" s="989">
        <f t="shared" si="107"/>
        <v>100</v>
      </c>
      <c r="S961" s="1011">
        <v>0</v>
      </c>
      <c r="T961" s="989">
        <f t="shared" si="103"/>
        <v>0</v>
      </c>
      <c r="U961" s="989">
        <f t="shared" si="106"/>
        <v>1005397</v>
      </c>
      <c r="V961" s="989">
        <f t="shared" si="108"/>
        <v>100</v>
      </c>
      <c r="W961" s="989"/>
      <c r="X961" s="989">
        <f t="shared" si="104"/>
        <v>0</v>
      </c>
      <c r="Y961" s="1012"/>
      <c r="Z961" s="941"/>
      <c r="AA961" s="941"/>
      <c r="AB961" s="941"/>
      <c r="AC961" s="941"/>
      <c r="AD961" s="941"/>
      <c r="AE961" s="941"/>
      <c r="AF961" s="941"/>
      <c r="AG961" s="941"/>
      <c r="AH961" s="941"/>
      <c r="AI961" s="941"/>
      <c r="AJ961" s="941"/>
      <c r="AK961" s="941"/>
      <c r="AL961" s="941"/>
      <c r="AM961" s="941"/>
    </row>
    <row r="962" spans="1:39" s="969" customFormat="1" ht="63" customHeight="1">
      <c r="A962" s="1006">
        <v>844</v>
      </c>
      <c r="B962" s="1007" t="s">
        <v>2674</v>
      </c>
      <c r="C962" s="1008"/>
      <c r="D962" s="1008" t="s">
        <v>4241</v>
      </c>
      <c r="E962" s="1007" t="s">
        <v>2675</v>
      </c>
      <c r="F962" s="1010" t="s">
        <v>550</v>
      </c>
      <c r="G962" s="989">
        <v>832000</v>
      </c>
      <c r="H962" s="937"/>
      <c r="I962" s="1046"/>
      <c r="J962" s="1046"/>
      <c r="K962" s="1047"/>
      <c r="L962" s="1046"/>
      <c r="M962" s="1094"/>
      <c r="N962" s="989">
        <v>832000</v>
      </c>
      <c r="O962" s="989">
        <v>312000</v>
      </c>
      <c r="P962" s="989">
        <v>520000</v>
      </c>
      <c r="Q962" s="989">
        <f t="shared" si="105"/>
        <v>832000</v>
      </c>
      <c r="R962" s="989">
        <f t="shared" si="107"/>
        <v>100</v>
      </c>
      <c r="S962" s="1011">
        <v>0</v>
      </c>
      <c r="T962" s="989">
        <f t="shared" si="103"/>
        <v>0</v>
      </c>
      <c r="U962" s="989">
        <f t="shared" si="106"/>
        <v>832000</v>
      </c>
      <c r="V962" s="989">
        <f t="shared" si="108"/>
        <v>100</v>
      </c>
      <c r="W962" s="989"/>
      <c r="X962" s="989">
        <f t="shared" si="104"/>
        <v>0</v>
      </c>
      <c r="Y962" s="1012"/>
      <c r="Z962" s="941"/>
      <c r="AA962" s="941"/>
      <c r="AB962" s="941"/>
      <c r="AC962" s="941"/>
      <c r="AD962" s="941"/>
      <c r="AE962" s="941"/>
      <c r="AF962" s="941"/>
      <c r="AG962" s="941"/>
      <c r="AH962" s="941"/>
      <c r="AI962" s="941"/>
      <c r="AJ962" s="941"/>
      <c r="AK962" s="941"/>
      <c r="AL962" s="941"/>
      <c r="AM962" s="941"/>
    </row>
    <row r="963" spans="1:39" s="969" customFormat="1" ht="63" customHeight="1">
      <c r="A963" s="1006">
        <v>845</v>
      </c>
      <c r="B963" s="1007" t="s">
        <v>2676</v>
      </c>
      <c r="C963" s="1008"/>
      <c r="D963" s="1008" t="s">
        <v>4242</v>
      </c>
      <c r="E963" s="1007" t="s">
        <v>2677</v>
      </c>
      <c r="F963" s="1010" t="s">
        <v>550</v>
      </c>
      <c r="G963" s="989">
        <v>104000</v>
      </c>
      <c r="H963" s="937"/>
      <c r="I963" s="1046"/>
      <c r="J963" s="1046"/>
      <c r="K963" s="1047"/>
      <c r="L963" s="1046"/>
      <c r="M963" s="1094"/>
      <c r="N963" s="989">
        <v>104000</v>
      </c>
      <c r="O963" s="989">
        <v>104000</v>
      </c>
      <c r="P963" s="989"/>
      <c r="Q963" s="989">
        <f t="shared" si="105"/>
        <v>104000</v>
      </c>
      <c r="R963" s="989">
        <f t="shared" si="107"/>
        <v>100</v>
      </c>
      <c r="S963" s="1011"/>
      <c r="T963" s="989">
        <f t="shared" si="103"/>
        <v>0</v>
      </c>
      <c r="U963" s="989">
        <f t="shared" si="106"/>
        <v>104000</v>
      </c>
      <c r="V963" s="989">
        <f t="shared" si="108"/>
        <v>100</v>
      </c>
      <c r="W963" s="989"/>
      <c r="X963" s="989">
        <f t="shared" si="104"/>
        <v>0</v>
      </c>
      <c r="Y963" s="1012"/>
      <c r="Z963" s="941"/>
      <c r="AA963" s="941"/>
      <c r="AB963" s="941"/>
      <c r="AC963" s="941"/>
      <c r="AD963" s="941"/>
      <c r="AE963" s="941"/>
      <c r="AF963" s="941"/>
      <c r="AG963" s="941"/>
      <c r="AH963" s="941"/>
      <c r="AI963" s="941"/>
      <c r="AJ963" s="941"/>
      <c r="AK963" s="941"/>
      <c r="AL963" s="941"/>
      <c r="AM963" s="941"/>
    </row>
    <row r="964" spans="1:39" s="969" customFormat="1" ht="63" customHeight="1">
      <c r="A964" s="1006">
        <v>846</v>
      </c>
      <c r="B964" s="1007" t="s">
        <v>2678</v>
      </c>
      <c r="C964" s="1008"/>
      <c r="D964" s="1008" t="s">
        <v>4243</v>
      </c>
      <c r="E964" s="1007" t="s">
        <v>2679</v>
      </c>
      <c r="F964" s="1010" t="s">
        <v>550</v>
      </c>
      <c r="G964" s="989">
        <v>208000</v>
      </c>
      <c r="H964" s="937"/>
      <c r="I964" s="1046"/>
      <c r="J964" s="1046"/>
      <c r="K964" s="1047"/>
      <c r="L964" s="1046"/>
      <c r="M964" s="1094"/>
      <c r="N964" s="989">
        <v>208000</v>
      </c>
      <c r="O964" s="989">
        <v>0</v>
      </c>
      <c r="P964" s="989">
        <v>208000</v>
      </c>
      <c r="Q964" s="989">
        <f t="shared" si="105"/>
        <v>208000</v>
      </c>
      <c r="R964" s="989">
        <f t="shared" si="107"/>
        <v>100</v>
      </c>
      <c r="S964" s="1011">
        <v>0</v>
      </c>
      <c r="T964" s="989">
        <f t="shared" si="103"/>
        <v>0</v>
      </c>
      <c r="U964" s="989">
        <f t="shared" si="106"/>
        <v>208000</v>
      </c>
      <c r="V964" s="989">
        <f t="shared" si="108"/>
        <v>100</v>
      </c>
      <c r="W964" s="989"/>
      <c r="X964" s="989">
        <f t="shared" si="104"/>
        <v>0</v>
      </c>
      <c r="Y964" s="1012"/>
      <c r="Z964" s="941"/>
      <c r="AA964" s="941"/>
      <c r="AB964" s="941"/>
      <c r="AC964" s="941"/>
      <c r="AD964" s="941"/>
      <c r="AE964" s="941"/>
      <c r="AF964" s="941"/>
      <c r="AG964" s="941"/>
      <c r="AH964" s="941"/>
      <c r="AI964" s="941"/>
      <c r="AJ964" s="941"/>
      <c r="AK964" s="941"/>
      <c r="AL964" s="941"/>
      <c r="AM964" s="941"/>
    </row>
    <row r="965" spans="1:39" s="969" customFormat="1" ht="63" customHeight="1">
      <c r="A965" s="1006">
        <v>847</v>
      </c>
      <c r="B965" s="1007" t="s">
        <v>2680</v>
      </c>
      <c r="C965" s="1008"/>
      <c r="D965" s="1008" t="s">
        <v>4244</v>
      </c>
      <c r="E965" s="1007" t="s">
        <v>2681</v>
      </c>
      <c r="F965" s="1010" t="s">
        <v>550</v>
      </c>
      <c r="G965" s="989">
        <v>104000</v>
      </c>
      <c r="H965" s="937"/>
      <c r="I965" s="1046"/>
      <c r="J965" s="1046"/>
      <c r="K965" s="1047">
        <v>-1000</v>
      </c>
      <c r="L965" s="1046"/>
      <c r="M965" s="1094"/>
      <c r="N965" s="989">
        <f>104000+M965+K965</f>
        <v>103000</v>
      </c>
      <c r="O965" s="989">
        <v>103000</v>
      </c>
      <c r="P965" s="989">
        <v>0</v>
      </c>
      <c r="Q965" s="989">
        <f t="shared" si="105"/>
        <v>103000</v>
      </c>
      <c r="R965" s="989">
        <f t="shared" si="107"/>
        <v>100</v>
      </c>
      <c r="S965" s="1011">
        <v>0</v>
      </c>
      <c r="T965" s="989">
        <f t="shared" si="103"/>
        <v>0</v>
      </c>
      <c r="U965" s="989">
        <f t="shared" si="106"/>
        <v>103000</v>
      </c>
      <c r="V965" s="989">
        <f t="shared" si="108"/>
        <v>100</v>
      </c>
      <c r="W965" s="989"/>
      <c r="X965" s="989">
        <f t="shared" si="104"/>
        <v>0</v>
      </c>
      <c r="Y965" s="1012"/>
      <c r="Z965" s="941"/>
      <c r="AA965" s="941"/>
      <c r="AB965" s="941"/>
      <c r="AC965" s="941"/>
      <c r="AD965" s="941"/>
      <c r="AE965" s="941"/>
      <c r="AF965" s="941"/>
      <c r="AG965" s="941"/>
      <c r="AH965" s="941"/>
      <c r="AI965" s="941"/>
      <c r="AJ965" s="941"/>
      <c r="AK965" s="941"/>
      <c r="AL965" s="941"/>
      <c r="AM965" s="941"/>
    </row>
    <row r="966" spans="1:39" s="969" customFormat="1" ht="63" customHeight="1">
      <c r="A966" s="1006">
        <v>848</v>
      </c>
      <c r="B966" s="1007" t="s">
        <v>2682</v>
      </c>
      <c r="C966" s="1008"/>
      <c r="D966" s="1008" t="s">
        <v>4245</v>
      </c>
      <c r="E966" s="1007" t="s">
        <v>2683</v>
      </c>
      <c r="F966" s="1010" t="s">
        <v>550</v>
      </c>
      <c r="G966" s="989">
        <v>520000</v>
      </c>
      <c r="H966" s="937"/>
      <c r="I966" s="1046"/>
      <c r="J966" s="1046"/>
      <c r="K966" s="1047"/>
      <c r="L966" s="1046"/>
      <c r="M966" s="1094"/>
      <c r="N966" s="989">
        <v>520000</v>
      </c>
      <c r="O966" s="989">
        <v>520000</v>
      </c>
      <c r="P966" s="989"/>
      <c r="Q966" s="989">
        <f t="shared" si="105"/>
        <v>520000</v>
      </c>
      <c r="R966" s="989">
        <f t="shared" si="107"/>
        <v>100</v>
      </c>
      <c r="S966" s="1011"/>
      <c r="T966" s="989">
        <f t="shared" si="103"/>
        <v>0</v>
      </c>
      <c r="U966" s="989">
        <f t="shared" si="106"/>
        <v>520000</v>
      </c>
      <c r="V966" s="989">
        <f t="shared" si="108"/>
        <v>100</v>
      </c>
      <c r="W966" s="989"/>
      <c r="X966" s="989">
        <f t="shared" si="104"/>
        <v>0</v>
      </c>
      <c r="Y966" s="1012"/>
      <c r="Z966" s="941"/>
      <c r="AA966" s="941"/>
      <c r="AB966" s="941"/>
      <c r="AC966" s="941"/>
      <c r="AD966" s="941"/>
      <c r="AE966" s="941"/>
      <c r="AF966" s="941"/>
      <c r="AG966" s="941"/>
      <c r="AH966" s="941"/>
      <c r="AI966" s="941"/>
      <c r="AJ966" s="941"/>
      <c r="AK966" s="941"/>
      <c r="AL966" s="941"/>
      <c r="AM966" s="941"/>
    </row>
    <row r="967" spans="1:39" s="969" customFormat="1" ht="63" customHeight="1">
      <c r="A967" s="1006">
        <v>849</v>
      </c>
      <c r="B967" s="1007" t="s">
        <v>2684</v>
      </c>
      <c r="C967" s="1008"/>
      <c r="D967" s="1008" t="s">
        <v>4246</v>
      </c>
      <c r="E967" s="1007" t="s">
        <v>2685</v>
      </c>
      <c r="F967" s="1010" t="s">
        <v>550</v>
      </c>
      <c r="G967" s="989">
        <v>208000</v>
      </c>
      <c r="H967" s="937"/>
      <c r="I967" s="1046"/>
      <c r="J967" s="1046"/>
      <c r="K967" s="1047">
        <v>-5507.44</v>
      </c>
      <c r="L967" s="1046"/>
      <c r="M967" s="1094">
        <f>-22702.63+5507.44</f>
        <v>-17195.190000000002</v>
      </c>
      <c r="N967" s="989">
        <f>208000+M967+K967</f>
        <v>185297.37</v>
      </c>
      <c r="O967" s="989">
        <v>185297.37</v>
      </c>
      <c r="P967" s="989">
        <v>0</v>
      </c>
      <c r="Q967" s="989">
        <f t="shared" si="105"/>
        <v>185297.37</v>
      </c>
      <c r="R967" s="989">
        <f t="shared" si="107"/>
        <v>100</v>
      </c>
      <c r="S967" s="1011">
        <v>0</v>
      </c>
      <c r="T967" s="989">
        <f t="shared" si="103"/>
        <v>0</v>
      </c>
      <c r="U967" s="989">
        <f t="shared" si="106"/>
        <v>185297.37</v>
      </c>
      <c r="V967" s="989">
        <f t="shared" si="108"/>
        <v>100</v>
      </c>
      <c r="W967" s="989"/>
      <c r="X967" s="989">
        <f t="shared" si="104"/>
        <v>0</v>
      </c>
      <c r="Y967" s="1012"/>
      <c r="Z967" s="941"/>
      <c r="AA967" s="941"/>
      <c r="AB967" s="941"/>
      <c r="AC967" s="941"/>
      <c r="AD967" s="941"/>
      <c r="AE967" s="941"/>
      <c r="AF967" s="941"/>
      <c r="AG967" s="941"/>
      <c r="AH967" s="941"/>
      <c r="AI967" s="941"/>
      <c r="AJ967" s="941"/>
      <c r="AK967" s="941"/>
      <c r="AL967" s="941"/>
      <c r="AM967" s="941"/>
    </row>
    <row r="968" spans="1:39" s="969" customFormat="1" ht="63" customHeight="1">
      <c r="A968" s="1006">
        <v>850</v>
      </c>
      <c r="B968" s="1007" t="s">
        <v>2686</v>
      </c>
      <c r="C968" s="1008"/>
      <c r="D968" s="1008" t="s">
        <v>4247</v>
      </c>
      <c r="E968" s="1007" t="s">
        <v>2687</v>
      </c>
      <c r="F968" s="1010" t="s">
        <v>550</v>
      </c>
      <c r="G968" s="989">
        <v>728000</v>
      </c>
      <c r="H968" s="937"/>
      <c r="I968" s="1046"/>
      <c r="J968" s="1046"/>
      <c r="K968" s="1047"/>
      <c r="L968" s="1046"/>
      <c r="M968" s="1094"/>
      <c r="N968" s="989">
        <v>728000</v>
      </c>
      <c r="O968" s="989">
        <v>0</v>
      </c>
      <c r="P968" s="989">
        <v>728000</v>
      </c>
      <c r="Q968" s="989">
        <f t="shared" si="105"/>
        <v>728000</v>
      </c>
      <c r="R968" s="989">
        <f t="shared" si="107"/>
        <v>100</v>
      </c>
      <c r="S968" s="1011">
        <v>0</v>
      </c>
      <c r="T968" s="989">
        <f t="shared" si="103"/>
        <v>0</v>
      </c>
      <c r="U968" s="989">
        <f t="shared" si="106"/>
        <v>728000</v>
      </c>
      <c r="V968" s="989">
        <f t="shared" si="108"/>
        <v>100</v>
      </c>
      <c r="W968" s="989"/>
      <c r="X968" s="989">
        <f t="shared" si="104"/>
        <v>0</v>
      </c>
      <c r="Y968" s="1012"/>
      <c r="Z968" s="941"/>
      <c r="AA968" s="941"/>
      <c r="AB968" s="941"/>
      <c r="AC968" s="941"/>
      <c r="AD968" s="941"/>
      <c r="AE968" s="941"/>
      <c r="AF968" s="941"/>
      <c r="AG968" s="941"/>
      <c r="AH968" s="941"/>
      <c r="AI968" s="941"/>
      <c r="AJ968" s="941"/>
      <c r="AK968" s="941"/>
      <c r="AL968" s="941"/>
      <c r="AM968" s="941"/>
    </row>
    <row r="969" spans="1:39" s="969" customFormat="1" ht="63" customHeight="1">
      <c r="A969" s="1006">
        <v>851</v>
      </c>
      <c r="B969" s="1007" t="s">
        <v>2688</v>
      </c>
      <c r="C969" s="1008"/>
      <c r="D969" s="1008" t="s">
        <v>4248</v>
      </c>
      <c r="E969" s="1007" t="s">
        <v>2689</v>
      </c>
      <c r="F969" s="1010" t="s">
        <v>556</v>
      </c>
      <c r="G969" s="989">
        <v>520000</v>
      </c>
      <c r="H969" s="937"/>
      <c r="I969" s="1046"/>
      <c r="J969" s="1046"/>
      <c r="K969" s="1047">
        <f>-5000-178642.47</f>
        <v>-183642.47</v>
      </c>
      <c r="L969" s="1046"/>
      <c r="M969" s="1094"/>
      <c r="N969" s="989">
        <f>520000+K969+M969</f>
        <v>336357.53</v>
      </c>
      <c r="O969" s="989">
        <v>0</v>
      </c>
      <c r="P969" s="989">
        <v>0</v>
      </c>
      <c r="Q969" s="989">
        <f t="shared" si="105"/>
        <v>0</v>
      </c>
      <c r="R969" s="989">
        <f t="shared" si="107"/>
        <v>0</v>
      </c>
      <c r="S969" s="1011">
        <v>336357.53</v>
      </c>
      <c r="T969" s="989">
        <f t="shared" si="103"/>
        <v>100</v>
      </c>
      <c r="U969" s="989">
        <f t="shared" si="106"/>
        <v>336357.53</v>
      </c>
      <c r="V969" s="989">
        <f t="shared" si="108"/>
        <v>100</v>
      </c>
      <c r="W969" s="989"/>
      <c r="X969" s="989">
        <f t="shared" si="104"/>
        <v>0</v>
      </c>
      <c r="Y969" s="1012"/>
      <c r="Z969" s="941"/>
      <c r="AA969" s="941"/>
      <c r="AB969" s="941"/>
      <c r="AC969" s="941"/>
      <c r="AD969" s="941"/>
      <c r="AE969" s="941"/>
      <c r="AF969" s="941"/>
      <c r="AG969" s="941"/>
      <c r="AH969" s="941"/>
      <c r="AI969" s="941"/>
      <c r="AJ969" s="941"/>
      <c r="AK969" s="941"/>
      <c r="AL969" s="941"/>
      <c r="AM969" s="941"/>
    </row>
    <row r="970" spans="1:39" s="969" customFormat="1" ht="63" customHeight="1">
      <c r="A970" s="1006">
        <v>852</v>
      </c>
      <c r="B970" s="1007" t="s">
        <v>2690</v>
      </c>
      <c r="C970" s="1008"/>
      <c r="D970" s="1008" t="s">
        <v>4249</v>
      </c>
      <c r="E970" s="1007" t="s">
        <v>2999</v>
      </c>
      <c r="F970" s="1010" t="s">
        <v>556</v>
      </c>
      <c r="G970" s="989">
        <v>416000</v>
      </c>
      <c r="H970" s="937"/>
      <c r="I970" s="1046"/>
      <c r="J970" s="1046"/>
      <c r="K970" s="1047">
        <v>-27000</v>
      </c>
      <c r="L970" s="1046"/>
      <c r="M970" s="1094">
        <v>-7100</v>
      </c>
      <c r="N970" s="989">
        <f>416000+M970+K970</f>
        <v>381900</v>
      </c>
      <c r="O970" s="989">
        <v>0</v>
      </c>
      <c r="P970" s="989">
        <v>381900</v>
      </c>
      <c r="Q970" s="989">
        <f t="shared" si="105"/>
        <v>381900</v>
      </c>
      <c r="R970" s="989">
        <f t="shared" si="107"/>
        <v>100</v>
      </c>
      <c r="S970" s="1011">
        <v>0</v>
      </c>
      <c r="T970" s="989">
        <f t="shared" si="103"/>
        <v>0</v>
      </c>
      <c r="U970" s="989">
        <f t="shared" si="106"/>
        <v>381900</v>
      </c>
      <c r="V970" s="989">
        <f t="shared" si="108"/>
        <v>100</v>
      </c>
      <c r="W970" s="989"/>
      <c r="X970" s="989">
        <f t="shared" si="104"/>
        <v>0</v>
      </c>
      <c r="Y970" s="1012"/>
      <c r="Z970" s="941"/>
      <c r="AA970" s="941"/>
      <c r="AB970" s="941"/>
      <c r="AC970" s="941"/>
      <c r="AD970" s="941"/>
      <c r="AE970" s="941"/>
      <c r="AF970" s="941"/>
      <c r="AG970" s="941"/>
      <c r="AH970" s="941"/>
      <c r="AI970" s="941"/>
      <c r="AJ970" s="941"/>
      <c r="AK970" s="941"/>
      <c r="AL970" s="941"/>
      <c r="AM970" s="941"/>
    </row>
    <row r="971" spans="1:39" s="969" customFormat="1" ht="63" customHeight="1">
      <c r="A971" s="1006">
        <v>853</v>
      </c>
      <c r="B971" s="1007" t="s">
        <v>2691</v>
      </c>
      <c r="C971" s="1008"/>
      <c r="D971" s="1008" t="s">
        <v>4250</v>
      </c>
      <c r="E971" s="1007" t="s">
        <v>2692</v>
      </c>
      <c r="F971" s="1010" t="s">
        <v>556</v>
      </c>
      <c r="G971" s="989">
        <v>312000</v>
      </c>
      <c r="H971" s="937"/>
      <c r="I971" s="1046"/>
      <c r="J971" s="1046"/>
      <c r="K971" s="1047">
        <v>-119913</v>
      </c>
      <c r="L971" s="1046"/>
      <c r="M971" s="1094"/>
      <c r="N971" s="989">
        <f>312000+M971+K971</f>
        <v>192087</v>
      </c>
      <c r="O971" s="989">
        <v>0</v>
      </c>
      <c r="P971" s="989">
        <v>192087</v>
      </c>
      <c r="Q971" s="989">
        <f t="shared" si="105"/>
        <v>192087</v>
      </c>
      <c r="R971" s="989">
        <f t="shared" si="107"/>
        <v>100</v>
      </c>
      <c r="S971" s="1011">
        <v>0</v>
      </c>
      <c r="T971" s="989">
        <f t="shared" si="103"/>
        <v>0</v>
      </c>
      <c r="U971" s="989">
        <f t="shared" si="106"/>
        <v>192087</v>
      </c>
      <c r="V971" s="989">
        <f t="shared" si="108"/>
        <v>100</v>
      </c>
      <c r="W971" s="989"/>
      <c r="X971" s="989">
        <f t="shared" si="104"/>
        <v>0</v>
      </c>
      <c r="Y971" s="1012"/>
      <c r="Z971" s="941"/>
      <c r="AA971" s="941"/>
      <c r="AB971" s="941"/>
      <c r="AC971" s="941"/>
      <c r="AD971" s="941"/>
      <c r="AE971" s="941"/>
      <c r="AF971" s="941"/>
      <c r="AG971" s="941"/>
      <c r="AH971" s="941"/>
      <c r="AI971" s="941"/>
      <c r="AJ971" s="941"/>
      <c r="AK971" s="941"/>
      <c r="AL971" s="941"/>
      <c r="AM971" s="941"/>
    </row>
    <row r="972" spans="1:39" s="969" customFormat="1" ht="63" customHeight="1">
      <c r="A972" s="1006">
        <v>854</v>
      </c>
      <c r="B972" s="1007" t="s">
        <v>2693</v>
      </c>
      <c r="C972" s="1008"/>
      <c r="D972" s="1008" t="s">
        <v>4251</v>
      </c>
      <c r="E972" s="1007" t="s">
        <v>2694</v>
      </c>
      <c r="F972" s="1010" t="s">
        <v>556</v>
      </c>
      <c r="G972" s="989">
        <v>416000</v>
      </c>
      <c r="H972" s="937"/>
      <c r="I972" s="1046"/>
      <c r="J972" s="1046"/>
      <c r="K972" s="1047">
        <v>-183500</v>
      </c>
      <c r="L972" s="1046"/>
      <c r="M972" s="1094"/>
      <c r="N972" s="989">
        <f>416000+M972+K972</f>
        <v>232500</v>
      </c>
      <c r="O972" s="989">
        <v>0</v>
      </c>
      <c r="P972" s="989">
        <v>232500</v>
      </c>
      <c r="Q972" s="989">
        <f t="shared" si="105"/>
        <v>232500</v>
      </c>
      <c r="R972" s="989">
        <f t="shared" si="107"/>
        <v>100</v>
      </c>
      <c r="S972" s="1011">
        <v>0</v>
      </c>
      <c r="T972" s="989">
        <f t="shared" si="103"/>
        <v>0</v>
      </c>
      <c r="U972" s="989">
        <f t="shared" si="106"/>
        <v>232500</v>
      </c>
      <c r="V972" s="989">
        <f t="shared" si="108"/>
        <v>100</v>
      </c>
      <c r="W972" s="989"/>
      <c r="X972" s="989">
        <f t="shared" si="104"/>
        <v>0</v>
      </c>
      <c r="Y972" s="1012"/>
      <c r="Z972" s="941"/>
      <c r="AA972" s="941"/>
      <c r="AB972" s="941"/>
      <c r="AC972" s="941"/>
      <c r="AD972" s="941"/>
      <c r="AE972" s="941"/>
      <c r="AF972" s="941"/>
      <c r="AG972" s="941"/>
      <c r="AH972" s="941"/>
      <c r="AI972" s="941"/>
      <c r="AJ972" s="941"/>
      <c r="AK972" s="941"/>
      <c r="AL972" s="941"/>
      <c r="AM972" s="941"/>
    </row>
    <row r="973" spans="1:39" s="969" customFormat="1" ht="63" customHeight="1">
      <c r="A973" s="1006">
        <v>855</v>
      </c>
      <c r="B973" s="1007" t="s">
        <v>2695</v>
      </c>
      <c r="C973" s="1008"/>
      <c r="D973" s="1008" t="s">
        <v>4252</v>
      </c>
      <c r="E973" s="1007" t="s">
        <v>3000</v>
      </c>
      <c r="F973" s="1010" t="s">
        <v>556</v>
      </c>
      <c r="G973" s="989">
        <v>832000</v>
      </c>
      <c r="H973" s="937"/>
      <c r="I973" s="1046"/>
      <c r="J973" s="1046"/>
      <c r="K973" s="1047"/>
      <c r="L973" s="1046"/>
      <c r="M973" s="1094"/>
      <c r="N973" s="989">
        <v>832000</v>
      </c>
      <c r="O973" s="989">
        <v>0</v>
      </c>
      <c r="P973" s="989">
        <v>832000</v>
      </c>
      <c r="Q973" s="989">
        <f t="shared" si="105"/>
        <v>832000</v>
      </c>
      <c r="R973" s="989">
        <f t="shared" si="107"/>
        <v>100</v>
      </c>
      <c r="S973" s="1011">
        <v>0</v>
      </c>
      <c r="T973" s="989">
        <f t="shared" si="103"/>
        <v>0</v>
      </c>
      <c r="U973" s="989">
        <f t="shared" si="106"/>
        <v>832000</v>
      </c>
      <c r="V973" s="989">
        <f t="shared" si="108"/>
        <v>100</v>
      </c>
      <c r="W973" s="989"/>
      <c r="X973" s="989">
        <f t="shared" si="104"/>
        <v>0</v>
      </c>
      <c r="Y973" s="1012"/>
      <c r="Z973" s="941"/>
      <c r="AA973" s="941"/>
      <c r="AB973" s="941"/>
      <c r="AC973" s="941"/>
      <c r="AD973" s="941"/>
      <c r="AE973" s="941"/>
      <c r="AF973" s="941"/>
      <c r="AG973" s="941"/>
      <c r="AH973" s="941"/>
      <c r="AI973" s="941"/>
      <c r="AJ973" s="941"/>
      <c r="AK973" s="941"/>
      <c r="AL973" s="941"/>
      <c r="AM973" s="941"/>
    </row>
    <row r="974" spans="1:39" s="969" customFormat="1" ht="63" customHeight="1">
      <c r="A974" s="1006">
        <v>856</v>
      </c>
      <c r="B974" s="1007" t="s">
        <v>2696</v>
      </c>
      <c r="C974" s="1008"/>
      <c r="D974" s="1008" t="s">
        <v>4253</v>
      </c>
      <c r="E974" s="1007" t="s">
        <v>3001</v>
      </c>
      <c r="F974" s="1010" t="s">
        <v>556</v>
      </c>
      <c r="G974" s="989">
        <v>728000</v>
      </c>
      <c r="H974" s="937"/>
      <c r="I974" s="1046"/>
      <c r="J974" s="1046"/>
      <c r="K974" s="1047">
        <v>-106071</v>
      </c>
      <c r="L974" s="1046"/>
      <c r="M974" s="1094"/>
      <c r="N974" s="989">
        <f>728000+M974+K974</f>
        <v>621929</v>
      </c>
      <c r="O974" s="989">
        <v>0</v>
      </c>
      <c r="P974" s="989">
        <v>621929</v>
      </c>
      <c r="Q974" s="989">
        <f t="shared" si="105"/>
        <v>621929</v>
      </c>
      <c r="R974" s="989">
        <f t="shared" si="107"/>
        <v>100</v>
      </c>
      <c r="S974" s="1011">
        <v>0</v>
      </c>
      <c r="T974" s="989">
        <f t="shared" si="103"/>
        <v>0</v>
      </c>
      <c r="U974" s="989">
        <f t="shared" si="106"/>
        <v>621929</v>
      </c>
      <c r="V974" s="989">
        <f t="shared" si="108"/>
        <v>100</v>
      </c>
      <c r="W974" s="989"/>
      <c r="X974" s="989">
        <f t="shared" si="104"/>
        <v>0</v>
      </c>
      <c r="Y974" s="1012"/>
      <c r="Z974" s="941"/>
      <c r="AA974" s="941"/>
      <c r="AB974" s="941"/>
      <c r="AC974" s="941"/>
      <c r="AD974" s="941"/>
      <c r="AE974" s="941"/>
      <c r="AF974" s="941"/>
      <c r="AG974" s="941"/>
      <c r="AH974" s="941"/>
      <c r="AI974" s="941"/>
      <c r="AJ974" s="941"/>
      <c r="AK974" s="941"/>
      <c r="AL974" s="941"/>
      <c r="AM974" s="941"/>
    </row>
    <row r="975" spans="1:39" s="969" customFormat="1" ht="63" customHeight="1">
      <c r="A975" s="1006">
        <v>857</v>
      </c>
      <c r="B975" s="1007" t="s">
        <v>2697</v>
      </c>
      <c r="C975" s="1008"/>
      <c r="D975" s="1008" t="s">
        <v>4254</v>
      </c>
      <c r="E975" s="1007" t="s">
        <v>2698</v>
      </c>
      <c r="F975" s="1010" t="s">
        <v>556</v>
      </c>
      <c r="G975" s="989">
        <v>520000</v>
      </c>
      <c r="H975" s="937"/>
      <c r="I975" s="1046"/>
      <c r="J975" s="1046"/>
      <c r="K975" s="1047">
        <v>-45000</v>
      </c>
      <c r="L975" s="1046"/>
      <c r="M975" s="1094">
        <v>-10000</v>
      </c>
      <c r="N975" s="989">
        <f>520000+M975+K975</f>
        <v>465000</v>
      </c>
      <c r="O975" s="989">
        <v>0</v>
      </c>
      <c r="P975" s="989">
        <v>465000</v>
      </c>
      <c r="Q975" s="989">
        <f t="shared" si="105"/>
        <v>465000</v>
      </c>
      <c r="R975" s="989">
        <f t="shared" si="107"/>
        <v>100</v>
      </c>
      <c r="S975" s="1011">
        <v>0</v>
      </c>
      <c r="T975" s="989">
        <f t="shared" si="103"/>
        <v>0</v>
      </c>
      <c r="U975" s="989">
        <f t="shared" si="106"/>
        <v>465000</v>
      </c>
      <c r="V975" s="989">
        <f t="shared" si="108"/>
        <v>100</v>
      </c>
      <c r="W975" s="989"/>
      <c r="X975" s="989">
        <f t="shared" si="104"/>
        <v>0</v>
      </c>
      <c r="Y975" s="1012"/>
      <c r="Z975" s="941"/>
      <c r="AA975" s="941"/>
      <c r="AB975" s="941"/>
      <c r="AC975" s="941"/>
      <c r="AD975" s="941"/>
      <c r="AE975" s="941"/>
      <c r="AF975" s="941"/>
      <c r="AG975" s="941"/>
      <c r="AH975" s="941"/>
      <c r="AI975" s="941"/>
      <c r="AJ975" s="941"/>
      <c r="AK975" s="941"/>
      <c r="AL975" s="941"/>
      <c r="AM975" s="941"/>
    </row>
    <row r="976" spans="1:39" s="969" customFormat="1" ht="63" customHeight="1">
      <c r="A976" s="1006">
        <v>858</v>
      </c>
      <c r="B976" s="1007" t="s">
        <v>2699</v>
      </c>
      <c r="C976" s="1008"/>
      <c r="D976" s="1008" t="s">
        <v>4255</v>
      </c>
      <c r="E976" s="1007" t="s">
        <v>2700</v>
      </c>
      <c r="F976" s="1010" t="s">
        <v>556</v>
      </c>
      <c r="G976" s="989">
        <v>728000</v>
      </c>
      <c r="H976" s="937"/>
      <c r="I976" s="1046"/>
      <c r="J976" s="1046"/>
      <c r="K976" s="1047">
        <f>-63000-189663.34</f>
        <v>-252663.34</v>
      </c>
      <c r="L976" s="1046"/>
      <c r="M976" s="1094"/>
      <c r="N976" s="989">
        <f>728000+M976+K976</f>
        <v>475336.66000000003</v>
      </c>
      <c r="O976" s="989">
        <v>0</v>
      </c>
      <c r="P976" s="989">
        <v>475336.66</v>
      </c>
      <c r="Q976" s="989">
        <f t="shared" si="105"/>
        <v>475336.66</v>
      </c>
      <c r="R976" s="989">
        <f t="shared" si="107"/>
        <v>99.999999999999986</v>
      </c>
      <c r="S976" s="1011">
        <v>0</v>
      </c>
      <c r="T976" s="989">
        <f t="shared" si="103"/>
        <v>0</v>
      </c>
      <c r="U976" s="989">
        <f t="shared" si="106"/>
        <v>475336.66</v>
      </c>
      <c r="V976" s="989">
        <f t="shared" si="108"/>
        <v>99.999999999999986</v>
      </c>
      <c r="W976" s="989"/>
      <c r="X976" s="989">
        <f t="shared" si="104"/>
        <v>0</v>
      </c>
      <c r="Y976" s="1012"/>
      <c r="Z976" s="941"/>
      <c r="AA976" s="941"/>
      <c r="AB976" s="941"/>
      <c r="AC976" s="941"/>
      <c r="AD976" s="941"/>
      <c r="AE976" s="941"/>
      <c r="AF976" s="941"/>
      <c r="AG976" s="941"/>
      <c r="AH976" s="941"/>
      <c r="AI976" s="941"/>
      <c r="AJ976" s="941"/>
      <c r="AK976" s="941"/>
      <c r="AL976" s="941"/>
      <c r="AM976" s="941"/>
    </row>
    <row r="977" spans="1:39" s="969" customFormat="1" ht="63" customHeight="1">
      <c r="A977" s="1006">
        <v>859</v>
      </c>
      <c r="B977" s="1007" t="s">
        <v>2701</v>
      </c>
      <c r="C977" s="1008"/>
      <c r="D977" s="1008" t="s">
        <v>4256</v>
      </c>
      <c r="E977" s="1007" t="s">
        <v>3002</v>
      </c>
      <c r="F977" s="1010" t="s">
        <v>556</v>
      </c>
      <c r="G977" s="989">
        <v>208000</v>
      </c>
      <c r="H977" s="937"/>
      <c r="I977" s="1046"/>
      <c r="J977" s="1046"/>
      <c r="K977" s="1047"/>
      <c r="L977" s="1046"/>
      <c r="M977" s="1094"/>
      <c r="N977" s="989">
        <v>208000</v>
      </c>
      <c r="O977" s="989">
        <v>0</v>
      </c>
      <c r="P977" s="989">
        <v>208000</v>
      </c>
      <c r="Q977" s="989">
        <f t="shared" si="105"/>
        <v>208000</v>
      </c>
      <c r="R977" s="989">
        <f t="shared" si="107"/>
        <v>100</v>
      </c>
      <c r="S977" s="1011">
        <v>0</v>
      </c>
      <c r="T977" s="989">
        <f t="shared" si="103"/>
        <v>0</v>
      </c>
      <c r="U977" s="989">
        <f t="shared" si="106"/>
        <v>208000</v>
      </c>
      <c r="V977" s="989">
        <f t="shared" si="108"/>
        <v>100</v>
      </c>
      <c r="W977" s="989"/>
      <c r="X977" s="989">
        <f t="shared" si="104"/>
        <v>0</v>
      </c>
      <c r="Y977" s="1012"/>
      <c r="Z977" s="941"/>
      <c r="AA977" s="941"/>
      <c r="AB977" s="941"/>
      <c r="AC977" s="941"/>
      <c r="AD977" s="941"/>
      <c r="AE977" s="941"/>
      <c r="AF977" s="941"/>
      <c r="AG977" s="941"/>
      <c r="AH977" s="941"/>
      <c r="AI977" s="941"/>
      <c r="AJ977" s="941"/>
      <c r="AK977" s="941"/>
      <c r="AL977" s="941"/>
      <c r="AM977" s="941"/>
    </row>
    <row r="978" spans="1:39" s="969" customFormat="1" ht="63" customHeight="1">
      <c r="A978" s="1006">
        <v>860</v>
      </c>
      <c r="B978" s="1007" t="s">
        <v>2702</v>
      </c>
      <c r="C978" s="1008"/>
      <c r="D978" s="1008" t="s">
        <v>4257</v>
      </c>
      <c r="E978" s="1007" t="s">
        <v>2703</v>
      </c>
      <c r="F978" s="1010" t="s">
        <v>1183</v>
      </c>
      <c r="G978" s="989">
        <v>104000</v>
      </c>
      <c r="H978" s="937"/>
      <c r="I978" s="1046"/>
      <c r="J978" s="1046"/>
      <c r="K978" s="1047"/>
      <c r="L978" s="1046"/>
      <c r="M978" s="1094"/>
      <c r="N978" s="989">
        <v>104000</v>
      </c>
      <c r="O978" s="989">
        <v>0</v>
      </c>
      <c r="P978" s="989">
        <v>104000</v>
      </c>
      <c r="Q978" s="989">
        <f t="shared" si="105"/>
        <v>104000</v>
      </c>
      <c r="R978" s="989">
        <f t="shared" si="107"/>
        <v>100</v>
      </c>
      <c r="S978" s="1011">
        <v>0</v>
      </c>
      <c r="T978" s="989">
        <f t="shared" si="103"/>
        <v>0</v>
      </c>
      <c r="U978" s="989">
        <f t="shared" si="106"/>
        <v>104000</v>
      </c>
      <c r="V978" s="989">
        <f t="shared" si="108"/>
        <v>100</v>
      </c>
      <c r="W978" s="989"/>
      <c r="X978" s="989">
        <f t="shared" si="104"/>
        <v>0</v>
      </c>
      <c r="Y978" s="1012"/>
      <c r="Z978" s="941"/>
      <c r="AA978" s="941"/>
      <c r="AB978" s="941"/>
      <c r="AC978" s="941"/>
      <c r="AD978" s="941"/>
      <c r="AE978" s="941"/>
      <c r="AF978" s="941"/>
      <c r="AG978" s="941"/>
      <c r="AH978" s="941"/>
      <c r="AI978" s="941"/>
      <c r="AJ978" s="941"/>
      <c r="AK978" s="941"/>
      <c r="AL978" s="941"/>
      <c r="AM978" s="941"/>
    </row>
    <row r="979" spans="1:39" s="969" customFormat="1" ht="63" customHeight="1">
      <c r="A979" s="1006">
        <v>861</v>
      </c>
      <c r="B979" s="1007" t="s">
        <v>2704</v>
      </c>
      <c r="C979" s="1008"/>
      <c r="D979" s="1008" t="s">
        <v>4258</v>
      </c>
      <c r="E979" s="1007" t="s">
        <v>2705</v>
      </c>
      <c r="F979" s="1010" t="s">
        <v>1183</v>
      </c>
      <c r="G979" s="989">
        <v>208000</v>
      </c>
      <c r="H979" s="937"/>
      <c r="I979" s="1046"/>
      <c r="J979" s="1046"/>
      <c r="K979" s="1047"/>
      <c r="L979" s="1046"/>
      <c r="M979" s="1094"/>
      <c r="N979" s="989">
        <v>208000</v>
      </c>
      <c r="O979" s="989">
        <v>0</v>
      </c>
      <c r="P979" s="989">
        <v>208000</v>
      </c>
      <c r="Q979" s="989">
        <f t="shared" si="105"/>
        <v>208000</v>
      </c>
      <c r="R979" s="989">
        <f t="shared" si="107"/>
        <v>100</v>
      </c>
      <c r="S979" s="1011">
        <v>0</v>
      </c>
      <c r="T979" s="989">
        <f t="shared" si="103"/>
        <v>0</v>
      </c>
      <c r="U979" s="989">
        <f t="shared" si="106"/>
        <v>208000</v>
      </c>
      <c r="V979" s="989">
        <f t="shared" si="108"/>
        <v>100</v>
      </c>
      <c r="W979" s="989"/>
      <c r="X979" s="989">
        <f t="shared" si="104"/>
        <v>0</v>
      </c>
      <c r="Y979" s="1012"/>
      <c r="Z979" s="941"/>
      <c r="AA979" s="941"/>
      <c r="AB979" s="941"/>
      <c r="AC979" s="941"/>
      <c r="AD979" s="941"/>
      <c r="AE979" s="941"/>
      <c r="AF979" s="941"/>
      <c r="AG979" s="941"/>
      <c r="AH979" s="941"/>
      <c r="AI979" s="941"/>
      <c r="AJ979" s="941"/>
      <c r="AK979" s="941"/>
      <c r="AL979" s="941"/>
      <c r="AM979" s="941"/>
    </row>
    <row r="980" spans="1:39" s="969" customFormat="1" ht="63" customHeight="1">
      <c r="A980" s="1006">
        <v>862</v>
      </c>
      <c r="B980" s="1007" t="s">
        <v>2706</v>
      </c>
      <c r="C980" s="1008"/>
      <c r="D980" s="1008" t="s">
        <v>4259</v>
      </c>
      <c r="E980" s="1007" t="s">
        <v>2707</v>
      </c>
      <c r="F980" s="1010" t="s">
        <v>1183</v>
      </c>
      <c r="G980" s="989">
        <v>624000</v>
      </c>
      <c r="H980" s="937"/>
      <c r="I980" s="1046"/>
      <c r="J980" s="1046"/>
      <c r="K980" s="1047"/>
      <c r="L980" s="1046"/>
      <c r="M980" s="1094">
        <v>-8744.5499999999993</v>
      </c>
      <c r="N980" s="989">
        <f>624000+M980</f>
        <v>615255.44999999995</v>
      </c>
      <c r="O980" s="989">
        <v>104000</v>
      </c>
      <c r="P980" s="989">
        <v>511255.45</v>
      </c>
      <c r="Q980" s="989">
        <f t="shared" si="105"/>
        <v>615255.44999999995</v>
      </c>
      <c r="R980" s="989">
        <f t="shared" si="107"/>
        <v>100</v>
      </c>
      <c r="S980" s="1011">
        <v>0</v>
      </c>
      <c r="T980" s="989">
        <f t="shared" si="103"/>
        <v>0</v>
      </c>
      <c r="U980" s="989">
        <f t="shared" si="106"/>
        <v>615255.44999999995</v>
      </c>
      <c r="V980" s="989">
        <f t="shared" si="108"/>
        <v>100</v>
      </c>
      <c r="W980" s="989"/>
      <c r="X980" s="989">
        <f t="shared" si="104"/>
        <v>0</v>
      </c>
      <c r="Y980" s="1012"/>
      <c r="Z980" s="941"/>
      <c r="AA980" s="941"/>
      <c r="AB980" s="941"/>
      <c r="AC980" s="941"/>
      <c r="AD980" s="941"/>
      <c r="AE980" s="941"/>
      <c r="AF980" s="941"/>
      <c r="AG980" s="941"/>
      <c r="AH980" s="941"/>
      <c r="AI980" s="941"/>
      <c r="AJ980" s="941"/>
      <c r="AK980" s="941"/>
      <c r="AL980" s="941"/>
      <c r="AM980" s="941"/>
    </row>
    <row r="981" spans="1:39" s="969" customFormat="1" ht="63" customHeight="1">
      <c r="A981" s="1006">
        <v>863</v>
      </c>
      <c r="B981" s="1007" t="s">
        <v>2708</v>
      </c>
      <c r="C981" s="1008"/>
      <c r="D981" s="1008" t="s">
        <v>4260</v>
      </c>
      <c r="E981" s="1007" t="s">
        <v>2709</v>
      </c>
      <c r="F981" s="1010" t="s">
        <v>1183</v>
      </c>
      <c r="G981" s="989">
        <v>624000</v>
      </c>
      <c r="H981" s="937"/>
      <c r="I981" s="1046"/>
      <c r="J981" s="1046"/>
      <c r="K981" s="1047"/>
      <c r="L981" s="1046"/>
      <c r="M981" s="1094">
        <v>-46231.65</v>
      </c>
      <c r="N981" s="989">
        <f>624000+M981</f>
        <v>577768.35</v>
      </c>
      <c r="O981" s="989">
        <v>0</v>
      </c>
      <c r="P981" s="989">
        <v>577768.35</v>
      </c>
      <c r="Q981" s="989">
        <f t="shared" si="105"/>
        <v>577768.35</v>
      </c>
      <c r="R981" s="989">
        <f t="shared" si="107"/>
        <v>100</v>
      </c>
      <c r="S981" s="1011">
        <v>0</v>
      </c>
      <c r="T981" s="989">
        <f t="shared" si="103"/>
        <v>0</v>
      </c>
      <c r="U981" s="989">
        <f t="shared" si="106"/>
        <v>577768.35</v>
      </c>
      <c r="V981" s="989">
        <f t="shared" si="108"/>
        <v>100</v>
      </c>
      <c r="W981" s="989"/>
      <c r="X981" s="989">
        <f t="shared" si="104"/>
        <v>0</v>
      </c>
      <c r="Y981" s="1012"/>
      <c r="Z981" s="941"/>
      <c r="AA981" s="941"/>
      <c r="AB981" s="941"/>
      <c r="AC981" s="941"/>
      <c r="AD981" s="941"/>
      <c r="AE981" s="941"/>
      <c r="AF981" s="941"/>
      <c r="AG981" s="941"/>
      <c r="AH981" s="941"/>
      <c r="AI981" s="941"/>
      <c r="AJ981" s="941"/>
      <c r="AK981" s="941"/>
      <c r="AL981" s="941"/>
      <c r="AM981" s="941"/>
    </row>
    <row r="982" spans="1:39" s="969" customFormat="1" ht="63" customHeight="1">
      <c r="A982" s="1006">
        <v>864</v>
      </c>
      <c r="B982" s="1007" t="s">
        <v>2710</v>
      </c>
      <c r="C982" s="1008"/>
      <c r="D982" s="1008" t="s">
        <v>4261</v>
      </c>
      <c r="E982" s="1007" t="s">
        <v>2711</v>
      </c>
      <c r="F982" s="1010" t="s">
        <v>1183</v>
      </c>
      <c r="G982" s="989">
        <v>312000</v>
      </c>
      <c r="H982" s="937"/>
      <c r="I982" s="1046"/>
      <c r="J982" s="1046"/>
      <c r="K982" s="1047">
        <v>-98190</v>
      </c>
      <c r="L982" s="1046"/>
      <c r="M982" s="1094"/>
      <c r="N982" s="989">
        <f>312000+M982+K982</f>
        <v>213810</v>
      </c>
      <c r="O982" s="989">
        <v>0</v>
      </c>
      <c r="P982" s="989">
        <v>213810</v>
      </c>
      <c r="Q982" s="989">
        <f t="shared" si="105"/>
        <v>213810</v>
      </c>
      <c r="R982" s="989">
        <f t="shared" si="107"/>
        <v>100</v>
      </c>
      <c r="S982" s="1011">
        <v>0</v>
      </c>
      <c r="T982" s="989">
        <f t="shared" si="103"/>
        <v>0</v>
      </c>
      <c r="U982" s="989">
        <f t="shared" si="106"/>
        <v>213810</v>
      </c>
      <c r="V982" s="989">
        <f t="shared" si="108"/>
        <v>100</v>
      </c>
      <c r="W982" s="989"/>
      <c r="X982" s="989">
        <f t="shared" si="104"/>
        <v>0</v>
      </c>
      <c r="Y982" s="1012"/>
      <c r="Z982" s="941"/>
      <c r="AA982" s="941"/>
      <c r="AB982" s="941"/>
      <c r="AC982" s="941"/>
      <c r="AD982" s="941"/>
      <c r="AE982" s="941"/>
      <c r="AF982" s="941"/>
      <c r="AG982" s="941"/>
      <c r="AH982" s="941"/>
      <c r="AI982" s="941"/>
      <c r="AJ982" s="941"/>
      <c r="AK982" s="941"/>
      <c r="AL982" s="941"/>
      <c r="AM982" s="941"/>
    </row>
    <row r="983" spans="1:39" s="969" customFormat="1" ht="63" customHeight="1">
      <c r="A983" s="1006">
        <v>865</v>
      </c>
      <c r="B983" s="1007" t="s">
        <v>2712</v>
      </c>
      <c r="C983" s="1008"/>
      <c r="D983" s="1008" t="s">
        <v>4262</v>
      </c>
      <c r="E983" s="1007" t="s">
        <v>2713</v>
      </c>
      <c r="F983" s="1010" t="s">
        <v>1183</v>
      </c>
      <c r="G983" s="989">
        <v>208000</v>
      </c>
      <c r="H983" s="937"/>
      <c r="I983" s="1046"/>
      <c r="J983" s="1046"/>
      <c r="K983" s="1047"/>
      <c r="L983" s="1046"/>
      <c r="M983" s="1094"/>
      <c r="N983" s="989">
        <v>208000</v>
      </c>
      <c r="O983" s="989">
        <v>0</v>
      </c>
      <c r="P983" s="989">
        <v>208000</v>
      </c>
      <c r="Q983" s="989">
        <f t="shared" si="105"/>
        <v>208000</v>
      </c>
      <c r="R983" s="989">
        <f t="shared" si="107"/>
        <v>100</v>
      </c>
      <c r="S983" s="1011">
        <v>0</v>
      </c>
      <c r="T983" s="989">
        <f t="shared" si="103"/>
        <v>0</v>
      </c>
      <c r="U983" s="989">
        <f t="shared" si="106"/>
        <v>208000</v>
      </c>
      <c r="V983" s="989">
        <f t="shared" si="108"/>
        <v>100</v>
      </c>
      <c r="W983" s="989"/>
      <c r="X983" s="989">
        <f t="shared" si="104"/>
        <v>0</v>
      </c>
      <c r="Y983" s="1012"/>
      <c r="Z983" s="941"/>
      <c r="AA983" s="941"/>
      <c r="AB983" s="941"/>
      <c r="AC983" s="941"/>
      <c r="AD983" s="941"/>
      <c r="AE983" s="941"/>
      <c r="AF983" s="941"/>
      <c r="AG983" s="941"/>
      <c r="AH983" s="941"/>
      <c r="AI983" s="941"/>
      <c r="AJ983" s="941"/>
      <c r="AK983" s="941"/>
      <c r="AL983" s="941"/>
      <c r="AM983" s="941"/>
    </row>
    <row r="984" spans="1:39" s="969" customFormat="1" ht="63" customHeight="1">
      <c r="A984" s="1006">
        <v>866</v>
      </c>
      <c r="B984" s="1007" t="s">
        <v>2714</v>
      </c>
      <c r="C984" s="1008"/>
      <c r="D984" s="1008" t="s">
        <v>4263</v>
      </c>
      <c r="E984" s="1007" t="s">
        <v>2715</v>
      </c>
      <c r="F984" s="1010" t="s">
        <v>541</v>
      </c>
      <c r="G984" s="989">
        <v>104000</v>
      </c>
      <c r="H984" s="937"/>
      <c r="I984" s="1046"/>
      <c r="J984" s="1046"/>
      <c r="K984" s="1047"/>
      <c r="L984" s="1046"/>
      <c r="M984" s="1094">
        <f>-38588.24-4688.5</f>
        <v>-43276.74</v>
      </c>
      <c r="N984" s="989">
        <f>104000+M984</f>
        <v>60723.26</v>
      </c>
      <c r="O984" s="989">
        <v>60723.26</v>
      </c>
      <c r="P984" s="989">
        <v>0</v>
      </c>
      <c r="Q984" s="989">
        <f t="shared" si="105"/>
        <v>60723.26</v>
      </c>
      <c r="R984" s="989">
        <f t="shared" si="107"/>
        <v>100</v>
      </c>
      <c r="S984" s="1011">
        <v>0</v>
      </c>
      <c r="T984" s="989">
        <f t="shared" si="103"/>
        <v>0</v>
      </c>
      <c r="U984" s="989">
        <f t="shared" si="106"/>
        <v>60723.26</v>
      </c>
      <c r="V984" s="989">
        <f t="shared" si="108"/>
        <v>100</v>
      </c>
      <c r="W984" s="989"/>
      <c r="X984" s="989">
        <f t="shared" si="104"/>
        <v>0</v>
      </c>
      <c r="Y984" s="1012"/>
      <c r="Z984" s="941"/>
      <c r="AA984" s="941"/>
      <c r="AB984" s="941"/>
      <c r="AC984" s="941"/>
      <c r="AD984" s="941"/>
      <c r="AE984" s="941"/>
      <c r="AF984" s="941"/>
      <c r="AG984" s="941"/>
      <c r="AH984" s="941"/>
      <c r="AI984" s="941"/>
      <c r="AJ984" s="941"/>
      <c r="AK984" s="941"/>
      <c r="AL984" s="941"/>
      <c r="AM984" s="941"/>
    </row>
    <row r="985" spans="1:39" s="969" customFormat="1" ht="63" customHeight="1">
      <c r="A985" s="1006">
        <v>867</v>
      </c>
      <c r="B985" s="1007" t="s">
        <v>2716</v>
      </c>
      <c r="C985" s="1008"/>
      <c r="D985" s="1008" t="s">
        <v>4264</v>
      </c>
      <c r="E985" s="1007" t="s">
        <v>2717</v>
      </c>
      <c r="F985" s="1010" t="s">
        <v>541</v>
      </c>
      <c r="G985" s="989">
        <v>104000</v>
      </c>
      <c r="H985" s="937"/>
      <c r="I985" s="1046"/>
      <c r="J985" s="1046"/>
      <c r="K985" s="1047"/>
      <c r="L985" s="1046"/>
      <c r="M985" s="1094">
        <f>-23430.48+-4471.15</f>
        <v>-27901.629999999997</v>
      </c>
      <c r="N985" s="989">
        <f>104000+M985</f>
        <v>76098.37</v>
      </c>
      <c r="O985" s="989">
        <v>76098.37</v>
      </c>
      <c r="P985" s="989">
        <v>0</v>
      </c>
      <c r="Q985" s="989">
        <f t="shared" si="105"/>
        <v>76098.37</v>
      </c>
      <c r="R985" s="989">
        <f t="shared" si="107"/>
        <v>100</v>
      </c>
      <c r="S985" s="1011">
        <v>0</v>
      </c>
      <c r="T985" s="989">
        <f t="shared" si="103"/>
        <v>0</v>
      </c>
      <c r="U985" s="989">
        <f t="shared" si="106"/>
        <v>76098.37</v>
      </c>
      <c r="V985" s="989">
        <f t="shared" si="108"/>
        <v>100</v>
      </c>
      <c r="W985" s="989"/>
      <c r="X985" s="989">
        <f t="shared" si="104"/>
        <v>0</v>
      </c>
      <c r="Y985" s="1012"/>
      <c r="Z985" s="941"/>
      <c r="AA985" s="941"/>
      <c r="AB985" s="941"/>
      <c r="AC985" s="941"/>
      <c r="AD985" s="941"/>
      <c r="AE985" s="941"/>
      <c r="AF985" s="941"/>
      <c r="AG985" s="941"/>
      <c r="AH985" s="941"/>
      <c r="AI985" s="941"/>
      <c r="AJ985" s="941"/>
      <c r="AK985" s="941"/>
      <c r="AL985" s="941"/>
      <c r="AM985" s="941"/>
    </row>
    <row r="986" spans="1:39" s="969" customFormat="1" ht="63" customHeight="1">
      <c r="A986" s="1006">
        <v>868</v>
      </c>
      <c r="B986" s="1007" t="s">
        <v>2718</v>
      </c>
      <c r="C986" s="1008"/>
      <c r="D986" s="1008" t="s">
        <v>4265</v>
      </c>
      <c r="E986" s="1007" t="s">
        <v>2719</v>
      </c>
      <c r="F986" s="1010" t="s">
        <v>541</v>
      </c>
      <c r="G986" s="989">
        <v>312000</v>
      </c>
      <c r="H986" s="937"/>
      <c r="I986" s="1046"/>
      <c r="J986" s="1046"/>
      <c r="K986" s="1047">
        <v>-116924.13</v>
      </c>
      <c r="L986" s="1046"/>
      <c r="M986" s="1094"/>
      <c r="N986" s="989">
        <f>312000+M986+K986</f>
        <v>195075.87</v>
      </c>
      <c r="O986" s="989">
        <v>195075.87</v>
      </c>
      <c r="P986" s="989">
        <v>0</v>
      </c>
      <c r="Q986" s="989">
        <f t="shared" si="105"/>
        <v>195075.87</v>
      </c>
      <c r="R986" s="989">
        <f t="shared" si="107"/>
        <v>100</v>
      </c>
      <c r="S986" s="1011">
        <v>0</v>
      </c>
      <c r="T986" s="989">
        <f t="shared" si="103"/>
        <v>0</v>
      </c>
      <c r="U986" s="989">
        <f t="shared" si="106"/>
        <v>195075.87</v>
      </c>
      <c r="V986" s="989">
        <f t="shared" si="108"/>
        <v>100</v>
      </c>
      <c r="W986" s="989"/>
      <c r="X986" s="989">
        <f t="shared" si="104"/>
        <v>0</v>
      </c>
      <c r="Y986" s="1012"/>
      <c r="Z986" s="941"/>
      <c r="AA986" s="941"/>
      <c r="AB986" s="941"/>
      <c r="AC986" s="941"/>
      <c r="AD986" s="941"/>
      <c r="AE986" s="941"/>
      <c r="AF986" s="941"/>
      <c r="AG986" s="941"/>
      <c r="AH986" s="941"/>
      <c r="AI986" s="941"/>
      <c r="AJ986" s="941"/>
      <c r="AK986" s="941"/>
      <c r="AL986" s="941"/>
      <c r="AM986" s="941"/>
    </row>
    <row r="987" spans="1:39" s="969" customFormat="1" ht="63" customHeight="1">
      <c r="A987" s="1006">
        <v>869</v>
      </c>
      <c r="B987" s="1007" t="s">
        <v>2720</v>
      </c>
      <c r="C987" s="1008"/>
      <c r="D987" s="1008" t="s">
        <v>4266</v>
      </c>
      <c r="E987" s="1007" t="s">
        <v>2721</v>
      </c>
      <c r="F987" s="1010" t="s">
        <v>553</v>
      </c>
      <c r="G987" s="989">
        <v>520000</v>
      </c>
      <c r="H987" s="937"/>
      <c r="I987" s="1046"/>
      <c r="J987" s="1046"/>
      <c r="K987" s="1047"/>
      <c r="L987" s="1046"/>
      <c r="M987" s="1094"/>
      <c r="N987" s="989">
        <v>520000</v>
      </c>
      <c r="O987" s="989">
        <v>520000</v>
      </c>
      <c r="P987" s="989"/>
      <c r="Q987" s="989">
        <f t="shared" si="105"/>
        <v>520000</v>
      </c>
      <c r="R987" s="989">
        <f t="shared" si="107"/>
        <v>100</v>
      </c>
      <c r="S987" s="1011"/>
      <c r="T987" s="989">
        <f t="shared" si="103"/>
        <v>0</v>
      </c>
      <c r="U987" s="989">
        <f t="shared" si="106"/>
        <v>520000</v>
      </c>
      <c r="V987" s="989">
        <f t="shared" si="108"/>
        <v>100</v>
      </c>
      <c r="W987" s="989"/>
      <c r="X987" s="989">
        <f t="shared" si="104"/>
        <v>0</v>
      </c>
      <c r="Y987" s="1012"/>
      <c r="Z987" s="941"/>
      <c r="AA987" s="941"/>
      <c r="AB987" s="941"/>
      <c r="AC987" s="941"/>
      <c r="AD987" s="941"/>
      <c r="AE987" s="941"/>
      <c r="AF987" s="941"/>
      <c r="AG987" s="941"/>
      <c r="AH987" s="941"/>
      <c r="AI987" s="941"/>
      <c r="AJ987" s="941"/>
      <c r="AK987" s="941"/>
      <c r="AL987" s="941"/>
      <c r="AM987" s="941"/>
    </row>
    <row r="988" spans="1:39" s="969" customFormat="1" ht="63" customHeight="1">
      <c r="A988" s="1006">
        <v>870</v>
      </c>
      <c r="B988" s="1007" t="s">
        <v>2722</v>
      </c>
      <c r="C988" s="1008"/>
      <c r="D988" s="1008" t="s">
        <v>4267</v>
      </c>
      <c r="E988" s="1007" t="s">
        <v>2723</v>
      </c>
      <c r="F988" s="1010" t="s">
        <v>553</v>
      </c>
      <c r="G988" s="989">
        <v>312000</v>
      </c>
      <c r="H988" s="937"/>
      <c r="I988" s="1046"/>
      <c r="J988" s="1046"/>
      <c r="K988" s="1047"/>
      <c r="L988" s="1046"/>
      <c r="M988" s="1094"/>
      <c r="N988" s="989">
        <v>312000</v>
      </c>
      <c r="O988" s="989">
        <v>104000</v>
      </c>
      <c r="P988" s="989">
        <v>208000</v>
      </c>
      <c r="Q988" s="989">
        <f t="shared" si="105"/>
        <v>312000</v>
      </c>
      <c r="R988" s="989">
        <f t="shared" si="107"/>
        <v>100</v>
      </c>
      <c r="S988" s="1011">
        <v>0</v>
      </c>
      <c r="T988" s="989">
        <f t="shared" si="103"/>
        <v>0</v>
      </c>
      <c r="U988" s="989">
        <f t="shared" si="106"/>
        <v>312000</v>
      </c>
      <c r="V988" s="989">
        <f t="shared" si="108"/>
        <v>100</v>
      </c>
      <c r="W988" s="989"/>
      <c r="X988" s="989">
        <f t="shared" si="104"/>
        <v>0</v>
      </c>
      <c r="Y988" s="1012"/>
      <c r="Z988" s="941"/>
      <c r="AA988" s="941"/>
      <c r="AB988" s="941"/>
      <c r="AC988" s="941"/>
      <c r="AD988" s="941"/>
      <c r="AE988" s="941"/>
      <c r="AF988" s="941"/>
      <c r="AG988" s="941"/>
      <c r="AH988" s="941"/>
      <c r="AI988" s="941"/>
      <c r="AJ988" s="941"/>
      <c r="AK988" s="941"/>
      <c r="AL988" s="941"/>
      <c r="AM988" s="941"/>
    </row>
    <row r="989" spans="1:39" s="969" customFormat="1" ht="63" customHeight="1">
      <c r="A989" s="1006">
        <v>871</v>
      </c>
      <c r="B989" s="1007" t="s">
        <v>2724</v>
      </c>
      <c r="C989" s="1008"/>
      <c r="D989" s="1008" t="s">
        <v>4268</v>
      </c>
      <c r="E989" s="1007" t="s">
        <v>2725</v>
      </c>
      <c r="F989" s="1010" t="s">
        <v>553</v>
      </c>
      <c r="G989" s="989">
        <v>312000</v>
      </c>
      <c r="H989" s="937"/>
      <c r="I989" s="1046"/>
      <c r="J989" s="1046"/>
      <c r="K989" s="1047"/>
      <c r="L989" s="1046"/>
      <c r="M989" s="1094">
        <v>-1300</v>
      </c>
      <c r="N989" s="989">
        <f>312000+M989</f>
        <v>310700</v>
      </c>
      <c r="O989" s="989">
        <v>310700</v>
      </c>
      <c r="P989" s="989">
        <v>0</v>
      </c>
      <c r="Q989" s="989">
        <f t="shared" si="105"/>
        <v>310700</v>
      </c>
      <c r="R989" s="989">
        <f t="shared" si="107"/>
        <v>100</v>
      </c>
      <c r="S989" s="1011">
        <v>0</v>
      </c>
      <c r="T989" s="989">
        <f t="shared" si="103"/>
        <v>0</v>
      </c>
      <c r="U989" s="989">
        <f t="shared" si="106"/>
        <v>310700</v>
      </c>
      <c r="V989" s="989">
        <f t="shared" si="108"/>
        <v>100</v>
      </c>
      <c r="W989" s="989"/>
      <c r="X989" s="989">
        <f t="shared" si="104"/>
        <v>0</v>
      </c>
      <c r="Y989" s="1012"/>
      <c r="Z989" s="941"/>
      <c r="AA989" s="941"/>
      <c r="AB989" s="941"/>
      <c r="AC989" s="941"/>
      <c r="AD989" s="941"/>
      <c r="AE989" s="941"/>
      <c r="AF989" s="941"/>
      <c r="AG989" s="941"/>
      <c r="AH989" s="941"/>
      <c r="AI989" s="941"/>
      <c r="AJ989" s="941"/>
      <c r="AK989" s="941"/>
      <c r="AL989" s="941"/>
      <c r="AM989" s="941"/>
    </row>
    <row r="990" spans="1:39" s="969" customFormat="1" ht="63" customHeight="1">
      <c r="A990" s="1006">
        <v>872</v>
      </c>
      <c r="B990" s="1007" t="s">
        <v>2726</v>
      </c>
      <c r="C990" s="1008"/>
      <c r="D990" s="1008" t="s">
        <v>4269</v>
      </c>
      <c r="E990" s="1007" t="s">
        <v>2727</v>
      </c>
      <c r="F990" s="1010" t="s">
        <v>553</v>
      </c>
      <c r="G990" s="989">
        <v>416000</v>
      </c>
      <c r="H990" s="937"/>
      <c r="I990" s="1046"/>
      <c r="J990" s="1046"/>
      <c r="K990" s="1047"/>
      <c r="L990" s="1046"/>
      <c r="M990" s="1094"/>
      <c r="N990" s="989">
        <v>416000</v>
      </c>
      <c r="O990" s="989">
        <v>0</v>
      </c>
      <c r="P990" s="989">
        <v>416000</v>
      </c>
      <c r="Q990" s="989">
        <f t="shared" si="105"/>
        <v>416000</v>
      </c>
      <c r="R990" s="989">
        <f t="shared" si="107"/>
        <v>100</v>
      </c>
      <c r="S990" s="1011">
        <v>0</v>
      </c>
      <c r="T990" s="989">
        <f t="shared" si="103"/>
        <v>0</v>
      </c>
      <c r="U990" s="989">
        <f t="shared" si="106"/>
        <v>416000</v>
      </c>
      <c r="V990" s="989">
        <f t="shared" si="108"/>
        <v>100</v>
      </c>
      <c r="W990" s="989"/>
      <c r="X990" s="989">
        <f t="shared" si="104"/>
        <v>0</v>
      </c>
      <c r="Y990" s="1012"/>
      <c r="Z990" s="941"/>
      <c r="AA990" s="941"/>
      <c r="AB990" s="941"/>
      <c r="AC990" s="941"/>
      <c r="AD990" s="941"/>
      <c r="AE990" s="941"/>
      <c r="AF990" s="941"/>
      <c r="AG990" s="941"/>
      <c r="AH990" s="941"/>
      <c r="AI990" s="941"/>
      <c r="AJ990" s="941"/>
      <c r="AK990" s="941"/>
      <c r="AL990" s="941"/>
      <c r="AM990" s="941"/>
    </row>
    <row r="991" spans="1:39" s="969" customFormat="1" ht="63" customHeight="1">
      <c r="A991" s="1006">
        <v>873</v>
      </c>
      <c r="B991" s="1007" t="s">
        <v>2728</v>
      </c>
      <c r="C991" s="1008"/>
      <c r="D991" s="1008" t="s">
        <v>4270</v>
      </c>
      <c r="E991" s="1007" t="s">
        <v>2729</v>
      </c>
      <c r="F991" s="1010" t="s">
        <v>553</v>
      </c>
      <c r="G991" s="989">
        <v>104000</v>
      </c>
      <c r="H991" s="937"/>
      <c r="I991" s="1046"/>
      <c r="J991" s="1046"/>
      <c r="K991" s="1047"/>
      <c r="L991" s="1046"/>
      <c r="M991" s="1094">
        <v>-6800</v>
      </c>
      <c r="N991" s="989">
        <f>104000+M991</f>
        <v>97200</v>
      </c>
      <c r="O991" s="989">
        <v>97200</v>
      </c>
      <c r="P991" s="989">
        <v>0</v>
      </c>
      <c r="Q991" s="989">
        <f t="shared" si="105"/>
        <v>97200</v>
      </c>
      <c r="R991" s="989">
        <f t="shared" si="107"/>
        <v>100</v>
      </c>
      <c r="S991" s="1011">
        <v>0</v>
      </c>
      <c r="T991" s="989">
        <f t="shared" si="103"/>
        <v>0</v>
      </c>
      <c r="U991" s="989">
        <f t="shared" si="106"/>
        <v>97200</v>
      </c>
      <c r="V991" s="989">
        <f t="shared" si="108"/>
        <v>100</v>
      </c>
      <c r="W991" s="989"/>
      <c r="X991" s="989">
        <f t="shared" si="104"/>
        <v>0</v>
      </c>
      <c r="Y991" s="1012"/>
      <c r="Z991" s="941"/>
      <c r="AA991" s="941"/>
      <c r="AB991" s="941"/>
      <c r="AC991" s="941"/>
      <c r="AD991" s="941"/>
      <c r="AE991" s="941"/>
      <c r="AF991" s="941"/>
      <c r="AG991" s="941"/>
      <c r="AH991" s="941"/>
      <c r="AI991" s="941"/>
      <c r="AJ991" s="941"/>
      <c r="AK991" s="941"/>
      <c r="AL991" s="941"/>
      <c r="AM991" s="941"/>
    </row>
    <row r="992" spans="1:39" s="969" customFormat="1" ht="63" customHeight="1">
      <c r="A992" s="1006">
        <v>874</v>
      </c>
      <c r="B992" s="1007" t="s">
        <v>2730</v>
      </c>
      <c r="C992" s="1008"/>
      <c r="D992" s="1008" t="s">
        <v>4271</v>
      </c>
      <c r="E992" s="1007" t="s">
        <v>2731</v>
      </c>
      <c r="F992" s="1010" t="s">
        <v>553</v>
      </c>
      <c r="G992" s="989">
        <v>416000</v>
      </c>
      <c r="H992" s="937"/>
      <c r="I992" s="1046"/>
      <c r="J992" s="1046"/>
      <c r="K992" s="1047"/>
      <c r="L992" s="1046"/>
      <c r="M992" s="1094">
        <v>-18454.439999999999</v>
      </c>
      <c r="N992" s="989">
        <f>416000+M992</f>
        <v>397545.56</v>
      </c>
      <c r="O992" s="989">
        <v>0</v>
      </c>
      <c r="P992" s="989">
        <v>397545.56</v>
      </c>
      <c r="Q992" s="989">
        <f t="shared" si="105"/>
        <v>397545.56</v>
      </c>
      <c r="R992" s="989">
        <f t="shared" si="107"/>
        <v>100</v>
      </c>
      <c r="S992" s="1011">
        <v>0</v>
      </c>
      <c r="T992" s="989">
        <f t="shared" ref="T992:T1055" si="109">S992/N992*100</f>
        <v>0</v>
      </c>
      <c r="U992" s="989">
        <f t="shared" si="106"/>
        <v>397545.56</v>
      </c>
      <c r="V992" s="989">
        <f t="shared" si="108"/>
        <v>100</v>
      </c>
      <c r="W992" s="989"/>
      <c r="X992" s="989">
        <f t="shared" si="104"/>
        <v>0</v>
      </c>
      <c r="Y992" s="1012"/>
      <c r="Z992" s="941"/>
      <c r="AA992" s="941"/>
      <c r="AB992" s="941"/>
      <c r="AC992" s="941"/>
      <c r="AD992" s="941"/>
      <c r="AE992" s="941"/>
      <c r="AF992" s="941"/>
      <c r="AG992" s="941"/>
      <c r="AH992" s="941"/>
      <c r="AI992" s="941"/>
      <c r="AJ992" s="941"/>
      <c r="AK992" s="941"/>
      <c r="AL992" s="941"/>
      <c r="AM992" s="941"/>
    </row>
    <row r="993" spans="1:39" s="969" customFormat="1" ht="63" customHeight="1">
      <c r="A993" s="1006">
        <v>875</v>
      </c>
      <c r="B993" s="1007" t="s">
        <v>2732</v>
      </c>
      <c r="C993" s="1008"/>
      <c r="D993" s="1008" t="s">
        <v>4272</v>
      </c>
      <c r="E993" s="1007" t="s">
        <v>2733</v>
      </c>
      <c r="F993" s="1010" t="s">
        <v>1184</v>
      </c>
      <c r="G993" s="989">
        <v>416000</v>
      </c>
      <c r="H993" s="937"/>
      <c r="I993" s="1046"/>
      <c r="J993" s="1046"/>
      <c r="K993" s="1047"/>
      <c r="L993" s="1046"/>
      <c r="M993" s="1094">
        <v>-1300</v>
      </c>
      <c r="N993" s="989">
        <f>416000+M993</f>
        <v>414700</v>
      </c>
      <c r="O993" s="989">
        <v>310800</v>
      </c>
      <c r="P993" s="989">
        <v>103900</v>
      </c>
      <c r="Q993" s="989">
        <f t="shared" si="105"/>
        <v>414700</v>
      </c>
      <c r="R993" s="989">
        <f t="shared" si="107"/>
        <v>100</v>
      </c>
      <c r="S993" s="1011">
        <v>0</v>
      </c>
      <c r="T993" s="989">
        <f t="shared" si="109"/>
        <v>0</v>
      </c>
      <c r="U993" s="989">
        <f t="shared" si="106"/>
        <v>414700</v>
      </c>
      <c r="V993" s="989">
        <f t="shared" si="108"/>
        <v>100</v>
      </c>
      <c r="W993" s="989"/>
      <c r="X993" s="989">
        <f t="shared" si="104"/>
        <v>0</v>
      </c>
      <c r="Y993" s="1012"/>
      <c r="Z993" s="941"/>
      <c r="AA993" s="941"/>
      <c r="AB993" s="941"/>
      <c r="AC993" s="941"/>
      <c r="AD993" s="941"/>
      <c r="AE993" s="941"/>
      <c r="AF993" s="941"/>
      <c r="AG993" s="941"/>
      <c r="AH993" s="941"/>
      <c r="AI993" s="941"/>
      <c r="AJ993" s="941"/>
      <c r="AK993" s="941"/>
      <c r="AL993" s="941"/>
      <c r="AM993" s="941"/>
    </row>
    <row r="994" spans="1:39" s="969" customFormat="1" ht="63" customHeight="1">
      <c r="A994" s="1006">
        <v>876</v>
      </c>
      <c r="B994" s="1007" t="s">
        <v>2734</v>
      </c>
      <c r="C994" s="1008"/>
      <c r="D994" s="1008" t="s">
        <v>4273</v>
      </c>
      <c r="E994" s="1007" t="s">
        <v>2735</v>
      </c>
      <c r="F994" s="1010" t="s">
        <v>1184</v>
      </c>
      <c r="G994" s="989">
        <v>832000</v>
      </c>
      <c r="H994" s="937"/>
      <c r="I994" s="1046"/>
      <c r="J994" s="1046"/>
      <c r="K994" s="1047"/>
      <c r="L994" s="1046"/>
      <c r="M994" s="1094">
        <v>-26889.14</v>
      </c>
      <c r="N994" s="989">
        <f>832000+M994</f>
        <v>805110.86</v>
      </c>
      <c r="O994" s="989">
        <v>0</v>
      </c>
      <c r="P994" s="989">
        <v>805110.86</v>
      </c>
      <c r="Q994" s="989">
        <f t="shared" si="105"/>
        <v>805110.86</v>
      </c>
      <c r="R994" s="989">
        <f t="shared" si="107"/>
        <v>100</v>
      </c>
      <c r="S994" s="1011">
        <v>0</v>
      </c>
      <c r="T994" s="989">
        <f t="shared" si="109"/>
        <v>0</v>
      </c>
      <c r="U994" s="989">
        <f t="shared" si="106"/>
        <v>805110.86</v>
      </c>
      <c r="V994" s="989">
        <f t="shared" si="108"/>
        <v>100</v>
      </c>
      <c r="W994" s="989"/>
      <c r="X994" s="989">
        <f t="shared" si="104"/>
        <v>0</v>
      </c>
      <c r="Y994" s="1012"/>
      <c r="Z994" s="941"/>
      <c r="AA994" s="941"/>
      <c r="AB994" s="941"/>
      <c r="AC994" s="941"/>
      <c r="AD994" s="941"/>
      <c r="AE994" s="941"/>
      <c r="AF994" s="941"/>
      <c r="AG994" s="941"/>
      <c r="AH994" s="941"/>
      <c r="AI994" s="941"/>
      <c r="AJ994" s="941"/>
      <c r="AK994" s="941"/>
      <c r="AL994" s="941"/>
      <c r="AM994" s="941"/>
    </row>
    <row r="995" spans="1:39" s="969" customFormat="1" ht="63" customHeight="1">
      <c r="A995" s="1006">
        <v>877</v>
      </c>
      <c r="B995" s="1007" t="s">
        <v>2736</v>
      </c>
      <c r="C995" s="1008"/>
      <c r="D995" s="1008" t="s">
        <v>4274</v>
      </c>
      <c r="E995" s="1007" t="s">
        <v>2737</v>
      </c>
      <c r="F995" s="1010" t="s">
        <v>1184</v>
      </c>
      <c r="G995" s="989">
        <v>104000</v>
      </c>
      <c r="H995" s="937"/>
      <c r="I995" s="1046"/>
      <c r="J995" s="1046"/>
      <c r="K995" s="1047">
        <v>-7000</v>
      </c>
      <c r="L995" s="1046"/>
      <c r="M995" s="1094">
        <v>-24056</v>
      </c>
      <c r="N995" s="989">
        <f>97000+M995</f>
        <v>72944</v>
      </c>
      <c r="O995" s="989">
        <v>0</v>
      </c>
      <c r="P995" s="989">
        <v>72944</v>
      </c>
      <c r="Q995" s="989">
        <f t="shared" si="105"/>
        <v>72944</v>
      </c>
      <c r="R995" s="989">
        <f t="shared" si="107"/>
        <v>100</v>
      </c>
      <c r="S995" s="1011">
        <v>0</v>
      </c>
      <c r="T995" s="989">
        <f t="shared" si="109"/>
        <v>0</v>
      </c>
      <c r="U995" s="989">
        <f t="shared" si="106"/>
        <v>72944</v>
      </c>
      <c r="V995" s="989">
        <f t="shared" si="108"/>
        <v>100</v>
      </c>
      <c r="W995" s="989"/>
      <c r="X995" s="989">
        <f t="shared" si="104"/>
        <v>0</v>
      </c>
      <c r="Y995" s="1012"/>
      <c r="Z995" s="941"/>
      <c r="AA995" s="941"/>
      <c r="AB995" s="941"/>
      <c r="AC995" s="941"/>
      <c r="AD995" s="941"/>
      <c r="AE995" s="941"/>
      <c r="AF995" s="941"/>
      <c r="AG995" s="941"/>
      <c r="AH995" s="941"/>
      <c r="AI995" s="941"/>
      <c r="AJ995" s="941"/>
      <c r="AK995" s="941"/>
      <c r="AL995" s="941"/>
      <c r="AM995" s="941"/>
    </row>
    <row r="996" spans="1:39" s="969" customFormat="1" ht="63" customHeight="1">
      <c r="A996" s="1006">
        <v>878</v>
      </c>
      <c r="B996" s="1007" t="s">
        <v>2738</v>
      </c>
      <c r="C996" s="1008"/>
      <c r="D996" s="1008" t="s">
        <v>4275</v>
      </c>
      <c r="E996" s="1007" t="s">
        <v>2739</v>
      </c>
      <c r="F996" s="1010" t="s">
        <v>1184</v>
      </c>
      <c r="G996" s="989">
        <v>104000</v>
      </c>
      <c r="H996" s="937"/>
      <c r="I996" s="1046"/>
      <c r="J996" s="1046"/>
      <c r="K996" s="1047"/>
      <c r="L996" s="1046"/>
      <c r="M996" s="1094"/>
      <c r="N996" s="989">
        <v>104000</v>
      </c>
      <c r="O996" s="989">
        <v>0</v>
      </c>
      <c r="P996" s="989">
        <v>104000</v>
      </c>
      <c r="Q996" s="989">
        <f t="shared" si="105"/>
        <v>104000</v>
      </c>
      <c r="R996" s="989">
        <f t="shared" si="107"/>
        <v>100</v>
      </c>
      <c r="S996" s="1011">
        <v>0</v>
      </c>
      <c r="T996" s="989">
        <f t="shared" si="109"/>
        <v>0</v>
      </c>
      <c r="U996" s="989">
        <f t="shared" si="106"/>
        <v>104000</v>
      </c>
      <c r="V996" s="989">
        <f t="shared" si="108"/>
        <v>100</v>
      </c>
      <c r="W996" s="989"/>
      <c r="X996" s="989">
        <f t="shared" si="104"/>
        <v>0</v>
      </c>
      <c r="Y996" s="1012"/>
      <c r="Z996" s="941"/>
      <c r="AA996" s="941"/>
      <c r="AB996" s="941"/>
      <c r="AC996" s="941"/>
      <c r="AD996" s="941"/>
      <c r="AE996" s="941"/>
      <c r="AF996" s="941"/>
      <c r="AG996" s="941"/>
      <c r="AH996" s="941"/>
      <c r="AI996" s="941"/>
      <c r="AJ996" s="941"/>
      <c r="AK996" s="941"/>
      <c r="AL996" s="941"/>
      <c r="AM996" s="941"/>
    </row>
    <row r="997" spans="1:39" s="969" customFormat="1" ht="63" customHeight="1">
      <c r="A997" s="1006">
        <v>879</v>
      </c>
      <c r="B997" s="1007" t="s">
        <v>2740</v>
      </c>
      <c r="C997" s="1008"/>
      <c r="D997" s="1008" t="s">
        <v>4276</v>
      </c>
      <c r="E997" s="1007" t="s">
        <v>2741</v>
      </c>
      <c r="F997" s="1010" t="s">
        <v>1184</v>
      </c>
      <c r="G997" s="989">
        <v>520000</v>
      </c>
      <c r="H997" s="937"/>
      <c r="I997" s="1046"/>
      <c r="J997" s="1046"/>
      <c r="K997" s="1047"/>
      <c r="L997" s="1046"/>
      <c r="M997" s="1094"/>
      <c r="N997" s="989">
        <v>520000</v>
      </c>
      <c r="O997" s="989">
        <v>208000</v>
      </c>
      <c r="P997" s="989">
        <v>312000</v>
      </c>
      <c r="Q997" s="989">
        <f t="shared" si="105"/>
        <v>520000</v>
      </c>
      <c r="R997" s="989">
        <f t="shared" si="107"/>
        <v>100</v>
      </c>
      <c r="S997" s="1011">
        <v>0</v>
      </c>
      <c r="T997" s="989">
        <f t="shared" si="109"/>
        <v>0</v>
      </c>
      <c r="U997" s="989">
        <f t="shared" si="106"/>
        <v>520000</v>
      </c>
      <c r="V997" s="989">
        <f t="shared" si="108"/>
        <v>100</v>
      </c>
      <c r="W997" s="989"/>
      <c r="X997" s="989">
        <f t="shared" si="104"/>
        <v>0</v>
      </c>
      <c r="Y997" s="1012"/>
      <c r="Z997" s="941"/>
      <c r="AA997" s="941"/>
      <c r="AB997" s="941"/>
      <c r="AC997" s="941"/>
      <c r="AD997" s="941"/>
      <c r="AE997" s="941"/>
      <c r="AF997" s="941"/>
      <c r="AG997" s="941"/>
      <c r="AH997" s="941"/>
      <c r="AI997" s="941"/>
      <c r="AJ997" s="941"/>
      <c r="AK997" s="941"/>
      <c r="AL997" s="941"/>
      <c r="AM997" s="941"/>
    </row>
    <row r="998" spans="1:39" s="969" customFormat="1" ht="63" customHeight="1">
      <c r="A998" s="1006">
        <v>880</v>
      </c>
      <c r="B998" s="1007" t="s">
        <v>2742</v>
      </c>
      <c r="C998" s="1008"/>
      <c r="D998" s="1008" t="s">
        <v>4277</v>
      </c>
      <c r="E998" s="1007" t="s">
        <v>2743</v>
      </c>
      <c r="F998" s="1010" t="s">
        <v>1184</v>
      </c>
      <c r="G998" s="989">
        <v>520000</v>
      </c>
      <c r="H998" s="937"/>
      <c r="I998" s="1046"/>
      <c r="J998" s="1046"/>
      <c r="K998" s="1047"/>
      <c r="L998" s="1046"/>
      <c r="M998" s="1094">
        <v>-14</v>
      </c>
      <c r="N998" s="989">
        <f>520000+M998</f>
        <v>519986</v>
      </c>
      <c r="O998" s="989">
        <v>0</v>
      </c>
      <c r="P998" s="989">
        <v>519986</v>
      </c>
      <c r="Q998" s="989">
        <f t="shared" si="105"/>
        <v>519986</v>
      </c>
      <c r="R998" s="989">
        <f t="shared" si="107"/>
        <v>100</v>
      </c>
      <c r="S998" s="1011">
        <v>0</v>
      </c>
      <c r="T998" s="989">
        <f t="shared" si="109"/>
        <v>0</v>
      </c>
      <c r="U998" s="989">
        <f t="shared" si="106"/>
        <v>519986</v>
      </c>
      <c r="V998" s="989">
        <f t="shared" si="108"/>
        <v>100</v>
      </c>
      <c r="W998" s="989"/>
      <c r="X998" s="989">
        <f t="shared" si="104"/>
        <v>0</v>
      </c>
      <c r="Y998" s="1012"/>
      <c r="Z998" s="941"/>
      <c r="AA998" s="941"/>
      <c r="AB998" s="941"/>
      <c r="AC998" s="941"/>
      <c r="AD998" s="941"/>
      <c r="AE998" s="941"/>
      <c r="AF998" s="941"/>
      <c r="AG998" s="941"/>
      <c r="AH998" s="941"/>
      <c r="AI998" s="941"/>
      <c r="AJ998" s="941"/>
      <c r="AK998" s="941"/>
      <c r="AL998" s="941"/>
      <c r="AM998" s="941"/>
    </row>
    <row r="999" spans="1:39" s="969" customFormat="1" ht="63" customHeight="1">
      <c r="A999" s="1006">
        <v>881</v>
      </c>
      <c r="B999" s="1007" t="s">
        <v>2744</v>
      </c>
      <c r="C999" s="1008"/>
      <c r="D999" s="1008" t="s">
        <v>4278</v>
      </c>
      <c r="E999" s="1007" t="s">
        <v>2745</v>
      </c>
      <c r="F999" s="1010" t="s">
        <v>1184</v>
      </c>
      <c r="G999" s="989">
        <v>2184000</v>
      </c>
      <c r="H999" s="937"/>
      <c r="I999" s="1046"/>
      <c r="J999" s="1046"/>
      <c r="K999" s="1047">
        <f>-9000-303680.02</f>
        <v>-312680.02</v>
      </c>
      <c r="L999" s="1046"/>
      <c r="M999" s="1094"/>
      <c r="N999" s="989">
        <f>G999+M999+K999</f>
        <v>1871319.98</v>
      </c>
      <c r="O999" s="989">
        <v>1361588.2</v>
      </c>
      <c r="P999" s="989">
        <v>509731.78</v>
      </c>
      <c r="Q999" s="989">
        <f t="shared" si="105"/>
        <v>1871319.98</v>
      </c>
      <c r="R999" s="989">
        <f t="shared" si="107"/>
        <v>100</v>
      </c>
      <c r="S999" s="1011">
        <v>0</v>
      </c>
      <c r="T999" s="989">
        <f t="shared" si="109"/>
        <v>0</v>
      </c>
      <c r="U999" s="989">
        <f t="shared" si="106"/>
        <v>1871319.98</v>
      </c>
      <c r="V999" s="989">
        <f t="shared" si="108"/>
        <v>100</v>
      </c>
      <c r="W999" s="989"/>
      <c r="X999" s="989">
        <f t="shared" si="104"/>
        <v>0</v>
      </c>
      <c r="Y999" s="1012"/>
      <c r="Z999" s="941"/>
      <c r="AA999" s="941"/>
      <c r="AB999" s="941"/>
      <c r="AC999" s="941"/>
      <c r="AD999" s="941"/>
      <c r="AE999" s="941"/>
      <c r="AF999" s="941"/>
      <c r="AG999" s="941"/>
      <c r="AH999" s="941"/>
      <c r="AI999" s="941"/>
      <c r="AJ999" s="941"/>
      <c r="AK999" s="941"/>
      <c r="AL999" s="941"/>
      <c r="AM999" s="941"/>
    </row>
    <row r="1000" spans="1:39" s="969" customFormat="1" ht="63" customHeight="1">
      <c r="A1000" s="1006">
        <v>882</v>
      </c>
      <c r="B1000" s="1007" t="s">
        <v>2746</v>
      </c>
      <c r="C1000" s="1008"/>
      <c r="D1000" s="1008" t="s">
        <v>4279</v>
      </c>
      <c r="E1000" s="1007" t="s">
        <v>2747</v>
      </c>
      <c r="F1000" s="1010" t="s">
        <v>1184</v>
      </c>
      <c r="G1000" s="989">
        <v>208000</v>
      </c>
      <c r="H1000" s="937"/>
      <c r="I1000" s="1046"/>
      <c r="J1000" s="1046"/>
      <c r="K1000" s="1047"/>
      <c r="L1000" s="1046"/>
      <c r="M1000" s="1094"/>
      <c r="N1000" s="989">
        <v>208000</v>
      </c>
      <c r="O1000" s="989">
        <v>0</v>
      </c>
      <c r="P1000" s="989">
        <v>208000</v>
      </c>
      <c r="Q1000" s="989">
        <f t="shared" si="105"/>
        <v>208000</v>
      </c>
      <c r="R1000" s="989">
        <f t="shared" si="107"/>
        <v>100</v>
      </c>
      <c r="S1000" s="1011">
        <v>0</v>
      </c>
      <c r="T1000" s="989">
        <f t="shared" si="109"/>
        <v>0</v>
      </c>
      <c r="U1000" s="989">
        <f t="shared" si="106"/>
        <v>208000</v>
      </c>
      <c r="V1000" s="989">
        <f t="shared" si="108"/>
        <v>100</v>
      </c>
      <c r="W1000" s="989"/>
      <c r="X1000" s="989">
        <f t="shared" si="104"/>
        <v>0</v>
      </c>
      <c r="Y1000" s="1012"/>
      <c r="Z1000" s="941"/>
      <c r="AA1000" s="941"/>
      <c r="AB1000" s="941"/>
      <c r="AC1000" s="941"/>
      <c r="AD1000" s="941"/>
      <c r="AE1000" s="941"/>
      <c r="AF1000" s="941"/>
      <c r="AG1000" s="941"/>
      <c r="AH1000" s="941"/>
      <c r="AI1000" s="941"/>
      <c r="AJ1000" s="941"/>
      <c r="AK1000" s="941"/>
      <c r="AL1000" s="941"/>
      <c r="AM1000" s="941"/>
    </row>
    <row r="1001" spans="1:39" s="969" customFormat="1" ht="63" customHeight="1">
      <c r="A1001" s="1006">
        <v>883</v>
      </c>
      <c r="B1001" s="1007" t="s">
        <v>2748</v>
      </c>
      <c r="C1001" s="1008"/>
      <c r="D1001" s="1008" t="s">
        <v>4280</v>
      </c>
      <c r="E1001" s="1007" t="s">
        <v>2749</v>
      </c>
      <c r="F1001" s="1010" t="s">
        <v>1184</v>
      </c>
      <c r="G1001" s="989">
        <v>312000</v>
      </c>
      <c r="H1001" s="937"/>
      <c r="I1001" s="1046"/>
      <c r="J1001" s="1046"/>
      <c r="K1001" s="1047">
        <f>-52091.29</f>
        <v>-52091.29</v>
      </c>
      <c r="L1001" s="1046"/>
      <c r="M1001" s="1094"/>
      <c r="N1001" s="989">
        <f>288200+M1001+K1001</f>
        <v>236108.71</v>
      </c>
      <c r="O1001" s="989">
        <v>0</v>
      </c>
      <c r="P1001" s="989">
        <v>236108.71</v>
      </c>
      <c r="Q1001" s="989">
        <f t="shared" si="105"/>
        <v>236108.71</v>
      </c>
      <c r="R1001" s="989">
        <f t="shared" si="107"/>
        <v>100</v>
      </c>
      <c r="S1001" s="1011">
        <v>0</v>
      </c>
      <c r="T1001" s="989">
        <f t="shared" si="109"/>
        <v>0</v>
      </c>
      <c r="U1001" s="989">
        <f t="shared" si="106"/>
        <v>236108.71</v>
      </c>
      <c r="V1001" s="989">
        <f t="shared" si="108"/>
        <v>100</v>
      </c>
      <c r="W1001" s="989"/>
      <c r="X1001" s="989">
        <f t="shared" si="104"/>
        <v>0</v>
      </c>
      <c r="Y1001" s="1012"/>
      <c r="Z1001" s="941"/>
      <c r="AA1001" s="941"/>
      <c r="AB1001" s="941"/>
      <c r="AC1001" s="941"/>
      <c r="AD1001" s="941"/>
      <c r="AE1001" s="941"/>
      <c r="AF1001" s="941"/>
      <c r="AG1001" s="941"/>
      <c r="AH1001" s="941"/>
      <c r="AI1001" s="941"/>
      <c r="AJ1001" s="941"/>
      <c r="AK1001" s="941"/>
      <c r="AL1001" s="941"/>
      <c r="AM1001" s="941"/>
    </row>
    <row r="1002" spans="1:39" s="969" customFormat="1" ht="63" customHeight="1">
      <c r="A1002" s="1006">
        <v>884</v>
      </c>
      <c r="B1002" s="1007" t="s">
        <v>2750</v>
      </c>
      <c r="C1002" s="1008"/>
      <c r="D1002" s="1008" t="s">
        <v>4281</v>
      </c>
      <c r="E1002" s="1007" t="s">
        <v>2751</v>
      </c>
      <c r="F1002" s="1010" t="s">
        <v>1184</v>
      </c>
      <c r="G1002" s="989">
        <v>520000</v>
      </c>
      <c r="H1002" s="937"/>
      <c r="I1002" s="1046"/>
      <c r="J1002" s="1046"/>
      <c r="K1002" s="1047">
        <v>-18200</v>
      </c>
      <c r="L1002" s="1046"/>
      <c r="M1002" s="1094">
        <f>-43900-27316+10931-90</f>
        <v>-60375</v>
      </c>
      <c r="N1002" s="989">
        <f>G1002+M1002+K1002</f>
        <v>441425</v>
      </c>
      <c r="O1002" s="989">
        <v>0</v>
      </c>
      <c r="P1002" s="989">
        <v>400942.68</v>
      </c>
      <c r="Q1002" s="989">
        <f t="shared" si="105"/>
        <v>400942.68</v>
      </c>
      <c r="R1002" s="989">
        <f t="shared" si="107"/>
        <v>90.829173698816334</v>
      </c>
      <c r="S1002" s="1011">
        <v>0</v>
      </c>
      <c r="T1002" s="989">
        <f t="shared" si="109"/>
        <v>0</v>
      </c>
      <c r="U1002" s="989">
        <f t="shared" si="106"/>
        <v>400942.68</v>
      </c>
      <c r="V1002" s="989">
        <f t="shared" si="108"/>
        <v>90.829173698816334</v>
      </c>
      <c r="W1002" s="989"/>
      <c r="X1002" s="989">
        <f t="shared" si="104"/>
        <v>40482.320000000007</v>
      </c>
      <c r="Y1002" s="1012"/>
      <c r="Z1002" s="941"/>
      <c r="AA1002" s="941"/>
      <c r="AB1002" s="941"/>
      <c r="AC1002" s="941"/>
      <c r="AD1002" s="941"/>
      <c r="AE1002" s="941"/>
      <c r="AF1002" s="941"/>
      <c r="AG1002" s="941"/>
      <c r="AH1002" s="941"/>
      <c r="AI1002" s="941"/>
      <c r="AJ1002" s="941"/>
      <c r="AK1002" s="941"/>
      <c r="AL1002" s="941"/>
      <c r="AM1002" s="941"/>
    </row>
    <row r="1003" spans="1:39" s="969" customFormat="1" ht="63" customHeight="1">
      <c r="A1003" s="1006">
        <v>885</v>
      </c>
      <c r="B1003" s="1007" t="s">
        <v>2752</v>
      </c>
      <c r="C1003" s="1008"/>
      <c r="D1003" s="1008" t="s">
        <v>4282</v>
      </c>
      <c r="E1003" s="1007" t="s">
        <v>2753</v>
      </c>
      <c r="F1003" s="1010" t="s">
        <v>1184</v>
      </c>
      <c r="G1003" s="989">
        <f>1040000</f>
        <v>1040000</v>
      </c>
      <c r="H1003" s="937"/>
      <c r="I1003" s="1046"/>
      <c r="J1003" s="1046"/>
      <c r="K1003" s="1047">
        <f>-86746-376399</f>
        <v>-463145</v>
      </c>
      <c r="L1003" s="1046"/>
      <c r="M1003" s="1094">
        <v>-10267</v>
      </c>
      <c r="N1003" s="989">
        <f>G1003+M1003+K1003</f>
        <v>566588</v>
      </c>
      <c r="O1003" s="989">
        <v>0</v>
      </c>
      <c r="P1003" s="989">
        <v>566588</v>
      </c>
      <c r="Q1003" s="989">
        <f t="shared" si="105"/>
        <v>566588</v>
      </c>
      <c r="R1003" s="989">
        <f t="shared" si="107"/>
        <v>100</v>
      </c>
      <c r="S1003" s="1011">
        <v>0</v>
      </c>
      <c r="T1003" s="989">
        <f t="shared" si="109"/>
        <v>0</v>
      </c>
      <c r="U1003" s="989">
        <f t="shared" si="106"/>
        <v>566588</v>
      </c>
      <c r="V1003" s="989">
        <f t="shared" si="108"/>
        <v>100</v>
      </c>
      <c r="W1003" s="989"/>
      <c r="X1003" s="989">
        <f t="shared" si="104"/>
        <v>0</v>
      </c>
      <c r="Y1003" s="1012"/>
      <c r="Z1003" s="941"/>
      <c r="AA1003" s="941"/>
      <c r="AB1003" s="941"/>
      <c r="AC1003" s="941"/>
      <c r="AD1003" s="941"/>
      <c r="AE1003" s="941"/>
      <c r="AF1003" s="941"/>
      <c r="AG1003" s="941"/>
      <c r="AH1003" s="941"/>
      <c r="AI1003" s="941"/>
      <c r="AJ1003" s="941"/>
      <c r="AK1003" s="941"/>
      <c r="AL1003" s="941"/>
      <c r="AM1003" s="941"/>
    </row>
    <row r="1004" spans="1:39" s="969" customFormat="1" ht="63" customHeight="1">
      <c r="A1004" s="1006">
        <v>886</v>
      </c>
      <c r="B1004" s="1007" t="s">
        <v>2754</v>
      </c>
      <c r="C1004" s="1008"/>
      <c r="D1004" s="1008" t="s">
        <v>4283</v>
      </c>
      <c r="E1004" s="1007" t="s">
        <v>2755</v>
      </c>
      <c r="F1004" s="1010" t="s">
        <v>1184</v>
      </c>
      <c r="G1004" s="989">
        <v>728000</v>
      </c>
      <c r="H1004" s="937"/>
      <c r="I1004" s="1046"/>
      <c r="J1004" s="1046"/>
      <c r="K1004" s="1047">
        <f>-91315.37</f>
        <v>-91315.37</v>
      </c>
      <c r="L1004" s="1046"/>
      <c r="M1004" s="1094">
        <v>-10336.81</v>
      </c>
      <c r="N1004" s="989">
        <f>666320+M1004+K1004</f>
        <v>564667.81999999995</v>
      </c>
      <c r="O1004" s="989">
        <v>0</v>
      </c>
      <c r="P1004" s="989">
        <v>564667.81999999995</v>
      </c>
      <c r="Q1004" s="989">
        <f t="shared" si="105"/>
        <v>564667.81999999995</v>
      </c>
      <c r="R1004" s="989">
        <f t="shared" si="107"/>
        <v>100</v>
      </c>
      <c r="S1004" s="1011">
        <v>0</v>
      </c>
      <c r="T1004" s="989">
        <f t="shared" si="109"/>
        <v>0</v>
      </c>
      <c r="U1004" s="989">
        <f t="shared" si="106"/>
        <v>564667.81999999995</v>
      </c>
      <c r="V1004" s="989">
        <f t="shared" si="108"/>
        <v>100</v>
      </c>
      <c r="W1004" s="989"/>
      <c r="X1004" s="989">
        <f t="shared" si="104"/>
        <v>0</v>
      </c>
      <c r="Y1004" s="1012"/>
      <c r="Z1004" s="941"/>
      <c r="AA1004" s="941"/>
      <c r="AB1004" s="941"/>
      <c r="AC1004" s="941"/>
      <c r="AD1004" s="941"/>
      <c r="AE1004" s="941"/>
      <c r="AF1004" s="941"/>
      <c r="AG1004" s="941"/>
      <c r="AH1004" s="941"/>
      <c r="AI1004" s="941"/>
      <c r="AJ1004" s="941"/>
      <c r="AK1004" s="941"/>
      <c r="AL1004" s="941"/>
      <c r="AM1004" s="941"/>
    </row>
    <row r="1005" spans="1:39" s="969" customFormat="1" ht="63" customHeight="1">
      <c r="A1005" s="1006">
        <v>887</v>
      </c>
      <c r="B1005" s="1007" t="s">
        <v>2756</v>
      </c>
      <c r="C1005" s="1008"/>
      <c r="D1005" s="1008" t="s">
        <v>4284</v>
      </c>
      <c r="E1005" s="1007" t="s">
        <v>2757</v>
      </c>
      <c r="F1005" s="1010" t="s">
        <v>562</v>
      </c>
      <c r="G1005" s="989">
        <v>104000</v>
      </c>
      <c r="H1005" s="937"/>
      <c r="I1005" s="1046"/>
      <c r="J1005" s="1046"/>
      <c r="K1005" s="1047">
        <v>-5800</v>
      </c>
      <c r="L1005" s="1046"/>
      <c r="M1005" s="1094"/>
      <c r="N1005" s="989">
        <v>98200</v>
      </c>
      <c r="O1005" s="989">
        <v>0</v>
      </c>
      <c r="P1005" s="989">
        <v>98200</v>
      </c>
      <c r="Q1005" s="989">
        <f t="shared" si="105"/>
        <v>98200</v>
      </c>
      <c r="R1005" s="989">
        <f t="shared" si="107"/>
        <v>100</v>
      </c>
      <c r="S1005" s="1011">
        <v>0</v>
      </c>
      <c r="T1005" s="989">
        <f t="shared" si="109"/>
        <v>0</v>
      </c>
      <c r="U1005" s="989">
        <f t="shared" si="106"/>
        <v>98200</v>
      </c>
      <c r="V1005" s="989">
        <f t="shared" si="108"/>
        <v>100</v>
      </c>
      <c r="W1005" s="989"/>
      <c r="X1005" s="989">
        <f t="shared" si="104"/>
        <v>0</v>
      </c>
      <c r="Y1005" s="1012"/>
      <c r="Z1005" s="941"/>
      <c r="AA1005" s="941"/>
      <c r="AB1005" s="941"/>
      <c r="AC1005" s="941"/>
      <c r="AD1005" s="941"/>
      <c r="AE1005" s="941"/>
      <c r="AF1005" s="941"/>
      <c r="AG1005" s="941"/>
      <c r="AH1005" s="941"/>
      <c r="AI1005" s="941"/>
      <c r="AJ1005" s="941"/>
      <c r="AK1005" s="941"/>
      <c r="AL1005" s="941"/>
      <c r="AM1005" s="941"/>
    </row>
    <row r="1006" spans="1:39" s="969" customFormat="1" ht="63" customHeight="1">
      <c r="A1006" s="1006">
        <v>888</v>
      </c>
      <c r="B1006" s="1007" t="s">
        <v>2758</v>
      </c>
      <c r="C1006" s="1008"/>
      <c r="D1006" s="1008" t="s">
        <v>4285</v>
      </c>
      <c r="E1006" s="1007" t="s">
        <v>2759</v>
      </c>
      <c r="F1006" s="1010" t="s">
        <v>562</v>
      </c>
      <c r="G1006" s="989">
        <v>416000</v>
      </c>
      <c r="H1006" s="937"/>
      <c r="I1006" s="1046"/>
      <c r="J1006" s="1046"/>
      <c r="K1006" s="1047">
        <f>-36000-65287.55</f>
        <v>-101287.55</v>
      </c>
      <c r="L1006" s="1046"/>
      <c r="M1006" s="1094"/>
      <c r="N1006" s="989">
        <f>G1006+M1006+K1006</f>
        <v>314712.45</v>
      </c>
      <c r="O1006" s="989">
        <v>0</v>
      </c>
      <c r="P1006" s="989">
        <v>314712.45</v>
      </c>
      <c r="Q1006" s="989">
        <f t="shared" si="105"/>
        <v>314712.45</v>
      </c>
      <c r="R1006" s="989">
        <f t="shared" si="107"/>
        <v>100</v>
      </c>
      <c r="S1006" s="1011">
        <v>0</v>
      </c>
      <c r="T1006" s="989">
        <f t="shared" si="109"/>
        <v>0</v>
      </c>
      <c r="U1006" s="989">
        <f t="shared" si="106"/>
        <v>314712.45</v>
      </c>
      <c r="V1006" s="989">
        <f t="shared" si="108"/>
        <v>100</v>
      </c>
      <c r="W1006" s="989"/>
      <c r="X1006" s="989">
        <f t="shared" si="104"/>
        <v>0</v>
      </c>
      <c r="Y1006" s="1012"/>
      <c r="Z1006" s="941"/>
      <c r="AA1006" s="941"/>
      <c r="AB1006" s="941"/>
      <c r="AC1006" s="941"/>
      <c r="AD1006" s="941"/>
      <c r="AE1006" s="941"/>
      <c r="AF1006" s="941"/>
      <c r="AG1006" s="941"/>
      <c r="AH1006" s="941"/>
      <c r="AI1006" s="941"/>
      <c r="AJ1006" s="941"/>
      <c r="AK1006" s="941"/>
      <c r="AL1006" s="941"/>
      <c r="AM1006" s="941"/>
    </row>
    <row r="1007" spans="1:39" s="969" customFormat="1" ht="63" customHeight="1">
      <c r="A1007" s="1006">
        <v>889</v>
      </c>
      <c r="B1007" s="1007" t="s">
        <v>2760</v>
      </c>
      <c r="C1007" s="1008"/>
      <c r="D1007" s="1008" t="s">
        <v>4286</v>
      </c>
      <c r="E1007" s="1007" t="s">
        <v>2761</v>
      </c>
      <c r="F1007" s="1010" t="s">
        <v>562</v>
      </c>
      <c r="G1007" s="989">
        <v>208000</v>
      </c>
      <c r="H1007" s="937"/>
      <c r="I1007" s="1046"/>
      <c r="J1007" s="1046"/>
      <c r="K1007" s="1047"/>
      <c r="L1007" s="1046"/>
      <c r="M1007" s="1094">
        <v>-2675.59</v>
      </c>
      <c r="N1007" s="989">
        <f>208000+M1007</f>
        <v>205324.41</v>
      </c>
      <c r="O1007" s="989">
        <v>0</v>
      </c>
      <c r="P1007" s="989">
        <v>205324.41</v>
      </c>
      <c r="Q1007" s="989">
        <f t="shared" si="105"/>
        <v>205324.41</v>
      </c>
      <c r="R1007" s="989">
        <f t="shared" si="107"/>
        <v>100</v>
      </c>
      <c r="S1007" s="1011">
        <v>0</v>
      </c>
      <c r="T1007" s="989">
        <f t="shared" si="109"/>
        <v>0</v>
      </c>
      <c r="U1007" s="989">
        <f t="shared" si="106"/>
        <v>205324.41</v>
      </c>
      <c r="V1007" s="989">
        <f t="shared" si="108"/>
        <v>100</v>
      </c>
      <c r="W1007" s="989"/>
      <c r="X1007" s="989">
        <f t="shared" si="104"/>
        <v>0</v>
      </c>
      <c r="Y1007" s="1012"/>
      <c r="Z1007" s="941"/>
      <c r="AA1007" s="941"/>
      <c r="AB1007" s="941"/>
      <c r="AC1007" s="941"/>
      <c r="AD1007" s="941"/>
      <c r="AE1007" s="941"/>
      <c r="AF1007" s="941"/>
      <c r="AG1007" s="941"/>
      <c r="AH1007" s="941"/>
      <c r="AI1007" s="941"/>
      <c r="AJ1007" s="941"/>
      <c r="AK1007" s="941"/>
      <c r="AL1007" s="941"/>
      <c r="AM1007" s="941"/>
    </row>
    <row r="1008" spans="1:39" s="969" customFormat="1" ht="63" customHeight="1">
      <c r="A1008" s="1006">
        <v>890</v>
      </c>
      <c r="B1008" s="1007" t="s">
        <v>2762</v>
      </c>
      <c r="C1008" s="1008"/>
      <c r="D1008" s="1008" t="s">
        <v>4287</v>
      </c>
      <c r="E1008" s="1007" t="s">
        <v>3187</v>
      </c>
      <c r="F1008" s="1010" t="s">
        <v>562</v>
      </c>
      <c r="G1008" s="989">
        <v>208000</v>
      </c>
      <c r="H1008" s="937"/>
      <c r="I1008" s="1046"/>
      <c r="J1008" s="1046"/>
      <c r="K1008" s="1047">
        <v>-79236.679999999993</v>
      </c>
      <c r="L1008" s="1046"/>
      <c r="M1008" s="1094"/>
      <c r="N1008" s="989">
        <f>208000+M1008+K1008</f>
        <v>128763.32</v>
      </c>
      <c r="O1008" s="989">
        <v>0</v>
      </c>
      <c r="P1008" s="989">
        <v>128673.32</v>
      </c>
      <c r="Q1008" s="989">
        <f t="shared" si="105"/>
        <v>128673.32</v>
      </c>
      <c r="R1008" s="989">
        <f t="shared" si="107"/>
        <v>99.930104318527981</v>
      </c>
      <c r="S1008" s="1011">
        <v>0</v>
      </c>
      <c r="T1008" s="989">
        <f t="shared" si="109"/>
        <v>0</v>
      </c>
      <c r="U1008" s="989">
        <f t="shared" si="106"/>
        <v>128673.32</v>
      </c>
      <c r="V1008" s="989">
        <f t="shared" si="108"/>
        <v>99.930104318527981</v>
      </c>
      <c r="W1008" s="989"/>
      <c r="X1008" s="989">
        <f t="shared" si="104"/>
        <v>90</v>
      </c>
      <c r="Y1008" s="1012"/>
      <c r="Z1008" s="941"/>
      <c r="AA1008" s="941"/>
      <c r="AB1008" s="941"/>
      <c r="AC1008" s="941"/>
      <c r="AD1008" s="941"/>
      <c r="AE1008" s="941"/>
      <c r="AF1008" s="941"/>
      <c r="AG1008" s="941"/>
      <c r="AH1008" s="941"/>
      <c r="AI1008" s="941"/>
      <c r="AJ1008" s="941"/>
      <c r="AK1008" s="941"/>
      <c r="AL1008" s="941"/>
      <c r="AM1008" s="941"/>
    </row>
    <row r="1009" spans="1:25" ht="63" customHeight="1">
      <c r="A1009" s="1006">
        <v>891</v>
      </c>
      <c r="B1009" s="1007" t="s">
        <v>2763</v>
      </c>
      <c r="C1009" s="1008"/>
      <c r="D1009" s="1008" t="s">
        <v>4288</v>
      </c>
      <c r="E1009" s="1007" t="s">
        <v>2764</v>
      </c>
      <c r="F1009" s="1010" t="s">
        <v>562</v>
      </c>
      <c r="G1009" s="989">
        <v>104000</v>
      </c>
      <c r="H1009" s="937"/>
      <c r="I1009" s="1046"/>
      <c r="J1009" s="1046"/>
      <c r="K1009" s="1047"/>
      <c r="L1009" s="1046"/>
      <c r="M1009" s="1094">
        <v>-14700</v>
      </c>
      <c r="N1009" s="989">
        <f>104000+M1009</f>
        <v>89300</v>
      </c>
      <c r="O1009" s="989">
        <v>0</v>
      </c>
      <c r="P1009" s="989">
        <v>89300</v>
      </c>
      <c r="Q1009" s="989">
        <f t="shared" si="105"/>
        <v>89300</v>
      </c>
      <c r="R1009" s="989">
        <f t="shared" si="107"/>
        <v>100</v>
      </c>
      <c r="S1009" s="1011">
        <v>0</v>
      </c>
      <c r="T1009" s="989">
        <f t="shared" si="109"/>
        <v>0</v>
      </c>
      <c r="U1009" s="989">
        <f t="shared" si="106"/>
        <v>89300</v>
      </c>
      <c r="V1009" s="989">
        <f t="shared" si="108"/>
        <v>100</v>
      </c>
      <c r="W1009" s="989"/>
      <c r="X1009" s="989">
        <f t="shared" si="104"/>
        <v>0</v>
      </c>
      <c r="Y1009" s="1012"/>
    </row>
    <row r="1010" spans="1:25" ht="63" customHeight="1">
      <c r="A1010" s="1006">
        <v>892</v>
      </c>
      <c r="B1010" s="1007" t="s">
        <v>2765</v>
      </c>
      <c r="C1010" s="1008"/>
      <c r="D1010" s="1008" t="s">
        <v>4289</v>
      </c>
      <c r="E1010" s="1007" t="s">
        <v>3188</v>
      </c>
      <c r="F1010" s="1010" t="s">
        <v>562</v>
      </c>
      <c r="G1010" s="989">
        <v>416000</v>
      </c>
      <c r="H1010" s="937"/>
      <c r="I1010" s="1046"/>
      <c r="J1010" s="1046"/>
      <c r="K1010" s="1047">
        <v>-114751.18</v>
      </c>
      <c r="L1010" s="1046"/>
      <c r="M1010" s="1094"/>
      <c r="N1010" s="989">
        <f>416000+M1010+K1010</f>
        <v>301248.82</v>
      </c>
      <c r="O1010" s="989">
        <v>68100</v>
      </c>
      <c r="P1010" s="989">
        <v>233148.82</v>
      </c>
      <c r="Q1010" s="989">
        <f t="shared" si="105"/>
        <v>301248.82</v>
      </c>
      <c r="R1010" s="989">
        <f t="shared" si="107"/>
        <v>100</v>
      </c>
      <c r="S1010" s="1011">
        <v>0</v>
      </c>
      <c r="T1010" s="989">
        <f t="shared" si="109"/>
        <v>0</v>
      </c>
      <c r="U1010" s="989">
        <f t="shared" si="106"/>
        <v>301248.82</v>
      </c>
      <c r="V1010" s="989">
        <f t="shared" si="108"/>
        <v>100</v>
      </c>
      <c r="W1010" s="989"/>
      <c r="X1010" s="989">
        <f t="shared" si="104"/>
        <v>0</v>
      </c>
      <c r="Y1010" s="1012"/>
    </row>
    <row r="1011" spans="1:25" ht="63" customHeight="1">
      <c r="A1011" s="1006">
        <v>893</v>
      </c>
      <c r="B1011" s="1007" t="s">
        <v>2766</v>
      </c>
      <c r="C1011" s="1008"/>
      <c r="D1011" s="1008" t="s">
        <v>4290</v>
      </c>
      <c r="E1011" s="1007" t="s">
        <v>2767</v>
      </c>
      <c r="F1011" s="1010" t="s">
        <v>562</v>
      </c>
      <c r="G1011" s="989">
        <v>104000</v>
      </c>
      <c r="H1011" s="937"/>
      <c r="I1011" s="1046"/>
      <c r="J1011" s="1046"/>
      <c r="K1011" s="1047"/>
      <c r="L1011" s="1046"/>
      <c r="M1011" s="1094"/>
      <c r="N1011" s="989">
        <v>104000</v>
      </c>
      <c r="O1011" s="989">
        <v>0</v>
      </c>
      <c r="P1011" s="989">
        <v>104000</v>
      </c>
      <c r="Q1011" s="989">
        <f t="shared" si="105"/>
        <v>104000</v>
      </c>
      <c r="R1011" s="989">
        <f t="shared" si="107"/>
        <v>100</v>
      </c>
      <c r="S1011" s="1011">
        <v>0</v>
      </c>
      <c r="T1011" s="989">
        <f t="shared" si="109"/>
        <v>0</v>
      </c>
      <c r="U1011" s="989">
        <f t="shared" si="106"/>
        <v>104000</v>
      </c>
      <c r="V1011" s="989">
        <f t="shared" si="108"/>
        <v>100</v>
      </c>
      <c r="W1011" s="989"/>
      <c r="X1011" s="989">
        <f t="shared" si="104"/>
        <v>0</v>
      </c>
      <c r="Y1011" s="1012"/>
    </row>
    <row r="1012" spans="1:25" ht="63" customHeight="1">
      <c r="A1012" s="1006">
        <v>894</v>
      </c>
      <c r="B1012" s="1007" t="s">
        <v>2768</v>
      </c>
      <c r="C1012" s="1008"/>
      <c r="D1012" s="1008" t="s">
        <v>4291</v>
      </c>
      <c r="E1012" s="1007" t="s">
        <v>2769</v>
      </c>
      <c r="F1012" s="1010" t="s">
        <v>567</v>
      </c>
      <c r="G1012" s="989">
        <v>208000</v>
      </c>
      <c r="H1012" s="937"/>
      <c r="I1012" s="1046"/>
      <c r="J1012" s="1046"/>
      <c r="K1012" s="1047"/>
      <c r="L1012" s="1046"/>
      <c r="M1012" s="1094"/>
      <c r="N1012" s="989">
        <v>208000</v>
      </c>
      <c r="O1012" s="989">
        <v>0</v>
      </c>
      <c r="P1012" s="989">
        <v>208000</v>
      </c>
      <c r="Q1012" s="989">
        <f t="shared" si="105"/>
        <v>208000</v>
      </c>
      <c r="R1012" s="989">
        <f t="shared" si="107"/>
        <v>100</v>
      </c>
      <c r="S1012" s="1011">
        <v>0</v>
      </c>
      <c r="T1012" s="989">
        <f t="shared" si="109"/>
        <v>0</v>
      </c>
      <c r="U1012" s="989">
        <f t="shared" si="106"/>
        <v>208000</v>
      </c>
      <c r="V1012" s="989">
        <f t="shared" si="108"/>
        <v>100</v>
      </c>
      <c r="W1012" s="989"/>
      <c r="X1012" s="989">
        <f t="shared" si="104"/>
        <v>0</v>
      </c>
      <c r="Y1012" s="1012"/>
    </row>
    <row r="1013" spans="1:25" ht="63" customHeight="1">
      <c r="A1013" s="1006">
        <v>895</v>
      </c>
      <c r="B1013" s="1007" t="s">
        <v>2770</v>
      </c>
      <c r="C1013" s="1008"/>
      <c r="D1013" s="1008" t="s">
        <v>4292</v>
      </c>
      <c r="E1013" s="1007" t="s">
        <v>3134</v>
      </c>
      <c r="F1013" s="1010" t="s">
        <v>567</v>
      </c>
      <c r="G1013" s="989">
        <v>312000</v>
      </c>
      <c r="H1013" s="937"/>
      <c r="I1013" s="1046"/>
      <c r="J1013" s="1046"/>
      <c r="K1013" s="1047"/>
      <c r="L1013" s="1046"/>
      <c r="M1013" s="1094"/>
      <c r="N1013" s="989">
        <v>312000</v>
      </c>
      <c r="O1013" s="989">
        <v>312000</v>
      </c>
      <c r="P1013" s="989"/>
      <c r="Q1013" s="989">
        <f t="shared" si="105"/>
        <v>312000</v>
      </c>
      <c r="R1013" s="989">
        <f t="shared" si="107"/>
        <v>100</v>
      </c>
      <c r="S1013" s="1011"/>
      <c r="T1013" s="989">
        <f t="shared" si="109"/>
        <v>0</v>
      </c>
      <c r="U1013" s="989">
        <f t="shared" si="106"/>
        <v>312000</v>
      </c>
      <c r="V1013" s="989">
        <f t="shared" si="108"/>
        <v>100</v>
      </c>
      <c r="W1013" s="989"/>
      <c r="X1013" s="989">
        <f t="shared" ref="X1013:X1076" si="110">N1013-U1013</f>
        <v>0</v>
      </c>
      <c r="Y1013" s="1012"/>
    </row>
    <row r="1014" spans="1:25" ht="63" customHeight="1">
      <c r="A1014" s="1006">
        <v>896</v>
      </c>
      <c r="B1014" s="1007" t="s">
        <v>2771</v>
      </c>
      <c r="C1014" s="1008"/>
      <c r="D1014" s="1008" t="s">
        <v>4293</v>
      </c>
      <c r="E1014" s="1007" t="s">
        <v>2772</v>
      </c>
      <c r="F1014" s="1010" t="s">
        <v>567</v>
      </c>
      <c r="G1014" s="989">
        <v>104000</v>
      </c>
      <c r="H1014" s="937"/>
      <c r="I1014" s="1046"/>
      <c r="J1014" s="1046"/>
      <c r="K1014" s="1047"/>
      <c r="L1014" s="1046"/>
      <c r="M1014" s="1094">
        <v>-18289</v>
      </c>
      <c r="N1014" s="989">
        <f>104000+M1014</f>
        <v>85711</v>
      </c>
      <c r="O1014" s="989">
        <v>85711</v>
      </c>
      <c r="P1014" s="989">
        <v>0</v>
      </c>
      <c r="Q1014" s="989">
        <f t="shared" si="105"/>
        <v>85711</v>
      </c>
      <c r="R1014" s="989">
        <f t="shared" si="107"/>
        <v>100</v>
      </c>
      <c r="S1014" s="1011">
        <v>0</v>
      </c>
      <c r="T1014" s="989">
        <f t="shared" si="109"/>
        <v>0</v>
      </c>
      <c r="U1014" s="989">
        <f t="shared" si="106"/>
        <v>85711</v>
      </c>
      <c r="V1014" s="989">
        <f t="shared" si="108"/>
        <v>100</v>
      </c>
      <c r="W1014" s="989"/>
      <c r="X1014" s="989">
        <f t="shared" si="110"/>
        <v>0</v>
      </c>
      <c r="Y1014" s="1012"/>
    </row>
    <row r="1015" spans="1:25" ht="63" customHeight="1">
      <c r="A1015" s="1006">
        <v>897</v>
      </c>
      <c r="B1015" s="1007" t="s">
        <v>4545</v>
      </c>
      <c r="C1015" s="1008"/>
      <c r="D1015" s="1008" t="s">
        <v>4546</v>
      </c>
      <c r="E1015" s="1007" t="s">
        <v>4414</v>
      </c>
      <c r="F1015" s="1010" t="s">
        <v>567</v>
      </c>
      <c r="G1015" s="989">
        <v>0</v>
      </c>
      <c r="H1015" s="937"/>
      <c r="I1015" s="1046"/>
      <c r="J1015" s="1046"/>
      <c r="K1015" s="1047"/>
      <c r="L1015" s="1046"/>
      <c r="M1015" s="1094"/>
      <c r="N1015" s="989">
        <v>0</v>
      </c>
      <c r="O1015" s="989">
        <v>0</v>
      </c>
      <c r="P1015" s="989"/>
      <c r="Q1015" s="989">
        <f t="shared" ref="Q1015:Q1078" si="111">P1015+O1015</f>
        <v>0</v>
      </c>
      <c r="R1015" s="989" t="e">
        <f t="shared" si="107"/>
        <v>#DIV/0!</v>
      </c>
      <c r="S1015" s="1011"/>
      <c r="T1015" s="989">
        <v>0</v>
      </c>
      <c r="U1015" s="989">
        <f t="shared" ref="U1015:U1078" si="112">S1015+Q1015</f>
        <v>0</v>
      </c>
      <c r="V1015" s="989">
        <v>0</v>
      </c>
      <c r="W1015" s="989"/>
      <c r="X1015" s="989">
        <f t="shared" si="110"/>
        <v>0</v>
      </c>
      <c r="Y1015" s="1012"/>
    </row>
    <row r="1016" spans="1:25" ht="63" customHeight="1">
      <c r="A1016" s="1006">
        <v>898</v>
      </c>
      <c r="B1016" s="1007" t="s">
        <v>2773</v>
      </c>
      <c r="C1016" s="1008"/>
      <c r="D1016" s="1008" t="s">
        <v>4294</v>
      </c>
      <c r="E1016" s="1007" t="s">
        <v>3135</v>
      </c>
      <c r="F1016" s="1010" t="s">
        <v>567</v>
      </c>
      <c r="G1016" s="989">
        <v>104000</v>
      </c>
      <c r="H1016" s="937"/>
      <c r="I1016" s="1046"/>
      <c r="J1016" s="1046"/>
      <c r="K1016" s="1047"/>
      <c r="L1016" s="1046"/>
      <c r="M1016" s="1094"/>
      <c r="N1016" s="989">
        <v>104000</v>
      </c>
      <c r="O1016" s="989">
        <v>104000</v>
      </c>
      <c r="P1016" s="989"/>
      <c r="Q1016" s="989">
        <f t="shared" si="111"/>
        <v>104000</v>
      </c>
      <c r="R1016" s="989">
        <f t="shared" ref="R1016:R1079" si="113">Q1016/N1016*100</f>
        <v>100</v>
      </c>
      <c r="S1016" s="1011"/>
      <c r="T1016" s="989">
        <f t="shared" si="109"/>
        <v>0</v>
      </c>
      <c r="U1016" s="989">
        <f t="shared" si="112"/>
        <v>104000</v>
      </c>
      <c r="V1016" s="989">
        <f t="shared" ref="V1016:V1079" si="114">U1016/N1016*100</f>
        <v>100</v>
      </c>
      <c r="W1016" s="989"/>
      <c r="X1016" s="989">
        <f t="shared" si="110"/>
        <v>0</v>
      </c>
      <c r="Y1016" s="1012"/>
    </row>
    <row r="1017" spans="1:25" ht="63" customHeight="1">
      <c r="A1017" s="1006">
        <v>899</v>
      </c>
      <c r="B1017" s="1007" t="s">
        <v>2774</v>
      </c>
      <c r="C1017" s="1008"/>
      <c r="D1017" s="1008" t="s">
        <v>4295</v>
      </c>
      <c r="E1017" s="1007" t="s">
        <v>2775</v>
      </c>
      <c r="F1017" s="1010" t="s">
        <v>2832</v>
      </c>
      <c r="G1017" s="989">
        <v>520000</v>
      </c>
      <c r="H1017" s="937"/>
      <c r="I1017" s="1046"/>
      <c r="J1017" s="1046"/>
      <c r="K1017" s="1047">
        <v>-77190</v>
      </c>
      <c r="L1017" s="1046"/>
      <c r="M1017" s="1094"/>
      <c r="N1017" s="989">
        <f>520000+M1017+K1017</f>
        <v>442810</v>
      </c>
      <c r="O1017" s="989">
        <v>442810</v>
      </c>
      <c r="P1017" s="989">
        <v>0</v>
      </c>
      <c r="Q1017" s="989">
        <f t="shared" si="111"/>
        <v>442810</v>
      </c>
      <c r="R1017" s="989">
        <f t="shared" si="113"/>
        <v>100</v>
      </c>
      <c r="S1017" s="1011">
        <v>0</v>
      </c>
      <c r="T1017" s="989">
        <f t="shared" si="109"/>
        <v>0</v>
      </c>
      <c r="U1017" s="989">
        <f t="shared" si="112"/>
        <v>442810</v>
      </c>
      <c r="V1017" s="989">
        <f t="shared" si="114"/>
        <v>100</v>
      </c>
      <c r="W1017" s="989"/>
      <c r="X1017" s="989">
        <f t="shared" si="110"/>
        <v>0</v>
      </c>
      <c r="Y1017" s="1012"/>
    </row>
    <row r="1018" spans="1:25" ht="63" customHeight="1">
      <c r="A1018" s="1006">
        <v>900</v>
      </c>
      <c r="B1018" s="1007" t="s">
        <v>2776</v>
      </c>
      <c r="C1018" s="1008"/>
      <c r="D1018" s="1008" t="s">
        <v>4296</v>
      </c>
      <c r="E1018" s="1007" t="s">
        <v>2777</v>
      </c>
      <c r="F1018" s="1010" t="s">
        <v>2832</v>
      </c>
      <c r="G1018" s="989">
        <v>624000</v>
      </c>
      <c r="H1018" s="937"/>
      <c r="I1018" s="1046"/>
      <c r="J1018" s="1046"/>
      <c r="K1018" s="1047"/>
      <c r="L1018" s="1046"/>
      <c r="M1018" s="1094"/>
      <c r="N1018" s="989">
        <v>624000</v>
      </c>
      <c r="O1018" s="989">
        <v>624000</v>
      </c>
      <c r="P1018" s="989"/>
      <c r="Q1018" s="989">
        <f t="shared" si="111"/>
        <v>624000</v>
      </c>
      <c r="R1018" s="989">
        <f t="shared" si="113"/>
        <v>100</v>
      </c>
      <c r="S1018" s="1011"/>
      <c r="T1018" s="989">
        <f t="shared" si="109"/>
        <v>0</v>
      </c>
      <c r="U1018" s="989">
        <f t="shared" si="112"/>
        <v>624000</v>
      </c>
      <c r="V1018" s="989">
        <f t="shared" si="114"/>
        <v>100</v>
      </c>
      <c r="W1018" s="989"/>
      <c r="X1018" s="989">
        <f t="shared" si="110"/>
        <v>0</v>
      </c>
      <c r="Y1018" s="1012"/>
    </row>
    <row r="1019" spans="1:25" ht="63" customHeight="1">
      <c r="A1019" s="1006">
        <v>901</v>
      </c>
      <c r="B1019" s="1007" t="s">
        <v>2778</v>
      </c>
      <c r="C1019" s="1008"/>
      <c r="D1019" s="1008" t="s">
        <v>4297</v>
      </c>
      <c r="E1019" s="1007" t="s">
        <v>2779</v>
      </c>
      <c r="F1019" s="1010" t="s">
        <v>2832</v>
      </c>
      <c r="G1019" s="989">
        <v>832000</v>
      </c>
      <c r="H1019" s="937"/>
      <c r="I1019" s="1046"/>
      <c r="J1019" s="1046"/>
      <c r="K1019" s="1047">
        <v>-314598.01</v>
      </c>
      <c r="L1019" s="1046"/>
      <c r="M1019" s="1094"/>
      <c r="N1019" s="989">
        <f>832000+M1019+K1019</f>
        <v>517401.99</v>
      </c>
      <c r="O1019" s="989">
        <v>269551.40999999997</v>
      </c>
      <c r="P1019" s="989">
        <v>247850.58</v>
      </c>
      <c r="Q1019" s="989">
        <f t="shared" si="111"/>
        <v>517401.99</v>
      </c>
      <c r="R1019" s="989">
        <f t="shared" si="113"/>
        <v>100</v>
      </c>
      <c r="S1019" s="1011">
        <v>0</v>
      </c>
      <c r="T1019" s="989">
        <f t="shared" si="109"/>
        <v>0</v>
      </c>
      <c r="U1019" s="989">
        <f t="shared" si="112"/>
        <v>517401.99</v>
      </c>
      <c r="V1019" s="989">
        <f t="shared" si="114"/>
        <v>100</v>
      </c>
      <c r="W1019" s="989"/>
      <c r="X1019" s="989">
        <f t="shared" si="110"/>
        <v>0</v>
      </c>
      <c r="Y1019" s="1012"/>
    </row>
    <row r="1020" spans="1:25" ht="63" customHeight="1">
      <c r="A1020" s="1006">
        <v>902</v>
      </c>
      <c r="B1020" s="1007" t="s">
        <v>2780</v>
      </c>
      <c r="C1020" s="1008"/>
      <c r="D1020" s="1008" t="s">
        <v>4298</v>
      </c>
      <c r="E1020" s="1007" t="s">
        <v>3003</v>
      </c>
      <c r="F1020" s="1010" t="s">
        <v>2832</v>
      </c>
      <c r="G1020" s="989">
        <v>312000</v>
      </c>
      <c r="H1020" s="937"/>
      <c r="I1020" s="1046"/>
      <c r="J1020" s="1046"/>
      <c r="K1020" s="1047"/>
      <c r="L1020" s="1046"/>
      <c r="M1020" s="1094"/>
      <c r="N1020" s="989">
        <v>312000</v>
      </c>
      <c r="O1020" s="989">
        <v>312000</v>
      </c>
      <c r="P1020" s="989"/>
      <c r="Q1020" s="989">
        <f t="shared" si="111"/>
        <v>312000</v>
      </c>
      <c r="R1020" s="989">
        <f t="shared" si="113"/>
        <v>100</v>
      </c>
      <c r="S1020" s="1011"/>
      <c r="T1020" s="989">
        <f t="shared" si="109"/>
        <v>0</v>
      </c>
      <c r="U1020" s="989">
        <f t="shared" si="112"/>
        <v>312000</v>
      </c>
      <c r="V1020" s="989">
        <f t="shared" si="114"/>
        <v>100</v>
      </c>
      <c r="W1020" s="989"/>
      <c r="X1020" s="989">
        <f t="shared" si="110"/>
        <v>0</v>
      </c>
      <c r="Y1020" s="1012"/>
    </row>
    <row r="1021" spans="1:25" ht="63" customHeight="1">
      <c r="A1021" s="1006">
        <v>903</v>
      </c>
      <c r="B1021" s="1007" t="s">
        <v>2781</v>
      </c>
      <c r="C1021" s="1008"/>
      <c r="D1021" s="1008" t="s">
        <v>4299</v>
      </c>
      <c r="E1021" s="1007" t="s">
        <v>2782</v>
      </c>
      <c r="F1021" s="1010" t="s">
        <v>2832</v>
      </c>
      <c r="G1021" s="989">
        <v>312000</v>
      </c>
      <c r="H1021" s="937"/>
      <c r="I1021" s="1046"/>
      <c r="J1021" s="1046"/>
      <c r="K1021" s="1047">
        <v>-94174</v>
      </c>
      <c r="L1021" s="1046"/>
      <c r="M1021" s="1094"/>
      <c r="N1021" s="989">
        <f>312000+M1021+K1021</f>
        <v>217826</v>
      </c>
      <c r="O1021" s="989">
        <v>217826</v>
      </c>
      <c r="P1021" s="989">
        <v>0</v>
      </c>
      <c r="Q1021" s="989">
        <f t="shared" si="111"/>
        <v>217826</v>
      </c>
      <c r="R1021" s="989">
        <f t="shared" si="113"/>
        <v>100</v>
      </c>
      <c r="S1021" s="1011">
        <v>0</v>
      </c>
      <c r="T1021" s="989">
        <f t="shared" si="109"/>
        <v>0</v>
      </c>
      <c r="U1021" s="989">
        <f t="shared" si="112"/>
        <v>217826</v>
      </c>
      <c r="V1021" s="989">
        <f t="shared" si="114"/>
        <v>100</v>
      </c>
      <c r="W1021" s="989"/>
      <c r="X1021" s="989">
        <f t="shared" si="110"/>
        <v>0</v>
      </c>
      <c r="Y1021" s="1012"/>
    </row>
    <row r="1022" spans="1:25" ht="63" customHeight="1">
      <c r="A1022" s="1006">
        <v>904</v>
      </c>
      <c r="B1022" s="1007" t="s">
        <v>2783</v>
      </c>
      <c r="C1022" s="1008"/>
      <c r="D1022" s="1008" t="s">
        <v>4300</v>
      </c>
      <c r="E1022" s="1007" t="s">
        <v>2784</v>
      </c>
      <c r="F1022" s="1010" t="s">
        <v>2832</v>
      </c>
      <c r="G1022" s="989">
        <v>208000</v>
      </c>
      <c r="H1022" s="937"/>
      <c r="I1022" s="1046"/>
      <c r="J1022" s="1046"/>
      <c r="K1022" s="1047"/>
      <c r="L1022" s="1046"/>
      <c r="M1022" s="1094"/>
      <c r="N1022" s="989">
        <v>208000</v>
      </c>
      <c r="O1022" s="989">
        <v>208000</v>
      </c>
      <c r="P1022" s="989"/>
      <c r="Q1022" s="989">
        <f t="shared" si="111"/>
        <v>208000</v>
      </c>
      <c r="R1022" s="989">
        <f t="shared" si="113"/>
        <v>100</v>
      </c>
      <c r="S1022" s="1011"/>
      <c r="T1022" s="989">
        <f t="shared" si="109"/>
        <v>0</v>
      </c>
      <c r="U1022" s="989">
        <f t="shared" si="112"/>
        <v>208000</v>
      </c>
      <c r="V1022" s="989">
        <f t="shared" si="114"/>
        <v>100</v>
      </c>
      <c r="W1022" s="989"/>
      <c r="X1022" s="989">
        <f t="shared" si="110"/>
        <v>0</v>
      </c>
      <c r="Y1022" s="1012"/>
    </row>
    <row r="1023" spans="1:25" ht="63" customHeight="1">
      <c r="A1023" s="1006">
        <v>905</v>
      </c>
      <c r="B1023" s="1007" t="s">
        <v>2785</v>
      </c>
      <c r="C1023" s="1008"/>
      <c r="D1023" s="1008" t="s">
        <v>4301</v>
      </c>
      <c r="E1023" s="1007" t="s">
        <v>2786</v>
      </c>
      <c r="F1023" s="1010" t="s">
        <v>2832</v>
      </c>
      <c r="G1023" s="989">
        <v>104000</v>
      </c>
      <c r="H1023" s="937"/>
      <c r="I1023" s="1046"/>
      <c r="J1023" s="1046"/>
      <c r="K1023" s="1047"/>
      <c r="L1023" s="1046"/>
      <c r="M1023" s="1094"/>
      <c r="N1023" s="989">
        <v>104000</v>
      </c>
      <c r="O1023" s="989">
        <v>0</v>
      </c>
      <c r="P1023" s="989">
        <v>104000</v>
      </c>
      <c r="Q1023" s="989">
        <f t="shared" si="111"/>
        <v>104000</v>
      </c>
      <c r="R1023" s="989">
        <f t="shared" si="113"/>
        <v>100</v>
      </c>
      <c r="S1023" s="1011">
        <v>0</v>
      </c>
      <c r="T1023" s="989">
        <f t="shared" si="109"/>
        <v>0</v>
      </c>
      <c r="U1023" s="989">
        <f t="shared" si="112"/>
        <v>104000</v>
      </c>
      <c r="V1023" s="989">
        <f t="shared" si="114"/>
        <v>100</v>
      </c>
      <c r="W1023" s="989"/>
      <c r="X1023" s="989">
        <f t="shared" si="110"/>
        <v>0</v>
      </c>
      <c r="Y1023" s="1012"/>
    </row>
    <row r="1024" spans="1:25" ht="63" customHeight="1">
      <c r="A1024" s="1006">
        <v>906</v>
      </c>
      <c r="B1024" s="1007" t="s">
        <v>2787</v>
      </c>
      <c r="C1024" s="1008"/>
      <c r="D1024" s="1008" t="s">
        <v>4302</v>
      </c>
      <c r="E1024" s="1007" t="s">
        <v>2788</v>
      </c>
      <c r="F1024" s="1010" t="s">
        <v>2832</v>
      </c>
      <c r="G1024" s="989">
        <v>104000</v>
      </c>
      <c r="H1024" s="937"/>
      <c r="I1024" s="1046"/>
      <c r="J1024" s="1046"/>
      <c r="K1024" s="1047"/>
      <c r="L1024" s="1046"/>
      <c r="M1024" s="1094"/>
      <c r="N1024" s="989">
        <v>104000</v>
      </c>
      <c r="O1024" s="989">
        <v>0</v>
      </c>
      <c r="P1024" s="989">
        <v>104000</v>
      </c>
      <c r="Q1024" s="989">
        <f t="shared" si="111"/>
        <v>104000</v>
      </c>
      <c r="R1024" s="989">
        <f t="shared" si="113"/>
        <v>100</v>
      </c>
      <c r="S1024" s="1011">
        <v>0</v>
      </c>
      <c r="T1024" s="989">
        <f t="shared" si="109"/>
        <v>0</v>
      </c>
      <c r="U1024" s="989">
        <f t="shared" si="112"/>
        <v>104000</v>
      </c>
      <c r="V1024" s="989">
        <f t="shared" si="114"/>
        <v>100</v>
      </c>
      <c r="W1024" s="989"/>
      <c r="X1024" s="989">
        <f t="shared" si="110"/>
        <v>0</v>
      </c>
      <c r="Y1024" s="1012"/>
    </row>
    <row r="1025" spans="1:25" ht="63" customHeight="1">
      <c r="A1025" s="1006">
        <v>907</v>
      </c>
      <c r="B1025" s="1007" t="s">
        <v>4547</v>
      </c>
      <c r="C1025" s="1008"/>
      <c r="D1025" s="1008" t="s">
        <v>4548</v>
      </c>
      <c r="E1025" s="1007" t="s">
        <v>4415</v>
      </c>
      <c r="F1025" s="1010" t="s">
        <v>2832</v>
      </c>
      <c r="G1025" s="989">
        <v>0</v>
      </c>
      <c r="H1025" s="937"/>
      <c r="I1025" s="1046"/>
      <c r="J1025" s="1046"/>
      <c r="K1025" s="1047"/>
      <c r="L1025" s="1046"/>
      <c r="M1025" s="1094"/>
      <c r="N1025" s="989">
        <v>0</v>
      </c>
      <c r="O1025" s="989">
        <v>0</v>
      </c>
      <c r="P1025" s="989"/>
      <c r="Q1025" s="989">
        <f t="shared" si="111"/>
        <v>0</v>
      </c>
      <c r="R1025" s="989" t="e">
        <f t="shared" si="113"/>
        <v>#DIV/0!</v>
      </c>
      <c r="S1025" s="1011"/>
      <c r="T1025" s="989">
        <v>0</v>
      </c>
      <c r="U1025" s="989">
        <f t="shared" si="112"/>
        <v>0</v>
      </c>
      <c r="V1025" s="989">
        <v>0</v>
      </c>
      <c r="W1025" s="989"/>
      <c r="X1025" s="989">
        <f t="shared" si="110"/>
        <v>0</v>
      </c>
      <c r="Y1025" s="1012"/>
    </row>
    <row r="1026" spans="1:25" ht="63" customHeight="1">
      <c r="A1026" s="1006">
        <v>908</v>
      </c>
      <c r="B1026" s="1007" t="s">
        <v>2789</v>
      </c>
      <c r="C1026" s="1008"/>
      <c r="D1026" s="1008" t="s">
        <v>4303</v>
      </c>
      <c r="E1026" s="1007" t="s">
        <v>2790</v>
      </c>
      <c r="F1026" s="1010" t="s">
        <v>2832</v>
      </c>
      <c r="G1026" s="989">
        <v>416000</v>
      </c>
      <c r="H1026" s="937"/>
      <c r="I1026" s="1046"/>
      <c r="J1026" s="1046"/>
      <c r="K1026" s="1047">
        <v>-118473.62</v>
      </c>
      <c r="L1026" s="1046"/>
      <c r="M1026" s="1094"/>
      <c r="N1026" s="989">
        <f>416000+M1026+K1026</f>
        <v>297526.38</v>
      </c>
      <c r="O1026" s="989">
        <v>144829.35999999999</v>
      </c>
      <c r="P1026" s="989">
        <v>152697.01999999999</v>
      </c>
      <c r="Q1026" s="989">
        <f t="shared" si="111"/>
        <v>297526.38</v>
      </c>
      <c r="R1026" s="989">
        <f t="shared" si="113"/>
        <v>100</v>
      </c>
      <c r="S1026" s="1011">
        <v>0</v>
      </c>
      <c r="T1026" s="989">
        <f t="shared" si="109"/>
        <v>0</v>
      </c>
      <c r="U1026" s="989">
        <f t="shared" si="112"/>
        <v>297526.38</v>
      </c>
      <c r="V1026" s="989">
        <f t="shared" si="114"/>
        <v>100</v>
      </c>
      <c r="W1026" s="989"/>
      <c r="X1026" s="989">
        <f t="shared" si="110"/>
        <v>0</v>
      </c>
      <c r="Y1026" s="1012"/>
    </row>
    <row r="1027" spans="1:25" ht="63" customHeight="1">
      <c r="A1027" s="1006">
        <v>909</v>
      </c>
      <c r="B1027" s="1007" t="s">
        <v>2791</v>
      </c>
      <c r="C1027" s="1008"/>
      <c r="D1027" s="1008" t="s">
        <v>4304</v>
      </c>
      <c r="E1027" s="1007" t="s">
        <v>2792</v>
      </c>
      <c r="F1027" s="1010" t="s">
        <v>2832</v>
      </c>
      <c r="G1027" s="989">
        <v>208000</v>
      </c>
      <c r="H1027" s="937"/>
      <c r="I1027" s="1046"/>
      <c r="J1027" s="1046"/>
      <c r="K1027" s="1047"/>
      <c r="L1027" s="1046"/>
      <c r="M1027" s="1094"/>
      <c r="N1027" s="989">
        <v>208000</v>
      </c>
      <c r="O1027" s="989">
        <v>0</v>
      </c>
      <c r="P1027" s="989">
        <v>208000</v>
      </c>
      <c r="Q1027" s="989">
        <f t="shared" si="111"/>
        <v>208000</v>
      </c>
      <c r="R1027" s="989">
        <f t="shared" si="113"/>
        <v>100</v>
      </c>
      <c r="S1027" s="1011">
        <v>0</v>
      </c>
      <c r="T1027" s="989">
        <f t="shared" si="109"/>
        <v>0</v>
      </c>
      <c r="U1027" s="989">
        <f t="shared" si="112"/>
        <v>208000</v>
      </c>
      <c r="V1027" s="989">
        <f t="shared" si="114"/>
        <v>100</v>
      </c>
      <c r="W1027" s="989"/>
      <c r="X1027" s="989">
        <f t="shared" si="110"/>
        <v>0</v>
      </c>
      <c r="Y1027" s="1012"/>
    </row>
    <row r="1028" spans="1:25" ht="63" customHeight="1">
      <c r="A1028" s="1006">
        <v>910</v>
      </c>
      <c r="B1028" s="1007" t="s">
        <v>2793</v>
      </c>
      <c r="C1028" s="1008"/>
      <c r="D1028" s="1008" t="s">
        <v>4305</v>
      </c>
      <c r="E1028" s="1007" t="s">
        <v>2794</v>
      </c>
      <c r="F1028" s="1010" t="s">
        <v>2832</v>
      </c>
      <c r="G1028" s="989">
        <v>624000</v>
      </c>
      <c r="H1028" s="937"/>
      <c r="I1028" s="1046"/>
      <c r="J1028" s="1046"/>
      <c r="K1028" s="1047">
        <v>-109720</v>
      </c>
      <c r="L1028" s="1046"/>
      <c r="M1028" s="1094"/>
      <c r="N1028" s="989">
        <f>624000+M1028+K1028</f>
        <v>514280</v>
      </c>
      <c r="O1028" s="989">
        <v>514280</v>
      </c>
      <c r="P1028" s="989">
        <v>0</v>
      </c>
      <c r="Q1028" s="989">
        <f t="shared" si="111"/>
        <v>514280</v>
      </c>
      <c r="R1028" s="989">
        <f t="shared" si="113"/>
        <v>100</v>
      </c>
      <c r="S1028" s="1011">
        <v>0</v>
      </c>
      <c r="T1028" s="989">
        <f t="shared" si="109"/>
        <v>0</v>
      </c>
      <c r="U1028" s="989">
        <f t="shared" si="112"/>
        <v>514280</v>
      </c>
      <c r="V1028" s="989">
        <f t="shared" si="114"/>
        <v>100</v>
      </c>
      <c r="W1028" s="989"/>
      <c r="X1028" s="989">
        <f t="shared" si="110"/>
        <v>0</v>
      </c>
      <c r="Y1028" s="1012"/>
    </row>
    <row r="1029" spans="1:25" ht="63" customHeight="1">
      <c r="A1029" s="1006">
        <v>911</v>
      </c>
      <c r="B1029" s="1007" t="s">
        <v>2795</v>
      </c>
      <c r="C1029" s="1008"/>
      <c r="D1029" s="1008" t="s">
        <v>4306</v>
      </c>
      <c r="E1029" s="1007" t="s">
        <v>2796</v>
      </c>
      <c r="F1029" s="1010" t="s">
        <v>2832</v>
      </c>
      <c r="G1029" s="989">
        <v>208000</v>
      </c>
      <c r="H1029" s="937"/>
      <c r="I1029" s="1046"/>
      <c r="J1029" s="1046"/>
      <c r="K1029" s="1047"/>
      <c r="L1029" s="1046"/>
      <c r="M1029" s="1094">
        <f>-2501.62-1356.3</f>
        <v>-3857.92</v>
      </c>
      <c r="N1029" s="989">
        <f>208000+M1029</f>
        <v>204142.07999999999</v>
      </c>
      <c r="O1029" s="989">
        <v>101498.38</v>
      </c>
      <c r="P1029" s="989">
        <v>102643.7</v>
      </c>
      <c r="Q1029" s="989">
        <f t="shared" si="111"/>
        <v>204142.08000000002</v>
      </c>
      <c r="R1029" s="989">
        <f t="shared" si="113"/>
        <v>100.00000000000003</v>
      </c>
      <c r="S1029" s="1011">
        <v>0</v>
      </c>
      <c r="T1029" s="989">
        <f t="shared" si="109"/>
        <v>0</v>
      </c>
      <c r="U1029" s="989">
        <f t="shared" si="112"/>
        <v>204142.08000000002</v>
      </c>
      <c r="V1029" s="989">
        <f t="shared" si="114"/>
        <v>100.00000000000003</v>
      </c>
      <c r="W1029" s="989"/>
      <c r="X1029" s="989">
        <f t="shared" si="110"/>
        <v>0</v>
      </c>
      <c r="Y1029" s="1012"/>
    </row>
    <row r="1030" spans="1:25" ht="63" customHeight="1">
      <c r="A1030" s="1006">
        <v>912</v>
      </c>
      <c r="B1030" s="1007" t="s">
        <v>2797</v>
      </c>
      <c r="C1030" s="1008"/>
      <c r="D1030" s="1008" t="s">
        <v>4307</v>
      </c>
      <c r="E1030" s="1007" t="s">
        <v>3004</v>
      </c>
      <c r="F1030" s="1010" t="s">
        <v>2832</v>
      </c>
      <c r="G1030" s="989">
        <v>104000</v>
      </c>
      <c r="H1030" s="937"/>
      <c r="I1030" s="1046"/>
      <c r="J1030" s="1046"/>
      <c r="K1030" s="1047"/>
      <c r="L1030" s="1046"/>
      <c r="M1030" s="1094">
        <v>-2758.6</v>
      </c>
      <c r="N1030" s="989">
        <f>104000+M1030</f>
        <v>101241.4</v>
      </c>
      <c r="O1030" s="989">
        <v>0</v>
      </c>
      <c r="P1030" s="989">
        <v>101241.4</v>
      </c>
      <c r="Q1030" s="989">
        <f t="shared" si="111"/>
        <v>101241.4</v>
      </c>
      <c r="R1030" s="989">
        <f t="shared" si="113"/>
        <v>100</v>
      </c>
      <c r="S1030" s="1011">
        <v>0</v>
      </c>
      <c r="T1030" s="989">
        <f t="shared" si="109"/>
        <v>0</v>
      </c>
      <c r="U1030" s="989">
        <f t="shared" si="112"/>
        <v>101241.4</v>
      </c>
      <c r="V1030" s="989">
        <f t="shared" si="114"/>
        <v>100</v>
      </c>
      <c r="W1030" s="989"/>
      <c r="X1030" s="989">
        <f t="shared" si="110"/>
        <v>0</v>
      </c>
      <c r="Y1030" s="1012"/>
    </row>
    <row r="1031" spans="1:25" ht="63" customHeight="1">
      <c r="A1031" s="1006">
        <v>913</v>
      </c>
      <c r="B1031" s="1007" t="s">
        <v>4549</v>
      </c>
      <c r="C1031" s="1008"/>
      <c r="D1031" s="1008" t="s">
        <v>4550</v>
      </c>
      <c r="E1031" s="1007" t="s">
        <v>4416</v>
      </c>
      <c r="F1031" s="1010" t="s">
        <v>2832</v>
      </c>
      <c r="G1031" s="989">
        <v>0</v>
      </c>
      <c r="H1031" s="937"/>
      <c r="I1031" s="1046"/>
      <c r="J1031" s="1046"/>
      <c r="K1031" s="1047"/>
      <c r="L1031" s="1046"/>
      <c r="M1031" s="1094"/>
      <c r="N1031" s="989">
        <v>0</v>
      </c>
      <c r="O1031" s="989">
        <v>0</v>
      </c>
      <c r="P1031" s="989"/>
      <c r="Q1031" s="989">
        <f t="shared" si="111"/>
        <v>0</v>
      </c>
      <c r="R1031" s="989" t="e">
        <f t="shared" si="113"/>
        <v>#DIV/0!</v>
      </c>
      <c r="S1031" s="1011"/>
      <c r="T1031" s="989">
        <v>0</v>
      </c>
      <c r="U1031" s="989">
        <f t="shared" si="112"/>
        <v>0</v>
      </c>
      <c r="V1031" s="989">
        <v>0</v>
      </c>
      <c r="W1031" s="989"/>
      <c r="X1031" s="989">
        <f t="shared" si="110"/>
        <v>0</v>
      </c>
      <c r="Y1031" s="1012"/>
    </row>
    <row r="1032" spans="1:25" ht="63" customHeight="1">
      <c r="A1032" s="1006">
        <v>914</v>
      </c>
      <c r="B1032" s="1007" t="s">
        <v>2798</v>
      </c>
      <c r="C1032" s="1008"/>
      <c r="D1032" s="1008" t="s">
        <v>4308</v>
      </c>
      <c r="E1032" s="1007" t="s">
        <v>2799</v>
      </c>
      <c r="F1032" s="1010" t="s">
        <v>2832</v>
      </c>
      <c r="G1032" s="989">
        <v>104000</v>
      </c>
      <c r="H1032" s="937"/>
      <c r="I1032" s="1046"/>
      <c r="J1032" s="1046"/>
      <c r="K1032" s="1047"/>
      <c r="L1032" s="1046"/>
      <c r="M1032" s="1094"/>
      <c r="N1032" s="989">
        <v>104000</v>
      </c>
      <c r="O1032" s="989">
        <v>104000</v>
      </c>
      <c r="P1032" s="989"/>
      <c r="Q1032" s="989">
        <f t="shared" si="111"/>
        <v>104000</v>
      </c>
      <c r="R1032" s="989">
        <f t="shared" si="113"/>
        <v>100</v>
      </c>
      <c r="S1032" s="1011"/>
      <c r="T1032" s="989">
        <f t="shared" si="109"/>
        <v>0</v>
      </c>
      <c r="U1032" s="989">
        <f t="shared" si="112"/>
        <v>104000</v>
      </c>
      <c r="V1032" s="989">
        <f t="shared" si="114"/>
        <v>100</v>
      </c>
      <c r="W1032" s="989"/>
      <c r="X1032" s="989">
        <f t="shared" si="110"/>
        <v>0</v>
      </c>
      <c r="Y1032" s="1012"/>
    </row>
    <row r="1033" spans="1:25" ht="63" customHeight="1">
      <c r="A1033" s="1006">
        <v>915</v>
      </c>
      <c r="B1033" s="1007" t="s">
        <v>2800</v>
      </c>
      <c r="C1033" s="1008"/>
      <c r="D1033" s="1008" t="s">
        <v>4309</v>
      </c>
      <c r="E1033" s="1007" t="s">
        <v>2801</v>
      </c>
      <c r="F1033" s="1010" t="s">
        <v>2832</v>
      </c>
      <c r="G1033" s="989">
        <v>728000</v>
      </c>
      <c r="H1033" s="937"/>
      <c r="I1033" s="1046"/>
      <c r="J1033" s="1046"/>
      <c r="K1033" s="1047"/>
      <c r="L1033" s="1046"/>
      <c r="M1033" s="1094">
        <v>-28908.92</v>
      </c>
      <c r="N1033" s="989">
        <f>728000+M1033</f>
        <v>699091.08</v>
      </c>
      <c r="O1033" s="989">
        <v>400709.86</v>
      </c>
      <c r="P1033" s="989">
        <v>298381.21999999997</v>
      </c>
      <c r="Q1033" s="989">
        <f t="shared" si="111"/>
        <v>699091.08</v>
      </c>
      <c r="R1033" s="989">
        <f t="shared" si="113"/>
        <v>100</v>
      </c>
      <c r="S1033" s="1011">
        <v>0</v>
      </c>
      <c r="T1033" s="989">
        <f t="shared" si="109"/>
        <v>0</v>
      </c>
      <c r="U1033" s="989">
        <f t="shared" si="112"/>
        <v>699091.08</v>
      </c>
      <c r="V1033" s="989">
        <f t="shared" si="114"/>
        <v>100</v>
      </c>
      <c r="W1033" s="989"/>
      <c r="X1033" s="989">
        <f t="shared" si="110"/>
        <v>0</v>
      </c>
      <c r="Y1033" s="1012"/>
    </row>
    <row r="1034" spans="1:25" ht="63" customHeight="1">
      <c r="A1034" s="1006">
        <v>916</v>
      </c>
      <c r="B1034" s="1007" t="s">
        <v>2802</v>
      </c>
      <c r="C1034" s="1008"/>
      <c r="D1034" s="1008" t="s">
        <v>4310</v>
      </c>
      <c r="E1034" s="1007" t="s">
        <v>2803</v>
      </c>
      <c r="F1034" s="1010" t="s">
        <v>570</v>
      </c>
      <c r="G1034" s="989">
        <v>90400</v>
      </c>
      <c r="H1034" s="937"/>
      <c r="I1034" s="1046"/>
      <c r="J1034" s="1046"/>
      <c r="K1034" s="1047"/>
      <c r="L1034" s="1046"/>
      <c r="M1034" s="1094">
        <v>-38000</v>
      </c>
      <c r="N1034" s="989">
        <f>90400+M1034</f>
        <v>52400</v>
      </c>
      <c r="O1034" s="989">
        <v>52400</v>
      </c>
      <c r="P1034" s="989">
        <v>0</v>
      </c>
      <c r="Q1034" s="989">
        <f t="shared" si="111"/>
        <v>52400</v>
      </c>
      <c r="R1034" s="989">
        <f t="shared" si="113"/>
        <v>100</v>
      </c>
      <c r="S1034" s="1011">
        <v>0</v>
      </c>
      <c r="T1034" s="989">
        <f t="shared" si="109"/>
        <v>0</v>
      </c>
      <c r="U1034" s="989">
        <f t="shared" si="112"/>
        <v>52400</v>
      </c>
      <c r="V1034" s="989">
        <f t="shared" si="114"/>
        <v>100</v>
      </c>
      <c r="W1034" s="989"/>
      <c r="X1034" s="989">
        <f t="shared" si="110"/>
        <v>0</v>
      </c>
      <c r="Y1034" s="1012"/>
    </row>
    <row r="1035" spans="1:25" ht="63" customHeight="1">
      <c r="A1035" s="1006">
        <v>917</v>
      </c>
      <c r="B1035" s="1007" t="s">
        <v>2804</v>
      </c>
      <c r="C1035" s="1008"/>
      <c r="D1035" s="1008" t="s">
        <v>4311</v>
      </c>
      <c r="E1035" s="1007" t="s">
        <v>2805</v>
      </c>
      <c r="F1035" s="1010" t="s">
        <v>559</v>
      </c>
      <c r="G1035" s="989">
        <v>104000</v>
      </c>
      <c r="H1035" s="937"/>
      <c r="I1035" s="1046"/>
      <c r="J1035" s="1046"/>
      <c r="K1035" s="1047"/>
      <c r="L1035" s="1046"/>
      <c r="M1035" s="1094"/>
      <c r="N1035" s="989">
        <v>104000</v>
      </c>
      <c r="O1035" s="989">
        <v>104000</v>
      </c>
      <c r="P1035" s="989"/>
      <c r="Q1035" s="989">
        <f t="shared" si="111"/>
        <v>104000</v>
      </c>
      <c r="R1035" s="989">
        <f t="shared" si="113"/>
        <v>100</v>
      </c>
      <c r="S1035" s="1011"/>
      <c r="T1035" s="989">
        <f t="shared" si="109"/>
        <v>0</v>
      </c>
      <c r="U1035" s="989">
        <f t="shared" si="112"/>
        <v>104000</v>
      </c>
      <c r="V1035" s="989">
        <f t="shared" si="114"/>
        <v>100</v>
      </c>
      <c r="W1035" s="989"/>
      <c r="X1035" s="989">
        <f t="shared" si="110"/>
        <v>0</v>
      </c>
      <c r="Y1035" s="1012"/>
    </row>
    <row r="1036" spans="1:25" ht="63" customHeight="1">
      <c r="A1036" s="1006">
        <v>918</v>
      </c>
      <c r="B1036" s="1007" t="s">
        <v>2806</v>
      </c>
      <c r="C1036" s="1008"/>
      <c r="D1036" s="1008" t="s">
        <v>4312</v>
      </c>
      <c r="E1036" s="1007" t="s">
        <v>2807</v>
      </c>
      <c r="F1036" s="1010" t="s">
        <v>554</v>
      </c>
      <c r="G1036" s="989">
        <v>624000</v>
      </c>
      <c r="H1036" s="937"/>
      <c r="I1036" s="1046"/>
      <c r="J1036" s="1046"/>
      <c r="K1036" s="1047">
        <f>-48700-133413.72</f>
        <v>-182113.72</v>
      </c>
      <c r="L1036" s="1046"/>
      <c r="M1036" s="1094">
        <v>-145590.19</v>
      </c>
      <c r="N1036" s="989">
        <f>G1036+M1036+K1036</f>
        <v>296296.08999999997</v>
      </c>
      <c r="O1036" s="989">
        <v>0</v>
      </c>
      <c r="P1036" s="989">
        <v>296296.09000000003</v>
      </c>
      <c r="Q1036" s="989">
        <f t="shared" si="111"/>
        <v>296296.09000000003</v>
      </c>
      <c r="R1036" s="989">
        <f t="shared" si="113"/>
        <v>100.00000000000003</v>
      </c>
      <c r="S1036" s="1011">
        <v>0</v>
      </c>
      <c r="T1036" s="989">
        <f t="shared" si="109"/>
        <v>0</v>
      </c>
      <c r="U1036" s="989">
        <f t="shared" si="112"/>
        <v>296296.09000000003</v>
      </c>
      <c r="V1036" s="989">
        <f t="shared" si="114"/>
        <v>100.00000000000003</v>
      </c>
      <c r="W1036" s="989"/>
      <c r="X1036" s="989">
        <f t="shared" si="110"/>
        <v>0</v>
      </c>
      <c r="Y1036" s="1012"/>
    </row>
    <row r="1037" spans="1:25" ht="63" customHeight="1">
      <c r="A1037" s="1006">
        <v>919</v>
      </c>
      <c r="B1037" s="1007" t="s">
        <v>2808</v>
      </c>
      <c r="C1037" s="1008"/>
      <c r="D1037" s="1008" t="s">
        <v>4313</v>
      </c>
      <c r="E1037" s="1007" t="s">
        <v>2809</v>
      </c>
      <c r="F1037" s="1010" t="s">
        <v>342</v>
      </c>
      <c r="G1037" s="989">
        <v>416000</v>
      </c>
      <c r="H1037" s="937"/>
      <c r="I1037" s="1046"/>
      <c r="J1037" s="1046"/>
      <c r="K1037" s="1047"/>
      <c r="L1037" s="1046"/>
      <c r="M1037" s="1094">
        <v>-48243</v>
      </c>
      <c r="N1037" s="989">
        <f>416000+M1037</f>
        <v>367757</v>
      </c>
      <c r="O1037" s="989">
        <v>101894</v>
      </c>
      <c r="P1037" s="989">
        <v>265863</v>
      </c>
      <c r="Q1037" s="989">
        <f t="shared" si="111"/>
        <v>367757</v>
      </c>
      <c r="R1037" s="989">
        <f t="shared" si="113"/>
        <v>100</v>
      </c>
      <c r="S1037" s="1011">
        <v>0</v>
      </c>
      <c r="T1037" s="989">
        <f t="shared" si="109"/>
        <v>0</v>
      </c>
      <c r="U1037" s="989">
        <f t="shared" si="112"/>
        <v>367757</v>
      </c>
      <c r="V1037" s="989">
        <f t="shared" si="114"/>
        <v>100</v>
      </c>
      <c r="W1037" s="989"/>
      <c r="X1037" s="989">
        <f t="shared" si="110"/>
        <v>0</v>
      </c>
      <c r="Y1037" s="1012"/>
    </row>
    <row r="1038" spans="1:25" ht="63" customHeight="1">
      <c r="A1038" s="1006">
        <v>920</v>
      </c>
      <c r="B1038" s="1007" t="s">
        <v>2810</v>
      </c>
      <c r="C1038" s="1008"/>
      <c r="D1038" s="1008" t="s">
        <v>4314</v>
      </c>
      <c r="E1038" s="1007" t="s">
        <v>2811</v>
      </c>
      <c r="F1038" s="1010" t="s">
        <v>1186</v>
      </c>
      <c r="G1038" s="989">
        <v>104000</v>
      </c>
      <c r="H1038" s="937"/>
      <c r="I1038" s="1046"/>
      <c r="J1038" s="1046"/>
      <c r="K1038" s="1047">
        <f>-61781.2</f>
        <v>-61781.2</v>
      </c>
      <c r="L1038" s="1046"/>
      <c r="M1038" s="1094"/>
      <c r="N1038" s="989">
        <f>104000+M1038+K1038</f>
        <v>42218.8</v>
      </c>
      <c r="O1038" s="989">
        <v>0</v>
      </c>
      <c r="P1038" s="989">
        <v>42218.8</v>
      </c>
      <c r="Q1038" s="989">
        <f t="shared" si="111"/>
        <v>42218.8</v>
      </c>
      <c r="R1038" s="989">
        <f t="shared" si="113"/>
        <v>100</v>
      </c>
      <c r="S1038" s="1011">
        <v>0</v>
      </c>
      <c r="T1038" s="989">
        <f t="shared" si="109"/>
        <v>0</v>
      </c>
      <c r="U1038" s="989">
        <f t="shared" si="112"/>
        <v>42218.8</v>
      </c>
      <c r="V1038" s="989">
        <f t="shared" si="114"/>
        <v>100</v>
      </c>
      <c r="W1038" s="989"/>
      <c r="X1038" s="989">
        <f t="shared" si="110"/>
        <v>0</v>
      </c>
      <c r="Y1038" s="1012"/>
    </row>
    <row r="1039" spans="1:25" ht="63" customHeight="1">
      <c r="A1039" s="1006">
        <v>921</v>
      </c>
      <c r="B1039" s="1007" t="s">
        <v>2933</v>
      </c>
      <c r="C1039" s="1008"/>
      <c r="D1039" s="1008" t="s">
        <v>4315</v>
      </c>
      <c r="E1039" s="1027" t="s">
        <v>2934</v>
      </c>
      <c r="F1039" s="1012" t="s">
        <v>560</v>
      </c>
      <c r="G1039" s="989">
        <v>45200</v>
      </c>
      <c r="H1039" s="937"/>
      <c r="I1039" s="1096"/>
      <c r="J1039" s="1046"/>
      <c r="K1039" s="1047"/>
      <c r="L1039" s="1046"/>
      <c r="M1039" s="1094" t="s">
        <v>311</v>
      </c>
      <c r="N1039" s="989">
        <v>45200</v>
      </c>
      <c r="O1039" s="989">
        <v>45200</v>
      </c>
      <c r="P1039" s="989"/>
      <c r="Q1039" s="989">
        <f t="shared" si="111"/>
        <v>45200</v>
      </c>
      <c r="R1039" s="989">
        <f t="shared" si="113"/>
        <v>100</v>
      </c>
      <c r="S1039" s="1011"/>
      <c r="T1039" s="989">
        <f t="shared" si="109"/>
        <v>0</v>
      </c>
      <c r="U1039" s="989">
        <f t="shared" si="112"/>
        <v>45200</v>
      </c>
      <c r="V1039" s="989">
        <f t="shared" si="114"/>
        <v>100</v>
      </c>
      <c r="W1039" s="989"/>
      <c r="X1039" s="989">
        <f t="shared" si="110"/>
        <v>0</v>
      </c>
      <c r="Y1039" s="1012"/>
    </row>
    <row r="1040" spans="1:25" ht="63" customHeight="1">
      <c r="A1040" s="1006">
        <v>922</v>
      </c>
      <c r="B1040" s="1007" t="s">
        <v>2935</v>
      </c>
      <c r="C1040" s="1008"/>
      <c r="D1040" s="1008" t="s">
        <v>4316</v>
      </c>
      <c r="E1040" s="1027" t="s">
        <v>2936</v>
      </c>
      <c r="F1040" s="1012" t="s">
        <v>560</v>
      </c>
      <c r="G1040" s="989">
        <v>45200</v>
      </c>
      <c r="H1040" s="937"/>
      <c r="I1040" s="1096"/>
      <c r="J1040" s="1046"/>
      <c r="K1040" s="1047"/>
      <c r="L1040" s="1046"/>
      <c r="M1040" s="1094">
        <v>-934.29</v>
      </c>
      <c r="N1040" s="989">
        <f>45200+M1040</f>
        <v>44265.71</v>
      </c>
      <c r="O1040" s="989">
        <v>0</v>
      </c>
      <c r="P1040" s="989">
        <v>44265.71</v>
      </c>
      <c r="Q1040" s="989">
        <f t="shared" si="111"/>
        <v>44265.71</v>
      </c>
      <c r="R1040" s="989">
        <f t="shared" si="113"/>
        <v>100</v>
      </c>
      <c r="S1040" s="1011">
        <v>0</v>
      </c>
      <c r="T1040" s="989">
        <f t="shared" si="109"/>
        <v>0</v>
      </c>
      <c r="U1040" s="989">
        <f t="shared" si="112"/>
        <v>44265.71</v>
      </c>
      <c r="V1040" s="989">
        <f t="shared" si="114"/>
        <v>100</v>
      </c>
      <c r="W1040" s="989"/>
      <c r="X1040" s="989">
        <f t="shared" si="110"/>
        <v>0</v>
      </c>
      <c r="Y1040" s="1012"/>
    </row>
    <row r="1041" spans="1:25" ht="63" customHeight="1">
      <c r="A1041" s="1006">
        <v>923</v>
      </c>
      <c r="B1041" s="1007" t="s">
        <v>2937</v>
      </c>
      <c r="C1041" s="1008"/>
      <c r="D1041" s="1008" t="s">
        <v>4317</v>
      </c>
      <c r="E1041" s="1028" t="s">
        <v>2938</v>
      </c>
      <c r="F1041" s="1012" t="s">
        <v>560</v>
      </c>
      <c r="G1041" s="989">
        <v>104000</v>
      </c>
      <c r="H1041" s="937"/>
      <c r="I1041" s="1096"/>
      <c r="J1041" s="1046"/>
      <c r="K1041" s="1047">
        <v>-9000</v>
      </c>
      <c r="L1041" s="1046"/>
      <c r="M1041" s="1094">
        <v>-19848.43</v>
      </c>
      <c r="N1041" s="989">
        <f>104000+K1041+M1041</f>
        <v>75151.570000000007</v>
      </c>
      <c r="O1041" s="989">
        <v>0</v>
      </c>
      <c r="P1041" s="989">
        <v>75151.570000000007</v>
      </c>
      <c r="Q1041" s="989">
        <f t="shared" si="111"/>
        <v>75151.570000000007</v>
      </c>
      <c r="R1041" s="989">
        <f t="shared" si="113"/>
        <v>100</v>
      </c>
      <c r="S1041" s="1011">
        <v>0</v>
      </c>
      <c r="T1041" s="989">
        <f t="shared" si="109"/>
        <v>0</v>
      </c>
      <c r="U1041" s="989">
        <f t="shared" si="112"/>
        <v>75151.570000000007</v>
      </c>
      <c r="V1041" s="989">
        <f t="shared" si="114"/>
        <v>100</v>
      </c>
      <c r="W1041" s="989"/>
      <c r="X1041" s="989">
        <f t="shared" si="110"/>
        <v>0</v>
      </c>
      <c r="Y1041" s="1012"/>
    </row>
    <row r="1042" spans="1:25" ht="63" customHeight="1">
      <c r="A1042" s="1029">
        <v>924</v>
      </c>
      <c r="B1042" s="1030" t="s">
        <v>2808</v>
      </c>
      <c r="C1042" s="1031"/>
      <c r="D1042" s="1031" t="s">
        <v>4318</v>
      </c>
      <c r="E1042" s="1032" t="s">
        <v>2939</v>
      </c>
      <c r="F1042" s="1012" t="s">
        <v>342</v>
      </c>
      <c r="G1042" s="1033">
        <v>104000</v>
      </c>
      <c r="H1042" s="937"/>
      <c r="I1042" s="1096"/>
      <c r="J1042" s="1046"/>
      <c r="K1042" s="1047"/>
      <c r="L1042" s="1046"/>
      <c r="M1042" s="1097"/>
      <c r="N1042" s="1033">
        <v>104000</v>
      </c>
      <c r="O1042" s="1033">
        <v>104000</v>
      </c>
      <c r="P1042" s="1033"/>
      <c r="Q1042" s="989">
        <f t="shared" si="111"/>
        <v>104000</v>
      </c>
      <c r="R1042" s="989">
        <f t="shared" si="113"/>
        <v>100</v>
      </c>
      <c r="S1042" s="1011"/>
      <c r="T1042" s="989">
        <f t="shared" si="109"/>
        <v>0</v>
      </c>
      <c r="U1042" s="989">
        <f t="shared" si="112"/>
        <v>104000</v>
      </c>
      <c r="V1042" s="989">
        <f t="shared" si="114"/>
        <v>100</v>
      </c>
      <c r="W1042" s="989"/>
      <c r="X1042" s="989">
        <f t="shared" si="110"/>
        <v>0</v>
      </c>
      <c r="Y1042" s="1012"/>
    </row>
    <row r="1043" spans="1:25" ht="63" customHeight="1">
      <c r="A1043" s="1034">
        <v>925</v>
      </c>
      <c r="B1043" s="1007" t="s">
        <v>2940</v>
      </c>
      <c r="C1043" s="1008"/>
      <c r="D1043" s="1008" t="s">
        <v>4319</v>
      </c>
      <c r="E1043" s="1027" t="s">
        <v>2941</v>
      </c>
      <c r="F1043" s="1012" t="s">
        <v>580</v>
      </c>
      <c r="G1043" s="989">
        <v>45200</v>
      </c>
      <c r="H1043" s="937"/>
      <c r="I1043" s="1046"/>
      <c r="J1043" s="1046"/>
      <c r="K1043" s="1047"/>
      <c r="L1043" s="1046"/>
      <c r="M1043" s="1094">
        <v>-2653.35</v>
      </c>
      <c r="N1043" s="989">
        <f>45200+M1043</f>
        <v>42546.65</v>
      </c>
      <c r="O1043" s="989">
        <v>0</v>
      </c>
      <c r="P1043" s="989">
        <v>42546.65</v>
      </c>
      <c r="Q1043" s="989">
        <f t="shared" si="111"/>
        <v>42546.65</v>
      </c>
      <c r="R1043" s="989">
        <f t="shared" si="113"/>
        <v>100</v>
      </c>
      <c r="S1043" s="1011">
        <v>0</v>
      </c>
      <c r="T1043" s="989">
        <f t="shared" si="109"/>
        <v>0</v>
      </c>
      <c r="U1043" s="989">
        <f t="shared" si="112"/>
        <v>42546.65</v>
      </c>
      <c r="V1043" s="989">
        <f t="shared" si="114"/>
        <v>100</v>
      </c>
      <c r="W1043" s="989"/>
      <c r="X1043" s="989">
        <f t="shared" si="110"/>
        <v>0</v>
      </c>
      <c r="Y1043" s="1012"/>
    </row>
    <row r="1044" spans="1:25" ht="63" customHeight="1">
      <c r="A1044" s="1034">
        <v>926</v>
      </c>
      <c r="B1044" s="1007" t="s">
        <v>2942</v>
      </c>
      <c r="C1044" s="1008"/>
      <c r="D1044" s="1008" t="s">
        <v>4320</v>
      </c>
      <c r="E1044" s="1027" t="s">
        <v>2943</v>
      </c>
      <c r="F1044" s="1012" t="s">
        <v>580</v>
      </c>
      <c r="G1044" s="989">
        <v>90400</v>
      </c>
      <c r="H1044" s="937"/>
      <c r="I1044" s="1046"/>
      <c r="J1044" s="1046"/>
      <c r="K1044" s="1047"/>
      <c r="L1044" s="1046"/>
      <c r="M1044" s="1094"/>
      <c r="N1044" s="989">
        <v>90400</v>
      </c>
      <c r="O1044" s="989">
        <v>45200</v>
      </c>
      <c r="P1044" s="989">
        <v>45200</v>
      </c>
      <c r="Q1044" s="989">
        <f t="shared" si="111"/>
        <v>90400</v>
      </c>
      <c r="R1044" s="989">
        <f t="shared" si="113"/>
        <v>100</v>
      </c>
      <c r="S1044" s="1011">
        <v>0</v>
      </c>
      <c r="T1044" s="989">
        <f t="shared" si="109"/>
        <v>0</v>
      </c>
      <c r="U1044" s="989">
        <f t="shared" si="112"/>
        <v>90400</v>
      </c>
      <c r="V1044" s="989">
        <f t="shared" si="114"/>
        <v>100</v>
      </c>
      <c r="W1044" s="989"/>
      <c r="X1044" s="989">
        <f t="shared" si="110"/>
        <v>0</v>
      </c>
      <c r="Y1044" s="1012"/>
    </row>
    <row r="1045" spans="1:25" ht="63" customHeight="1">
      <c r="A1045" s="1034">
        <v>927</v>
      </c>
      <c r="B1045" s="1009" t="s">
        <v>2944</v>
      </c>
      <c r="C1045" s="1035"/>
      <c r="D1045" s="1035" t="s">
        <v>4321</v>
      </c>
      <c r="E1045" s="1027" t="s">
        <v>2945</v>
      </c>
      <c r="F1045" s="1012" t="s">
        <v>580</v>
      </c>
      <c r="G1045" s="989">
        <v>45200</v>
      </c>
      <c r="H1045" s="937"/>
      <c r="I1045" s="1046"/>
      <c r="J1045" s="1046"/>
      <c r="K1045" s="1047"/>
      <c r="L1045" s="1046"/>
      <c r="M1045" s="1094">
        <f>-11100-1363</f>
        <v>-12463</v>
      </c>
      <c r="N1045" s="989">
        <f>45200+M1045</f>
        <v>32737</v>
      </c>
      <c r="O1045" s="989">
        <v>0</v>
      </c>
      <c r="P1045" s="989">
        <v>32737</v>
      </c>
      <c r="Q1045" s="989">
        <f t="shared" si="111"/>
        <v>32737</v>
      </c>
      <c r="R1045" s="989">
        <f t="shared" si="113"/>
        <v>100</v>
      </c>
      <c r="S1045" s="1011">
        <v>0</v>
      </c>
      <c r="T1045" s="989">
        <f t="shared" si="109"/>
        <v>0</v>
      </c>
      <c r="U1045" s="989">
        <f t="shared" si="112"/>
        <v>32737</v>
      </c>
      <c r="V1045" s="989">
        <f t="shared" si="114"/>
        <v>100</v>
      </c>
      <c r="W1045" s="989"/>
      <c r="X1045" s="989">
        <f t="shared" si="110"/>
        <v>0</v>
      </c>
      <c r="Y1045" s="1012"/>
    </row>
    <row r="1046" spans="1:25" ht="63" customHeight="1">
      <c r="A1046" s="1034">
        <v>928</v>
      </c>
      <c r="B1046" s="1007" t="s">
        <v>2946</v>
      </c>
      <c r="C1046" s="1008"/>
      <c r="D1046" s="1008" t="s">
        <v>4322</v>
      </c>
      <c r="E1046" s="1027" t="s">
        <v>2947</v>
      </c>
      <c r="F1046" s="1012" t="s">
        <v>580</v>
      </c>
      <c r="G1046" s="989">
        <v>208000</v>
      </c>
      <c r="H1046" s="937"/>
      <c r="I1046" s="1046"/>
      <c r="J1046" s="1046"/>
      <c r="K1046" s="1047"/>
      <c r="L1046" s="1046"/>
      <c r="M1046" s="1094">
        <v>-2515.46</v>
      </c>
      <c r="N1046" s="989">
        <f>208000+M1046</f>
        <v>205484.54</v>
      </c>
      <c r="O1046" s="989">
        <v>0</v>
      </c>
      <c r="P1046" s="989">
        <v>205484.54</v>
      </c>
      <c r="Q1046" s="989">
        <f t="shared" si="111"/>
        <v>205484.54</v>
      </c>
      <c r="R1046" s="989">
        <f t="shared" si="113"/>
        <v>100</v>
      </c>
      <c r="S1046" s="1011">
        <v>0</v>
      </c>
      <c r="T1046" s="989">
        <f t="shared" si="109"/>
        <v>0</v>
      </c>
      <c r="U1046" s="989">
        <f t="shared" si="112"/>
        <v>205484.54</v>
      </c>
      <c r="V1046" s="989">
        <f t="shared" si="114"/>
        <v>100</v>
      </c>
      <c r="W1046" s="989"/>
      <c r="X1046" s="989">
        <f t="shared" si="110"/>
        <v>0</v>
      </c>
      <c r="Y1046" s="1012"/>
    </row>
    <row r="1047" spans="1:25" ht="63" customHeight="1">
      <c r="A1047" s="1034">
        <v>929</v>
      </c>
      <c r="B1047" s="1007" t="s">
        <v>2948</v>
      </c>
      <c r="C1047" s="1008"/>
      <c r="D1047" s="1008" t="s">
        <v>4323</v>
      </c>
      <c r="E1047" s="1027" t="s">
        <v>2949</v>
      </c>
      <c r="F1047" s="1012" t="s">
        <v>580</v>
      </c>
      <c r="G1047" s="989">
        <v>104000</v>
      </c>
      <c r="H1047" s="937"/>
      <c r="I1047" s="1046"/>
      <c r="J1047" s="1046"/>
      <c r="K1047" s="1047"/>
      <c r="L1047" s="1046"/>
      <c r="M1047" s="1094"/>
      <c r="N1047" s="989">
        <v>104000</v>
      </c>
      <c r="O1047" s="989">
        <v>104000</v>
      </c>
      <c r="P1047" s="989"/>
      <c r="Q1047" s="989">
        <f t="shared" si="111"/>
        <v>104000</v>
      </c>
      <c r="R1047" s="989">
        <f t="shared" si="113"/>
        <v>100</v>
      </c>
      <c r="S1047" s="1011"/>
      <c r="T1047" s="989">
        <f t="shared" si="109"/>
        <v>0</v>
      </c>
      <c r="U1047" s="989">
        <f t="shared" si="112"/>
        <v>104000</v>
      </c>
      <c r="V1047" s="989">
        <f t="shared" si="114"/>
        <v>100</v>
      </c>
      <c r="W1047" s="989"/>
      <c r="X1047" s="989">
        <f t="shared" si="110"/>
        <v>0</v>
      </c>
      <c r="Y1047" s="1012"/>
    </row>
    <row r="1048" spans="1:25" ht="63" customHeight="1">
      <c r="A1048" s="1034">
        <v>930</v>
      </c>
      <c r="B1048" s="1007" t="s">
        <v>2950</v>
      </c>
      <c r="C1048" s="1008"/>
      <c r="D1048" s="1008" t="s">
        <v>4324</v>
      </c>
      <c r="E1048" s="1027" t="s">
        <v>2951</v>
      </c>
      <c r="F1048" s="1012" t="s">
        <v>580</v>
      </c>
      <c r="G1048" s="989">
        <v>104000</v>
      </c>
      <c r="H1048" s="937"/>
      <c r="I1048" s="1046"/>
      <c r="J1048" s="1046"/>
      <c r="K1048" s="1047"/>
      <c r="L1048" s="1046"/>
      <c r="M1048" s="1094">
        <v>-32761</v>
      </c>
      <c r="N1048" s="989">
        <f>104000+M1048</f>
        <v>71239</v>
      </c>
      <c r="O1048" s="989">
        <v>0</v>
      </c>
      <c r="P1048" s="989">
        <v>71239</v>
      </c>
      <c r="Q1048" s="989">
        <f t="shared" si="111"/>
        <v>71239</v>
      </c>
      <c r="R1048" s="989">
        <f t="shared" si="113"/>
        <v>100</v>
      </c>
      <c r="S1048" s="1011">
        <v>0</v>
      </c>
      <c r="T1048" s="989">
        <f t="shared" si="109"/>
        <v>0</v>
      </c>
      <c r="U1048" s="989">
        <f t="shared" si="112"/>
        <v>71239</v>
      </c>
      <c r="V1048" s="989">
        <f t="shared" si="114"/>
        <v>100</v>
      </c>
      <c r="W1048" s="989"/>
      <c r="X1048" s="989">
        <f t="shared" si="110"/>
        <v>0</v>
      </c>
      <c r="Y1048" s="1012"/>
    </row>
    <row r="1049" spans="1:25" ht="63" customHeight="1">
      <c r="A1049" s="1034">
        <v>931</v>
      </c>
      <c r="B1049" s="1007" t="s">
        <v>4551</v>
      </c>
      <c r="C1049" s="1008"/>
      <c r="D1049" s="1008" t="s">
        <v>4552</v>
      </c>
      <c r="E1049" s="1027" t="s">
        <v>4417</v>
      </c>
      <c r="F1049" s="1012" t="s">
        <v>580</v>
      </c>
      <c r="G1049" s="989"/>
      <c r="H1049" s="937"/>
      <c r="I1049" s="1046"/>
      <c r="J1049" s="1046"/>
      <c r="K1049" s="1047"/>
      <c r="L1049" s="1046"/>
      <c r="M1049" s="1094">
        <v>-100</v>
      </c>
      <c r="N1049" s="989"/>
      <c r="O1049" s="989">
        <v>0</v>
      </c>
      <c r="P1049" s="989">
        <v>0</v>
      </c>
      <c r="Q1049" s="989">
        <f t="shared" si="111"/>
        <v>0</v>
      </c>
      <c r="R1049" s="989" t="e">
        <f t="shared" si="113"/>
        <v>#DIV/0!</v>
      </c>
      <c r="S1049" s="1011">
        <v>0</v>
      </c>
      <c r="T1049" s="989">
        <v>0</v>
      </c>
      <c r="U1049" s="989">
        <f t="shared" si="112"/>
        <v>0</v>
      </c>
      <c r="V1049" s="989">
        <v>0</v>
      </c>
      <c r="W1049" s="989"/>
      <c r="X1049" s="989">
        <f t="shared" si="110"/>
        <v>0</v>
      </c>
      <c r="Y1049" s="1012"/>
    </row>
    <row r="1050" spans="1:25" ht="63" customHeight="1">
      <c r="A1050" s="1034">
        <v>932</v>
      </c>
      <c r="B1050" s="1007" t="s">
        <v>3005</v>
      </c>
      <c r="C1050" s="1008"/>
      <c r="D1050" s="1008"/>
      <c r="E1050" s="1027" t="s">
        <v>3006</v>
      </c>
      <c r="F1050" s="1012" t="s">
        <v>1185</v>
      </c>
      <c r="G1050" s="989">
        <v>45200</v>
      </c>
      <c r="H1050" s="937"/>
      <c r="I1050" s="1046"/>
      <c r="J1050" s="1046"/>
      <c r="K1050" s="1047"/>
      <c r="L1050" s="1046"/>
      <c r="M1050" s="1094"/>
      <c r="N1050" s="989">
        <v>45200</v>
      </c>
      <c r="O1050" s="989">
        <v>0</v>
      </c>
      <c r="P1050" s="989">
        <v>45200</v>
      </c>
      <c r="Q1050" s="989">
        <f t="shared" si="111"/>
        <v>45200</v>
      </c>
      <c r="R1050" s="989">
        <f t="shared" si="113"/>
        <v>100</v>
      </c>
      <c r="S1050" s="1011">
        <v>0</v>
      </c>
      <c r="T1050" s="989">
        <f t="shared" si="109"/>
        <v>0</v>
      </c>
      <c r="U1050" s="989">
        <f t="shared" si="112"/>
        <v>45200</v>
      </c>
      <c r="V1050" s="989">
        <f t="shared" si="114"/>
        <v>100</v>
      </c>
      <c r="W1050" s="989"/>
      <c r="X1050" s="989">
        <f t="shared" si="110"/>
        <v>0</v>
      </c>
      <c r="Y1050" s="1012"/>
    </row>
    <row r="1051" spans="1:25" ht="63" customHeight="1">
      <c r="A1051" s="1034">
        <v>933</v>
      </c>
      <c r="B1051" s="1007" t="s">
        <v>3007</v>
      </c>
      <c r="C1051" s="1008"/>
      <c r="D1051" s="1008"/>
      <c r="E1051" s="1027" t="s">
        <v>3008</v>
      </c>
      <c r="F1051" s="1012" t="s">
        <v>1185</v>
      </c>
      <c r="G1051" s="989">
        <v>45200</v>
      </c>
      <c r="H1051" s="937"/>
      <c r="I1051" s="1046"/>
      <c r="J1051" s="1046"/>
      <c r="K1051" s="1048"/>
      <c r="L1051" s="1046"/>
      <c r="M1051" s="1094">
        <v>-9605</v>
      </c>
      <c r="N1051" s="989">
        <f>45200+M1051</f>
        <v>35595</v>
      </c>
      <c r="O1051" s="989">
        <v>35595</v>
      </c>
      <c r="P1051" s="989">
        <v>0</v>
      </c>
      <c r="Q1051" s="989">
        <f t="shared" si="111"/>
        <v>35595</v>
      </c>
      <c r="R1051" s="989">
        <f t="shared" si="113"/>
        <v>100</v>
      </c>
      <c r="S1051" s="1011">
        <v>0</v>
      </c>
      <c r="T1051" s="989">
        <f t="shared" si="109"/>
        <v>0</v>
      </c>
      <c r="U1051" s="989">
        <f t="shared" si="112"/>
        <v>35595</v>
      </c>
      <c r="V1051" s="989">
        <f t="shared" si="114"/>
        <v>100</v>
      </c>
      <c r="W1051" s="989"/>
      <c r="X1051" s="989">
        <f t="shared" si="110"/>
        <v>0</v>
      </c>
      <c r="Y1051" s="1012"/>
    </row>
    <row r="1052" spans="1:25" ht="63" customHeight="1">
      <c r="A1052" s="1034">
        <v>934</v>
      </c>
      <c r="B1052" s="1007" t="s">
        <v>3009</v>
      </c>
      <c r="C1052" s="1008"/>
      <c r="D1052" s="1008"/>
      <c r="E1052" s="1027" t="s">
        <v>4356</v>
      </c>
      <c r="F1052" s="1012" t="s">
        <v>1185</v>
      </c>
      <c r="G1052" s="989">
        <v>90400</v>
      </c>
      <c r="H1052" s="937"/>
      <c r="I1052" s="1046"/>
      <c r="J1052" s="1046"/>
      <c r="K1052" s="1047">
        <v>-7700</v>
      </c>
      <c r="L1052" s="1046"/>
      <c r="M1052" s="1094"/>
      <c r="N1052" s="989">
        <f>90400+K1052</f>
        <v>82700</v>
      </c>
      <c r="O1052" s="989">
        <v>0</v>
      </c>
      <c r="P1052" s="989">
        <v>82700</v>
      </c>
      <c r="Q1052" s="989">
        <f t="shared" si="111"/>
        <v>82700</v>
      </c>
      <c r="R1052" s="989">
        <f t="shared" si="113"/>
        <v>100</v>
      </c>
      <c r="S1052" s="1011">
        <v>0</v>
      </c>
      <c r="T1052" s="989">
        <f t="shared" si="109"/>
        <v>0</v>
      </c>
      <c r="U1052" s="989">
        <f t="shared" si="112"/>
        <v>82700</v>
      </c>
      <c r="V1052" s="989">
        <f t="shared" si="114"/>
        <v>100</v>
      </c>
      <c r="W1052" s="989"/>
      <c r="X1052" s="989">
        <f t="shared" si="110"/>
        <v>0</v>
      </c>
      <c r="Y1052" s="1012"/>
    </row>
    <row r="1053" spans="1:25" ht="63" customHeight="1">
      <c r="A1053" s="1034">
        <v>935</v>
      </c>
      <c r="B1053" s="1007" t="s">
        <v>3010</v>
      </c>
      <c r="C1053" s="1008"/>
      <c r="D1053" s="1008"/>
      <c r="E1053" s="1027" t="s">
        <v>3011</v>
      </c>
      <c r="F1053" s="1012" t="s">
        <v>3012</v>
      </c>
      <c r="G1053" s="989">
        <v>45200</v>
      </c>
      <c r="H1053" s="937"/>
      <c r="I1053" s="1046"/>
      <c r="J1053" s="1046"/>
      <c r="K1053" s="1047"/>
      <c r="L1053" s="1046"/>
      <c r="M1053" s="1094">
        <v>-800</v>
      </c>
      <c r="N1053" s="989">
        <f>45200+M1053</f>
        <v>44400</v>
      </c>
      <c r="O1053" s="989">
        <v>0</v>
      </c>
      <c r="P1053" s="989">
        <v>44400</v>
      </c>
      <c r="Q1053" s="989">
        <f t="shared" si="111"/>
        <v>44400</v>
      </c>
      <c r="R1053" s="989">
        <f t="shared" si="113"/>
        <v>100</v>
      </c>
      <c r="S1053" s="1011">
        <v>0</v>
      </c>
      <c r="T1053" s="989">
        <f t="shared" si="109"/>
        <v>0</v>
      </c>
      <c r="U1053" s="989">
        <f t="shared" si="112"/>
        <v>44400</v>
      </c>
      <c r="V1053" s="989">
        <f t="shared" si="114"/>
        <v>100</v>
      </c>
      <c r="W1053" s="989"/>
      <c r="X1053" s="989">
        <f t="shared" si="110"/>
        <v>0</v>
      </c>
      <c r="Y1053" s="1012"/>
    </row>
    <row r="1054" spans="1:25" ht="63" customHeight="1">
      <c r="A1054" s="1034">
        <v>936</v>
      </c>
      <c r="B1054" s="1007" t="s">
        <v>3013</v>
      </c>
      <c r="C1054" s="1008"/>
      <c r="D1054" s="1008"/>
      <c r="E1054" s="1027" t="s">
        <v>3014</v>
      </c>
      <c r="F1054" s="1012" t="s">
        <v>576</v>
      </c>
      <c r="G1054" s="989">
        <v>90400</v>
      </c>
      <c r="H1054" s="937"/>
      <c r="I1054" s="1046"/>
      <c r="J1054" s="1046"/>
      <c r="K1054" s="1047"/>
      <c r="L1054" s="1046"/>
      <c r="M1054" s="1094">
        <v>-15400</v>
      </c>
      <c r="N1054" s="989">
        <f>90400+M1054</f>
        <v>75000</v>
      </c>
      <c r="O1054" s="989">
        <v>0</v>
      </c>
      <c r="P1054" s="989">
        <v>75000</v>
      </c>
      <c r="Q1054" s="989">
        <f t="shared" si="111"/>
        <v>75000</v>
      </c>
      <c r="R1054" s="989">
        <f t="shared" si="113"/>
        <v>100</v>
      </c>
      <c r="S1054" s="1011">
        <v>0</v>
      </c>
      <c r="T1054" s="989">
        <f t="shared" si="109"/>
        <v>0</v>
      </c>
      <c r="U1054" s="989">
        <f t="shared" si="112"/>
        <v>75000</v>
      </c>
      <c r="V1054" s="989">
        <f t="shared" si="114"/>
        <v>100</v>
      </c>
      <c r="W1054" s="989"/>
      <c r="X1054" s="989">
        <f t="shared" si="110"/>
        <v>0</v>
      </c>
      <c r="Y1054" s="1012"/>
    </row>
    <row r="1055" spans="1:25" ht="63" customHeight="1">
      <c r="A1055" s="1034">
        <v>937</v>
      </c>
      <c r="B1055" s="1007" t="s">
        <v>3015</v>
      </c>
      <c r="C1055" s="1008"/>
      <c r="D1055" s="1008"/>
      <c r="E1055" s="1027" t="s">
        <v>3016</v>
      </c>
      <c r="F1055" s="1012" t="s">
        <v>576</v>
      </c>
      <c r="G1055" s="989">
        <v>45200</v>
      </c>
      <c r="H1055" s="937"/>
      <c r="I1055" s="1046"/>
      <c r="J1055" s="1046"/>
      <c r="K1055" s="1047"/>
      <c r="L1055" s="1046"/>
      <c r="M1055" s="1094">
        <v>-15319</v>
      </c>
      <c r="N1055" s="989">
        <f>45200+M1055</f>
        <v>29881</v>
      </c>
      <c r="O1055" s="989">
        <v>0</v>
      </c>
      <c r="P1055" s="989">
        <v>29881</v>
      </c>
      <c r="Q1055" s="989">
        <f t="shared" si="111"/>
        <v>29881</v>
      </c>
      <c r="R1055" s="989">
        <f t="shared" si="113"/>
        <v>100</v>
      </c>
      <c r="S1055" s="1011">
        <v>0</v>
      </c>
      <c r="T1055" s="989">
        <f t="shared" si="109"/>
        <v>0</v>
      </c>
      <c r="U1055" s="989">
        <f t="shared" si="112"/>
        <v>29881</v>
      </c>
      <c r="V1055" s="989">
        <f t="shared" si="114"/>
        <v>100</v>
      </c>
      <c r="W1055" s="989"/>
      <c r="X1055" s="989">
        <f t="shared" si="110"/>
        <v>0</v>
      </c>
      <c r="Y1055" s="1012"/>
    </row>
    <row r="1056" spans="1:25" ht="63" customHeight="1">
      <c r="A1056" s="1034">
        <v>938</v>
      </c>
      <c r="B1056" s="1007" t="s">
        <v>3017</v>
      </c>
      <c r="C1056" s="1008"/>
      <c r="D1056" s="1008"/>
      <c r="E1056" s="1027" t="s">
        <v>3018</v>
      </c>
      <c r="F1056" s="1012" t="s">
        <v>576</v>
      </c>
      <c r="G1056" s="989">
        <v>180800</v>
      </c>
      <c r="H1056" s="937"/>
      <c r="I1056" s="1046"/>
      <c r="J1056" s="1046"/>
      <c r="K1056" s="1047"/>
      <c r="L1056" s="1046"/>
      <c r="M1056" s="1094"/>
      <c r="N1056" s="989">
        <v>180800</v>
      </c>
      <c r="O1056" s="989">
        <v>0</v>
      </c>
      <c r="P1056" s="989">
        <v>180800</v>
      </c>
      <c r="Q1056" s="989">
        <f t="shared" si="111"/>
        <v>180800</v>
      </c>
      <c r="R1056" s="989">
        <f t="shared" si="113"/>
        <v>100</v>
      </c>
      <c r="S1056" s="1011">
        <v>0</v>
      </c>
      <c r="T1056" s="989">
        <f t="shared" ref="T1056:T1119" si="115">S1056/N1056*100</f>
        <v>0</v>
      </c>
      <c r="U1056" s="989">
        <f t="shared" si="112"/>
        <v>180800</v>
      </c>
      <c r="V1056" s="989">
        <f t="shared" si="114"/>
        <v>100</v>
      </c>
      <c r="W1056" s="989"/>
      <c r="X1056" s="989">
        <f t="shared" si="110"/>
        <v>0</v>
      </c>
      <c r="Y1056" s="1012"/>
    </row>
    <row r="1057" spans="1:25" ht="63" customHeight="1">
      <c r="A1057" s="1034">
        <v>939</v>
      </c>
      <c r="B1057" s="1007" t="s">
        <v>3019</v>
      </c>
      <c r="C1057" s="1008"/>
      <c r="D1057" s="1008"/>
      <c r="E1057" s="1027" t="s">
        <v>3020</v>
      </c>
      <c r="F1057" s="1012" t="s">
        <v>576</v>
      </c>
      <c r="G1057" s="989">
        <v>45200</v>
      </c>
      <c r="H1057" s="937"/>
      <c r="I1057" s="1046"/>
      <c r="J1057" s="1046"/>
      <c r="K1057" s="1047"/>
      <c r="L1057" s="1046"/>
      <c r="M1057" s="1094">
        <f>-6000-24100</f>
        <v>-30100</v>
      </c>
      <c r="N1057" s="989">
        <f>45200+M1057</f>
        <v>15100</v>
      </c>
      <c r="O1057" s="989">
        <v>0</v>
      </c>
      <c r="P1057" s="989">
        <v>15100</v>
      </c>
      <c r="Q1057" s="989">
        <f t="shared" si="111"/>
        <v>15100</v>
      </c>
      <c r="R1057" s="989">
        <f t="shared" si="113"/>
        <v>100</v>
      </c>
      <c r="S1057" s="1011">
        <v>0</v>
      </c>
      <c r="T1057" s="989">
        <f t="shared" si="115"/>
        <v>0</v>
      </c>
      <c r="U1057" s="989">
        <f t="shared" si="112"/>
        <v>15100</v>
      </c>
      <c r="V1057" s="989">
        <f t="shared" si="114"/>
        <v>100</v>
      </c>
      <c r="W1057" s="989"/>
      <c r="X1057" s="989">
        <f t="shared" si="110"/>
        <v>0</v>
      </c>
      <c r="Y1057" s="1012"/>
    </row>
    <row r="1058" spans="1:25" ht="63" customHeight="1">
      <c r="A1058" s="1034">
        <v>940</v>
      </c>
      <c r="B1058" s="1007" t="s">
        <v>3021</v>
      </c>
      <c r="C1058" s="1008"/>
      <c r="D1058" s="1008"/>
      <c r="E1058" s="1027" t="s">
        <v>3022</v>
      </c>
      <c r="F1058" s="1012" t="s">
        <v>576</v>
      </c>
      <c r="G1058" s="989">
        <v>135600</v>
      </c>
      <c r="H1058" s="937"/>
      <c r="I1058" s="1046"/>
      <c r="J1058" s="1046"/>
      <c r="K1058" s="1047"/>
      <c r="L1058" s="1046"/>
      <c r="M1058" s="1094"/>
      <c r="N1058" s="989">
        <v>135600</v>
      </c>
      <c r="O1058" s="989">
        <v>0</v>
      </c>
      <c r="P1058" s="989">
        <v>135600</v>
      </c>
      <c r="Q1058" s="989">
        <f t="shared" si="111"/>
        <v>135600</v>
      </c>
      <c r="R1058" s="989">
        <f t="shared" si="113"/>
        <v>100</v>
      </c>
      <c r="S1058" s="1011">
        <v>0</v>
      </c>
      <c r="T1058" s="989">
        <f t="shared" si="115"/>
        <v>0</v>
      </c>
      <c r="U1058" s="989">
        <f t="shared" si="112"/>
        <v>135600</v>
      </c>
      <c r="V1058" s="989">
        <f t="shared" si="114"/>
        <v>100</v>
      </c>
      <c r="W1058" s="989"/>
      <c r="X1058" s="989">
        <f t="shared" si="110"/>
        <v>0</v>
      </c>
      <c r="Y1058" s="1012"/>
    </row>
    <row r="1059" spans="1:25" ht="63" customHeight="1">
      <c r="A1059" s="1034">
        <v>941</v>
      </c>
      <c r="B1059" s="1007" t="s">
        <v>3023</v>
      </c>
      <c r="C1059" s="1008"/>
      <c r="D1059" s="1008"/>
      <c r="E1059" s="1027" t="s">
        <v>3024</v>
      </c>
      <c r="F1059" s="1012" t="s">
        <v>576</v>
      </c>
      <c r="G1059" s="989">
        <v>104000</v>
      </c>
      <c r="H1059" s="937"/>
      <c r="I1059" s="1046"/>
      <c r="J1059" s="1046"/>
      <c r="K1059" s="1047"/>
      <c r="L1059" s="1046"/>
      <c r="M1059" s="1094"/>
      <c r="N1059" s="989">
        <v>104000</v>
      </c>
      <c r="O1059" s="989">
        <v>0</v>
      </c>
      <c r="P1059" s="989">
        <v>104000</v>
      </c>
      <c r="Q1059" s="989">
        <f t="shared" si="111"/>
        <v>104000</v>
      </c>
      <c r="R1059" s="989">
        <f t="shared" si="113"/>
        <v>100</v>
      </c>
      <c r="S1059" s="1011">
        <v>0</v>
      </c>
      <c r="T1059" s="989">
        <f t="shared" si="115"/>
        <v>0</v>
      </c>
      <c r="U1059" s="989">
        <f t="shared" si="112"/>
        <v>104000</v>
      </c>
      <c r="V1059" s="989">
        <f t="shared" si="114"/>
        <v>100</v>
      </c>
      <c r="W1059" s="989"/>
      <c r="X1059" s="989">
        <f t="shared" si="110"/>
        <v>0</v>
      </c>
      <c r="Y1059" s="1012"/>
    </row>
    <row r="1060" spans="1:25" ht="63" customHeight="1">
      <c r="A1060" s="1034">
        <v>942</v>
      </c>
      <c r="B1060" s="1007" t="s">
        <v>3025</v>
      </c>
      <c r="C1060" s="1008"/>
      <c r="D1060" s="1008"/>
      <c r="E1060" s="1027" t="s">
        <v>3026</v>
      </c>
      <c r="F1060" s="1012" t="s">
        <v>576</v>
      </c>
      <c r="G1060" s="989">
        <v>104000</v>
      </c>
      <c r="H1060" s="937"/>
      <c r="I1060" s="1046"/>
      <c r="J1060" s="1046"/>
      <c r="K1060" s="1047"/>
      <c r="L1060" s="1046"/>
      <c r="M1060" s="1094"/>
      <c r="N1060" s="989">
        <v>104000</v>
      </c>
      <c r="O1060" s="989">
        <v>0</v>
      </c>
      <c r="P1060" s="989">
        <v>104000</v>
      </c>
      <c r="Q1060" s="989">
        <f t="shared" si="111"/>
        <v>104000</v>
      </c>
      <c r="R1060" s="989">
        <f t="shared" si="113"/>
        <v>100</v>
      </c>
      <c r="S1060" s="1011">
        <v>0</v>
      </c>
      <c r="T1060" s="989">
        <f t="shared" si="115"/>
        <v>0</v>
      </c>
      <c r="U1060" s="989">
        <f t="shared" si="112"/>
        <v>104000</v>
      </c>
      <c r="V1060" s="989">
        <f t="shared" si="114"/>
        <v>100</v>
      </c>
      <c r="W1060" s="989"/>
      <c r="X1060" s="989">
        <f t="shared" si="110"/>
        <v>0</v>
      </c>
      <c r="Y1060" s="1012"/>
    </row>
    <row r="1061" spans="1:25" ht="63" customHeight="1">
      <c r="A1061" s="1034">
        <v>943</v>
      </c>
      <c r="B1061" s="1007" t="s">
        <v>3027</v>
      </c>
      <c r="C1061" s="1008"/>
      <c r="D1061" s="1008"/>
      <c r="E1061" s="1027" t="s">
        <v>3028</v>
      </c>
      <c r="F1061" s="1012" t="s">
        <v>576</v>
      </c>
      <c r="G1061" s="989">
        <v>208000</v>
      </c>
      <c r="H1061" s="937"/>
      <c r="I1061" s="1046"/>
      <c r="J1061" s="1046"/>
      <c r="K1061" s="1047">
        <v>-115100</v>
      </c>
      <c r="L1061" s="1046"/>
      <c r="M1061" s="1094"/>
      <c r="N1061" s="989">
        <f>208000+M1061+K1061</f>
        <v>92900</v>
      </c>
      <c r="O1061" s="989">
        <v>0</v>
      </c>
      <c r="P1061" s="989">
        <v>92900</v>
      </c>
      <c r="Q1061" s="989">
        <f t="shared" si="111"/>
        <v>92900</v>
      </c>
      <c r="R1061" s="989">
        <f t="shared" si="113"/>
        <v>100</v>
      </c>
      <c r="S1061" s="1011">
        <v>0</v>
      </c>
      <c r="T1061" s="989">
        <f t="shared" si="115"/>
        <v>0</v>
      </c>
      <c r="U1061" s="989">
        <f t="shared" si="112"/>
        <v>92900</v>
      </c>
      <c r="V1061" s="989">
        <f t="shared" si="114"/>
        <v>100</v>
      </c>
      <c r="W1061" s="989"/>
      <c r="X1061" s="989">
        <f t="shared" si="110"/>
        <v>0</v>
      </c>
      <c r="Y1061" s="1012"/>
    </row>
    <row r="1062" spans="1:25" ht="63" customHeight="1">
      <c r="A1062" s="1034">
        <v>944</v>
      </c>
      <c r="B1062" s="1007" t="s">
        <v>3029</v>
      </c>
      <c r="C1062" s="1008"/>
      <c r="D1062" s="1008"/>
      <c r="E1062" s="1027" t="s">
        <v>3030</v>
      </c>
      <c r="F1062" s="1012" t="s">
        <v>576</v>
      </c>
      <c r="G1062" s="989">
        <v>208000</v>
      </c>
      <c r="H1062" s="937"/>
      <c r="I1062" s="1046"/>
      <c r="J1062" s="1046"/>
      <c r="K1062" s="1047"/>
      <c r="L1062" s="1046"/>
      <c r="M1062" s="1094"/>
      <c r="N1062" s="989">
        <v>208000</v>
      </c>
      <c r="O1062" s="989">
        <v>0</v>
      </c>
      <c r="P1062" s="989">
        <v>208000</v>
      </c>
      <c r="Q1062" s="989">
        <f t="shared" si="111"/>
        <v>208000</v>
      </c>
      <c r="R1062" s="989">
        <f t="shared" si="113"/>
        <v>100</v>
      </c>
      <c r="S1062" s="1011">
        <v>0</v>
      </c>
      <c r="T1062" s="989">
        <f t="shared" si="115"/>
        <v>0</v>
      </c>
      <c r="U1062" s="989">
        <f t="shared" si="112"/>
        <v>208000</v>
      </c>
      <c r="V1062" s="989">
        <f t="shared" si="114"/>
        <v>100</v>
      </c>
      <c r="W1062" s="989"/>
      <c r="X1062" s="989">
        <f t="shared" si="110"/>
        <v>0</v>
      </c>
      <c r="Y1062" s="1012"/>
    </row>
    <row r="1063" spans="1:25" ht="63" customHeight="1">
      <c r="A1063" s="1034">
        <v>945</v>
      </c>
      <c r="B1063" s="1007" t="s">
        <v>3031</v>
      </c>
      <c r="C1063" s="1008"/>
      <c r="D1063" s="1008"/>
      <c r="E1063" s="1027" t="s">
        <v>3032</v>
      </c>
      <c r="F1063" s="1012" t="s">
        <v>576</v>
      </c>
      <c r="G1063" s="989">
        <v>208000</v>
      </c>
      <c r="H1063" s="937"/>
      <c r="I1063" s="1046"/>
      <c r="J1063" s="1046"/>
      <c r="K1063" s="1047"/>
      <c r="L1063" s="1046"/>
      <c r="M1063" s="1094"/>
      <c r="N1063" s="989">
        <v>208000</v>
      </c>
      <c r="O1063" s="989">
        <v>0</v>
      </c>
      <c r="P1063" s="989">
        <v>208000</v>
      </c>
      <c r="Q1063" s="989">
        <f t="shared" si="111"/>
        <v>208000</v>
      </c>
      <c r="R1063" s="989">
        <f t="shared" si="113"/>
        <v>100</v>
      </c>
      <c r="S1063" s="1011">
        <v>0</v>
      </c>
      <c r="T1063" s="989">
        <f t="shared" si="115"/>
        <v>0</v>
      </c>
      <c r="U1063" s="989">
        <f t="shared" si="112"/>
        <v>208000</v>
      </c>
      <c r="V1063" s="989">
        <f t="shared" si="114"/>
        <v>100</v>
      </c>
      <c r="W1063" s="989"/>
      <c r="X1063" s="989">
        <f t="shared" si="110"/>
        <v>0</v>
      </c>
      <c r="Y1063" s="1012"/>
    </row>
    <row r="1064" spans="1:25" ht="63" customHeight="1">
      <c r="A1064" s="1034">
        <v>946</v>
      </c>
      <c r="B1064" s="1007" t="s">
        <v>3033</v>
      </c>
      <c r="C1064" s="1008"/>
      <c r="D1064" s="1008"/>
      <c r="E1064" s="1027" t="s">
        <v>4357</v>
      </c>
      <c r="F1064" s="1012" t="s">
        <v>1185</v>
      </c>
      <c r="G1064" s="989">
        <v>104000</v>
      </c>
      <c r="H1064" s="937"/>
      <c r="I1064" s="1046"/>
      <c r="J1064" s="1046"/>
      <c r="K1064" s="1047">
        <v>-9000</v>
      </c>
      <c r="L1064" s="1046"/>
      <c r="M1064" s="1094">
        <v>-10000</v>
      </c>
      <c r="N1064" s="989">
        <f>104000+M1064+K1064</f>
        <v>85000</v>
      </c>
      <c r="O1064" s="989">
        <v>0</v>
      </c>
      <c r="P1064" s="989">
        <v>85000</v>
      </c>
      <c r="Q1064" s="989">
        <f t="shared" si="111"/>
        <v>85000</v>
      </c>
      <c r="R1064" s="989">
        <f t="shared" si="113"/>
        <v>100</v>
      </c>
      <c r="S1064" s="1011">
        <v>0</v>
      </c>
      <c r="T1064" s="989">
        <f t="shared" si="115"/>
        <v>0</v>
      </c>
      <c r="U1064" s="989">
        <f t="shared" si="112"/>
        <v>85000</v>
      </c>
      <c r="V1064" s="989">
        <f t="shared" si="114"/>
        <v>100</v>
      </c>
      <c r="W1064" s="989"/>
      <c r="X1064" s="989">
        <f t="shared" si="110"/>
        <v>0</v>
      </c>
      <c r="Y1064" s="1012"/>
    </row>
    <row r="1065" spans="1:25" ht="63" customHeight="1">
      <c r="A1065" s="1034">
        <v>947</v>
      </c>
      <c r="B1065" s="1007" t="s">
        <v>3034</v>
      </c>
      <c r="C1065" s="1008"/>
      <c r="D1065" s="1008"/>
      <c r="E1065" s="1027" t="s">
        <v>3035</v>
      </c>
      <c r="F1065" s="1012" t="s">
        <v>1185</v>
      </c>
      <c r="G1065" s="989">
        <v>104000</v>
      </c>
      <c r="H1065" s="937"/>
      <c r="I1065" s="1046"/>
      <c r="J1065" s="1046"/>
      <c r="K1065" s="1047"/>
      <c r="L1065" s="1046"/>
      <c r="M1065" s="1094">
        <f>-22900-10276.76</f>
        <v>-33176.76</v>
      </c>
      <c r="N1065" s="989">
        <f>104000+M1065</f>
        <v>70823.239999999991</v>
      </c>
      <c r="O1065" s="989">
        <v>0</v>
      </c>
      <c r="P1065" s="989">
        <v>70823.240000000005</v>
      </c>
      <c r="Q1065" s="989">
        <f t="shared" si="111"/>
        <v>70823.240000000005</v>
      </c>
      <c r="R1065" s="989">
        <f t="shared" si="113"/>
        <v>100.00000000000003</v>
      </c>
      <c r="S1065" s="1011">
        <v>0</v>
      </c>
      <c r="T1065" s="989">
        <f t="shared" si="115"/>
        <v>0</v>
      </c>
      <c r="U1065" s="989">
        <f t="shared" si="112"/>
        <v>70823.240000000005</v>
      </c>
      <c r="V1065" s="989">
        <f t="shared" si="114"/>
        <v>100.00000000000003</v>
      </c>
      <c r="W1065" s="989"/>
      <c r="X1065" s="989">
        <f t="shared" si="110"/>
        <v>0</v>
      </c>
      <c r="Y1065" s="1012"/>
    </row>
    <row r="1066" spans="1:25" ht="63" customHeight="1">
      <c r="A1066" s="1034">
        <v>948</v>
      </c>
      <c r="B1066" s="1007" t="s">
        <v>3036</v>
      </c>
      <c r="C1066" s="1008"/>
      <c r="D1066" s="1008"/>
      <c r="E1066" s="1027" t="s">
        <v>3037</v>
      </c>
      <c r="F1066" s="1012" t="s">
        <v>1185</v>
      </c>
      <c r="G1066" s="989">
        <v>104000</v>
      </c>
      <c r="H1066" s="937"/>
      <c r="I1066" s="1046"/>
      <c r="J1066" s="1046"/>
      <c r="K1066" s="1047"/>
      <c r="L1066" s="1046"/>
      <c r="M1066" s="1094"/>
      <c r="N1066" s="989">
        <v>104000</v>
      </c>
      <c r="O1066" s="989">
        <v>0</v>
      </c>
      <c r="P1066" s="989">
        <v>104000</v>
      </c>
      <c r="Q1066" s="989">
        <f t="shared" si="111"/>
        <v>104000</v>
      </c>
      <c r="R1066" s="989">
        <f t="shared" si="113"/>
        <v>100</v>
      </c>
      <c r="S1066" s="1011">
        <v>0</v>
      </c>
      <c r="T1066" s="989">
        <f t="shared" si="115"/>
        <v>0</v>
      </c>
      <c r="U1066" s="989">
        <f t="shared" si="112"/>
        <v>104000</v>
      </c>
      <c r="V1066" s="989">
        <f t="shared" si="114"/>
        <v>100</v>
      </c>
      <c r="W1066" s="989"/>
      <c r="X1066" s="989">
        <f t="shared" si="110"/>
        <v>0</v>
      </c>
      <c r="Y1066" s="1012"/>
    </row>
    <row r="1067" spans="1:25" ht="63" customHeight="1">
      <c r="A1067" s="1034">
        <v>949</v>
      </c>
      <c r="B1067" s="1007" t="s">
        <v>3038</v>
      </c>
      <c r="C1067" s="1008"/>
      <c r="D1067" s="1008"/>
      <c r="E1067" s="1027" t="s">
        <v>4358</v>
      </c>
      <c r="F1067" s="1012" t="s">
        <v>1185</v>
      </c>
      <c r="G1067" s="989">
        <v>104000</v>
      </c>
      <c r="H1067" s="937"/>
      <c r="I1067" s="1046"/>
      <c r="J1067" s="1046"/>
      <c r="K1067" s="1047">
        <v>-9000</v>
      </c>
      <c r="L1067" s="1046"/>
      <c r="M1067" s="1094">
        <v>-9915.91</v>
      </c>
      <c r="N1067" s="989">
        <f>104000+M1067+K1067</f>
        <v>85084.09</v>
      </c>
      <c r="O1067" s="989">
        <v>0</v>
      </c>
      <c r="P1067" s="989">
        <v>85084.09</v>
      </c>
      <c r="Q1067" s="989">
        <f t="shared" si="111"/>
        <v>85084.09</v>
      </c>
      <c r="R1067" s="989">
        <f t="shared" si="113"/>
        <v>100</v>
      </c>
      <c r="S1067" s="1011">
        <v>0</v>
      </c>
      <c r="T1067" s="989">
        <f t="shared" si="115"/>
        <v>0</v>
      </c>
      <c r="U1067" s="989">
        <f t="shared" si="112"/>
        <v>85084.09</v>
      </c>
      <c r="V1067" s="989">
        <f t="shared" si="114"/>
        <v>100</v>
      </c>
      <c r="W1067" s="989"/>
      <c r="X1067" s="989">
        <f t="shared" si="110"/>
        <v>0</v>
      </c>
      <c r="Y1067" s="1012"/>
    </row>
    <row r="1068" spans="1:25" ht="63" customHeight="1">
      <c r="A1068" s="1034">
        <v>950</v>
      </c>
      <c r="B1068" s="1007" t="s">
        <v>3039</v>
      </c>
      <c r="C1068" s="1008"/>
      <c r="D1068" s="1008"/>
      <c r="E1068" s="1027" t="s">
        <v>3040</v>
      </c>
      <c r="F1068" s="1012" t="s">
        <v>545</v>
      </c>
      <c r="G1068" s="989">
        <v>45200</v>
      </c>
      <c r="H1068" s="937"/>
      <c r="I1068" s="1046"/>
      <c r="J1068" s="1046"/>
      <c r="K1068" s="1047"/>
      <c r="L1068" s="1046"/>
      <c r="M1068" s="1094">
        <v>-21834</v>
      </c>
      <c r="N1068" s="989">
        <f>45200+M1068</f>
        <v>23366</v>
      </c>
      <c r="O1068" s="989">
        <v>0</v>
      </c>
      <c r="P1068" s="989">
        <v>23366</v>
      </c>
      <c r="Q1068" s="989">
        <f t="shared" si="111"/>
        <v>23366</v>
      </c>
      <c r="R1068" s="989">
        <f t="shared" si="113"/>
        <v>100</v>
      </c>
      <c r="S1068" s="1011">
        <v>0</v>
      </c>
      <c r="T1068" s="989">
        <f t="shared" si="115"/>
        <v>0</v>
      </c>
      <c r="U1068" s="989">
        <f t="shared" si="112"/>
        <v>23366</v>
      </c>
      <c r="V1068" s="989">
        <f t="shared" si="114"/>
        <v>100</v>
      </c>
      <c r="W1068" s="989"/>
      <c r="X1068" s="989">
        <f t="shared" si="110"/>
        <v>0</v>
      </c>
      <c r="Y1068" s="1012"/>
    </row>
    <row r="1069" spans="1:25" ht="63" customHeight="1">
      <c r="A1069" s="1034">
        <v>951</v>
      </c>
      <c r="B1069" s="1007" t="s">
        <v>4553</v>
      </c>
      <c r="C1069" s="1008"/>
      <c r="D1069" s="1008"/>
      <c r="E1069" s="1027" t="s">
        <v>4418</v>
      </c>
      <c r="F1069" s="1012" t="s">
        <v>545</v>
      </c>
      <c r="G1069" s="989">
        <v>0</v>
      </c>
      <c r="H1069" s="937"/>
      <c r="I1069" s="1046"/>
      <c r="J1069" s="1046"/>
      <c r="K1069" s="1047"/>
      <c r="L1069" s="1046"/>
      <c r="M1069" s="1094"/>
      <c r="N1069" s="989">
        <v>0</v>
      </c>
      <c r="O1069" s="989">
        <v>0</v>
      </c>
      <c r="P1069" s="989"/>
      <c r="Q1069" s="989">
        <f t="shared" si="111"/>
        <v>0</v>
      </c>
      <c r="R1069" s="989" t="e">
        <f t="shared" si="113"/>
        <v>#DIV/0!</v>
      </c>
      <c r="S1069" s="1011"/>
      <c r="T1069" s="989">
        <v>0</v>
      </c>
      <c r="U1069" s="989">
        <f t="shared" si="112"/>
        <v>0</v>
      </c>
      <c r="V1069" s="989">
        <v>0</v>
      </c>
      <c r="W1069" s="989"/>
      <c r="X1069" s="989">
        <f t="shared" si="110"/>
        <v>0</v>
      </c>
      <c r="Y1069" s="1012"/>
    </row>
    <row r="1070" spans="1:25" ht="63" customHeight="1">
      <c r="A1070" s="1034">
        <v>952</v>
      </c>
      <c r="B1070" s="1007" t="s">
        <v>3041</v>
      </c>
      <c r="C1070" s="1008"/>
      <c r="D1070" s="1008"/>
      <c r="E1070" s="1027" t="s">
        <v>3042</v>
      </c>
      <c r="F1070" s="1012" t="s">
        <v>545</v>
      </c>
      <c r="G1070" s="989">
        <v>45200</v>
      </c>
      <c r="H1070" s="937"/>
      <c r="I1070" s="1046"/>
      <c r="J1070" s="1046"/>
      <c r="K1070" s="1047"/>
      <c r="L1070" s="1046"/>
      <c r="M1070" s="1094">
        <v>-12595.94</v>
      </c>
      <c r="N1070" s="989">
        <f>45200+M1070</f>
        <v>32604.059999999998</v>
      </c>
      <c r="O1070" s="989">
        <v>32604.06</v>
      </c>
      <c r="P1070" s="989">
        <v>0</v>
      </c>
      <c r="Q1070" s="989">
        <f t="shared" si="111"/>
        <v>32604.06</v>
      </c>
      <c r="R1070" s="989">
        <f t="shared" si="113"/>
        <v>100.00000000000003</v>
      </c>
      <c r="S1070" s="1011">
        <v>0</v>
      </c>
      <c r="T1070" s="989">
        <f t="shared" si="115"/>
        <v>0</v>
      </c>
      <c r="U1070" s="989">
        <f t="shared" si="112"/>
        <v>32604.06</v>
      </c>
      <c r="V1070" s="989">
        <f t="shared" si="114"/>
        <v>100.00000000000003</v>
      </c>
      <c r="W1070" s="989"/>
      <c r="X1070" s="989">
        <f t="shared" si="110"/>
        <v>0</v>
      </c>
      <c r="Y1070" s="1012"/>
    </row>
    <row r="1071" spans="1:25" ht="63" customHeight="1">
      <c r="A1071" s="1034">
        <v>953</v>
      </c>
      <c r="B1071" s="1007" t="s">
        <v>3043</v>
      </c>
      <c r="C1071" s="1008"/>
      <c r="D1071" s="1008"/>
      <c r="E1071" s="1027" t="s">
        <v>3044</v>
      </c>
      <c r="F1071" s="1012" t="s">
        <v>545</v>
      </c>
      <c r="G1071" s="989">
        <v>104000</v>
      </c>
      <c r="H1071" s="937"/>
      <c r="I1071" s="1046"/>
      <c r="J1071" s="1046"/>
      <c r="K1071" s="1047"/>
      <c r="L1071" s="1046"/>
      <c r="M1071" s="1094">
        <v>-6640</v>
      </c>
      <c r="N1071" s="989">
        <f>104000+M1071</f>
        <v>97360</v>
      </c>
      <c r="O1071" s="989">
        <v>0</v>
      </c>
      <c r="P1071" s="989">
        <v>97360</v>
      </c>
      <c r="Q1071" s="989">
        <f t="shared" si="111"/>
        <v>97360</v>
      </c>
      <c r="R1071" s="989">
        <f t="shared" si="113"/>
        <v>100</v>
      </c>
      <c r="S1071" s="1011">
        <v>0</v>
      </c>
      <c r="T1071" s="989">
        <f t="shared" si="115"/>
        <v>0</v>
      </c>
      <c r="U1071" s="989">
        <f t="shared" si="112"/>
        <v>97360</v>
      </c>
      <c r="V1071" s="989">
        <f t="shared" si="114"/>
        <v>100</v>
      </c>
      <c r="W1071" s="989"/>
      <c r="X1071" s="989">
        <f t="shared" si="110"/>
        <v>0</v>
      </c>
      <c r="Y1071" s="1012"/>
    </row>
    <row r="1072" spans="1:25" ht="63" customHeight="1">
      <c r="A1072" s="1034">
        <v>954</v>
      </c>
      <c r="B1072" s="1007" t="s">
        <v>4554</v>
      </c>
      <c r="C1072" s="1008"/>
      <c r="D1072" s="1008"/>
      <c r="E1072" s="1027" t="s">
        <v>4419</v>
      </c>
      <c r="F1072" s="1012" t="s">
        <v>545</v>
      </c>
      <c r="G1072" s="989">
        <v>0</v>
      </c>
      <c r="H1072" s="937"/>
      <c r="I1072" s="1046"/>
      <c r="J1072" s="1046"/>
      <c r="K1072" s="1047"/>
      <c r="L1072" s="1046"/>
      <c r="M1072" s="1094"/>
      <c r="N1072" s="989">
        <v>0</v>
      </c>
      <c r="O1072" s="989">
        <v>0</v>
      </c>
      <c r="P1072" s="989"/>
      <c r="Q1072" s="989">
        <f t="shared" si="111"/>
        <v>0</v>
      </c>
      <c r="R1072" s="989" t="e">
        <f t="shared" si="113"/>
        <v>#DIV/0!</v>
      </c>
      <c r="S1072" s="1011"/>
      <c r="T1072" s="989">
        <v>0</v>
      </c>
      <c r="U1072" s="989">
        <f t="shared" si="112"/>
        <v>0</v>
      </c>
      <c r="V1072" s="989">
        <v>0</v>
      </c>
      <c r="W1072" s="989"/>
      <c r="X1072" s="989">
        <f t="shared" si="110"/>
        <v>0</v>
      </c>
      <c r="Y1072" s="1012"/>
    </row>
    <row r="1073" spans="1:39" s="969" customFormat="1" ht="63" customHeight="1">
      <c r="A1073" s="1034">
        <v>955</v>
      </c>
      <c r="B1073" s="1007" t="s">
        <v>3045</v>
      </c>
      <c r="C1073" s="1008"/>
      <c r="D1073" s="1008"/>
      <c r="E1073" s="1027" t="s">
        <v>4359</v>
      </c>
      <c r="F1073" s="1012" t="s">
        <v>545</v>
      </c>
      <c r="G1073" s="989">
        <v>104000</v>
      </c>
      <c r="H1073" s="937"/>
      <c r="I1073" s="1046"/>
      <c r="J1073" s="1046"/>
      <c r="K1073" s="1047"/>
      <c r="L1073" s="1046"/>
      <c r="M1073" s="1094"/>
      <c r="N1073" s="989">
        <v>104000</v>
      </c>
      <c r="O1073" s="989">
        <v>0</v>
      </c>
      <c r="P1073" s="989">
        <v>104000</v>
      </c>
      <c r="Q1073" s="989">
        <f t="shared" si="111"/>
        <v>104000</v>
      </c>
      <c r="R1073" s="989">
        <f t="shared" si="113"/>
        <v>100</v>
      </c>
      <c r="S1073" s="1011">
        <v>0</v>
      </c>
      <c r="T1073" s="989">
        <f t="shared" si="115"/>
        <v>0</v>
      </c>
      <c r="U1073" s="989">
        <f t="shared" si="112"/>
        <v>104000</v>
      </c>
      <c r="V1073" s="989">
        <f t="shared" si="114"/>
        <v>100</v>
      </c>
      <c r="W1073" s="989"/>
      <c r="X1073" s="989">
        <f t="shared" si="110"/>
        <v>0</v>
      </c>
      <c r="Y1073" s="1012"/>
      <c r="Z1073" s="941"/>
      <c r="AA1073" s="941"/>
      <c r="AB1073" s="941"/>
      <c r="AC1073" s="941"/>
      <c r="AD1073" s="941"/>
      <c r="AE1073" s="941"/>
      <c r="AF1073" s="941"/>
      <c r="AG1073" s="941"/>
      <c r="AH1073" s="941"/>
      <c r="AI1073" s="941"/>
      <c r="AJ1073" s="941"/>
      <c r="AK1073" s="941"/>
      <c r="AL1073" s="941"/>
      <c r="AM1073" s="941"/>
    </row>
    <row r="1074" spans="1:39" s="969" customFormat="1" ht="63" customHeight="1">
      <c r="A1074" s="1034">
        <v>956</v>
      </c>
      <c r="B1074" s="1007" t="s">
        <v>3046</v>
      </c>
      <c r="C1074" s="1008"/>
      <c r="D1074" s="1008"/>
      <c r="E1074" s="1027" t="s">
        <v>3047</v>
      </c>
      <c r="F1074" s="1012" t="s">
        <v>545</v>
      </c>
      <c r="G1074" s="989">
        <v>104000</v>
      </c>
      <c r="H1074" s="937"/>
      <c r="I1074" s="1046"/>
      <c r="J1074" s="1046"/>
      <c r="K1074" s="1047"/>
      <c r="L1074" s="1046"/>
      <c r="M1074" s="1094">
        <v>-29.11</v>
      </c>
      <c r="N1074" s="989">
        <f>104000+M1074</f>
        <v>103970.89</v>
      </c>
      <c r="O1074" s="989">
        <v>0</v>
      </c>
      <c r="P1074" s="989">
        <v>103970.89</v>
      </c>
      <c r="Q1074" s="989">
        <f t="shared" si="111"/>
        <v>103970.89</v>
      </c>
      <c r="R1074" s="989">
        <f t="shared" si="113"/>
        <v>100</v>
      </c>
      <c r="S1074" s="1011">
        <v>0</v>
      </c>
      <c r="T1074" s="989">
        <f t="shared" si="115"/>
        <v>0</v>
      </c>
      <c r="U1074" s="989">
        <f t="shared" si="112"/>
        <v>103970.89</v>
      </c>
      <c r="V1074" s="989">
        <f t="shared" si="114"/>
        <v>100</v>
      </c>
      <c r="W1074" s="989"/>
      <c r="X1074" s="989">
        <f t="shared" si="110"/>
        <v>0</v>
      </c>
      <c r="Y1074" s="1012"/>
      <c r="Z1074" s="941"/>
      <c r="AA1074" s="941"/>
      <c r="AB1074" s="941"/>
      <c r="AC1074" s="941"/>
      <c r="AD1074" s="941"/>
      <c r="AE1074" s="941"/>
      <c r="AF1074" s="941"/>
      <c r="AG1074" s="941"/>
      <c r="AH1074" s="941"/>
      <c r="AI1074" s="941"/>
      <c r="AJ1074" s="941"/>
      <c r="AK1074" s="941"/>
      <c r="AL1074" s="941"/>
      <c r="AM1074" s="941"/>
    </row>
    <row r="1075" spans="1:39" s="969" customFormat="1" ht="63" customHeight="1">
      <c r="A1075" s="1034">
        <v>957</v>
      </c>
      <c r="B1075" s="1007" t="s">
        <v>3046</v>
      </c>
      <c r="C1075" s="1008"/>
      <c r="D1075" s="1008"/>
      <c r="E1075" s="1027" t="s">
        <v>4360</v>
      </c>
      <c r="F1075" s="1012" t="s">
        <v>545</v>
      </c>
      <c r="G1075" s="989">
        <v>416000</v>
      </c>
      <c r="H1075" s="937"/>
      <c r="I1075" s="1046"/>
      <c r="J1075" s="1046"/>
      <c r="K1075" s="1047"/>
      <c r="L1075" s="1046"/>
      <c r="M1075" s="1094">
        <f>-47228.78-306.62</f>
        <v>-47535.4</v>
      </c>
      <c r="N1075" s="989">
        <f>416000+M1075</f>
        <v>368464.6</v>
      </c>
      <c r="O1075" s="989">
        <v>165178.70000000001</v>
      </c>
      <c r="P1075" s="989">
        <v>203285.9</v>
      </c>
      <c r="Q1075" s="989">
        <f t="shared" si="111"/>
        <v>368464.6</v>
      </c>
      <c r="R1075" s="989">
        <f t="shared" si="113"/>
        <v>100</v>
      </c>
      <c r="S1075" s="1011">
        <v>0</v>
      </c>
      <c r="T1075" s="989">
        <f t="shared" si="115"/>
        <v>0</v>
      </c>
      <c r="U1075" s="989">
        <f t="shared" si="112"/>
        <v>368464.6</v>
      </c>
      <c r="V1075" s="989">
        <f t="shared" si="114"/>
        <v>100</v>
      </c>
      <c r="W1075" s="989"/>
      <c r="X1075" s="989">
        <f t="shared" si="110"/>
        <v>0</v>
      </c>
      <c r="Y1075" s="1012"/>
      <c r="Z1075" s="941"/>
      <c r="AA1075" s="941"/>
      <c r="AB1075" s="941"/>
      <c r="AC1075" s="941"/>
      <c r="AD1075" s="941"/>
      <c r="AE1075" s="941"/>
      <c r="AF1075" s="941"/>
      <c r="AG1075" s="941"/>
      <c r="AH1075" s="941"/>
      <c r="AI1075" s="941"/>
      <c r="AJ1075" s="941"/>
      <c r="AK1075" s="941"/>
      <c r="AL1075" s="941"/>
      <c r="AM1075" s="941"/>
    </row>
    <row r="1076" spans="1:39" s="969" customFormat="1" ht="63" customHeight="1">
      <c r="A1076" s="1034">
        <v>958</v>
      </c>
      <c r="B1076" s="1007" t="s">
        <v>3048</v>
      </c>
      <c r="C1076" s="1008"/>
      <c r="D1076" s="1008"/>
      <c r="E1076" s="1027" t="s">
        <v>3049</v>
      </c>
      <c r="F1076" s="1012" t="s">
        <v>556</v>
      </c>
      <c r="G1076" s="989">
        <v>316400</v>
      </c>
      <c r="H1076" s="937"/>
      <c r="I1076" s="1046"/>
      <c r="J1076" s="1046"/>
      <c r="K1076" s="1047">
        <v>-36000</v>
      </c>
      <c r="L1076" s="1046"/>
      <c r="M1076" s="1094">
        <v>-18000</v>
      </c>
      <c r="N1076" s="989">
        <f>316400+M1076+K1076</f>
        <v>262400</v>
      </c>
      <c r="O1076" s="989">
        <v>0</v>
      </c>
      <c r="P1076" s="989">
        <v>262400</v>
      </c>
      <c r="Q1076" s="989">
        <f t="shared" si="111"/>
        <v>262400</v>
      </c>
      <c r="R1076" s="989">
        <f t="shared" si="113"/>
        <v>100</v>
      </c>
      <c r="S1076" s="1011">
        <v>0</v>
      </c>
      <c r="T1076" s="989">
        <f t="shared" si="115"/>
        <v>0</v>
      </c>
      <c r="U1076" s="989">
        <f t="shared" si="112"/>
        <v>262400</v>
      </c>
      <c r="V1076" s="989">
        <f t="shared" si="114"/>
        <v>100</v>
      </c>
      <c r="W1076" s="989"/>
      <c r="X1076" s="989">
        <f t="shared" si="110"/>
        <v>0</v>
      </c>
      <c r="Y1076" s="1012"/>
      <c r="Z1076" s="941"/>
      <c r="AA1076" s="941"/>
      <c r="AB1076" s="941"/>
      <c r="AC1076" s="941"/>
      <c r="AD1076" s="941"/>
      <c r="AE1076" s="941"/>
      <c r="AF1076" s="941"/>
      <c r="AG1076" s="941"/>
      <c r="AH1076" s="941"/>
      <c r="AI1076" s="941"/>
      <c r="AJ1076" s="941"/>
      <c r="AK1076" s="941"/>
      <c r="AL1076" s="941"/>
      <c r="AM1076" s="941"/>
    </row>
    <row r="1077" spans="1:39" s="969" customFormat="1" ht="63" customHeight="1">
      <c r="A1077" s="1034">
        <v>959</v>
      </c>
      <c r="B1077" s="1007" t="s">
        <v>3050</v>
      </c>
      <c r="C1077" s="1008"/>
      <c r="D1077" s="1008"/>
      <c r="E1077" s="1027" t="s">
        <v>3051</v>
      </c>
      <c r="F1077" s="1012" t="s">
        <v>565</v>
      </c>
      <c r="G1077" s="989">
        <v>90400</v>
      </c>
      <c r="H1077" s="937"/>
      <c r="I1077" s="1046"/>
      <c r="J1077" s="1046"/>
      <c r="K1077" s="1047">
        <v>-51200</v>
      </c>
      <c r="L1077" s="1046"/>
      <c r="M1077" s="1094"/>
      <c r="N1077" s="989">
        <f>G1077+K1077+M1077</f>
        <v>39200</v>
      </c>
      <c r="O1077" s="989">
        <v>0</v>
      </c>
      <c r="P1077" s="989">
        <v>39200</v>
      </c>
      <c r="Q1077" s="989">
        <f t="shared" si="111"/>
        <v>39200</v>
      </c>
      <c r="R1077" s="989">
        <f t="shared" si="113"/>
        <v>100</v>
      </c>
      <c r="S1077" s="1011">
        <v>0</v>
      </c>
      <c r="T1077" s="989">
        <f t="shared" si="115"/>
        <v>0</v>
      </c>
      <c r="U1077" s="989">
        <f t="shared" si="112"/>
        <v>39200</v>
      </c>
      <c r="V1077" s="989">
        <f t="shared" si="114"/>
        <v>100</v>
      </c>
      <c r="W1077" s="989"/>
      <c r="X1077" s="989">
        <f t="shared" ref="X1077:X1140" si="116">N1077-U1077</f>
        <v>0</v>
      </c>
      <c r="Y1077" s="1012"/>
      <c r="Z1077" s="941"/>
      <c r="AA1077" s="941"/>
      <c r="AB1077" s="941"/>
      <c r="AC1077" s="941"/>
      <c r="AD1077" s="941"/>
      <c r="AE1077" s="941"/>
      <c r="AF1077" s="941"/>
      <c r="AG1077" s="941"/>
      <c r="AH1077" s="941"/>
      <c r="AI1077" s="941"/>
      <c r="AJ1077" s="941"/>
      <c r="AK1077" s="941"/>
      <c r="AL1077" s="941"/>
      <c r="AM1077" s="941"/>
    </row>
    <row r="1078" spans="1:39" s="969" customFormat="1" ht="63" customHeight="1">
      <c r="A1078" s="1034">
        <v>960</v>
      </c>
      <c r="B1078" s="1007" t="s">
        <v>3050</v>
      </c>
      <c r="C1078" s="1008"/>
      <c r="D1078" s="1008"/>
      <c r="E1078" s="1027" t="s">
        <v>3052</v>
      </c>
      <c r="F1078" s="1012" t="s">
        <v>565</v>
      </c>
      <c r="G1078" s="989">
        <v>45200</v>
      </c>
      <c r="H1078" s="937"/>
      <c r="I1078" s="1046"/>
      <c r="J1078" s="1046"/>
      <c r="K1078" s="1047"/>
      <c r="L1078" s="1046"/>
      <c r="M1078" s="1094"/>
      <c r="N1078" s="989">
        <v>45200</v>
      </c>
      <c r="O1078" s="989">
        <v>0</v>
      </c>
      <c r="P1078" s="989">
        <v>45200</v>
      </c>
      <c r="Q1078" s="989">
        <f t="shared" si="111"/>
        <v>45200</v>
      </c>
      <c r="R1078" s="989">
        <f t="shared" si="113"/>
        <v>100</v>
      </c>
      <c r="S1078" s="1011">
        <v>0</v>
      </c>
      <c r="T1078" s="989">
        <f t="shared" si="115"/>
        <v>0</v>
      </c>
      <c r="U1078" s="989">
        <f t="shared" si="112"/>
        <v>45200</v>
      </c>
      <c r="V1078" s="989">
        <f t="shared" si="114"/>
        <v>100</v>
      </c>
      <c r="W1078" s="989"/>
      <c r="X1078" s="989">
        <f t="shared" si="116"/>
        <v>0</v>
      </c>
      <c r="Y1078" s="1012"/>
      <c r="Z1078" s="941"/>
      <c r="AA1078" s="941"/>
      <c r="AB1078" s="941"/>
      <c r="AC1078" s="941"/>
      <c r="AD1078" s="941"/>
      <c r="AE1078" s="941"/>
      <c r="AF1078" s="941"/>
      <c r="AG1078" s="941"/>
      <c r="AH1078" s="941"/>
      <c r="AI1078" s="941"/>
      <c r="AJ1078" s="941"/>
      <c r="AK1078" s="941"/>
      <c r="AL1078" s="941"/>
      <c r="AM1078" s="941"/>
    </row>
    <row r="1079" spans="1:39" s="969" customFormat="1" ht="63" customHeight="1">
      <c r="A1079" s="1034">
        <v>961</v>
      </c>
      <c r="B1079" s="1007" t="s">
        <v>3053</v>
      </c>
      <c r="C1079" s="1008"/>
      <c r="D1079" s="1008"/>
      <c r="E1079" s="1027" t="s">
        <v>3054</v>
      </c>
      <c r="F1079" s="1012" t="s">
        <v>343</v>
      </c>
      <c r="G1079" s="989">
        <v>45200</v>
      </c>
      <c r="H1079" s="937"/>
      <c r="I1079" s="1046"/>
      <c r="J1079" s="1046"/>
      <c r="K1079" s="1047"/>
      <c r="L1079" s="1046"/>
      <c r="M1079" s="1094"/>
      <c r="N1079" s="989">
        <v>45200</v>
      </c>
      <c r="O1079" s="989">
        <v>0</v>
      </c>
      <c r="P1079" s="989">
        <v>45200</v>
      </c>
      <c r="Q1079" s="989">
        <f t="shared" ref="Q1079:Q1142" si="117">P1079+O1079</f>
        <v>45200</v>
      </c>
      <c r="R1079" s="989">
        <f t="shared" si="113"/>
        <v>100</v>
      </c>
      <c r="S1079" s="1011">
        <v>0</v>
      </c>
      <c r="T1079" s="989">
        <f t="shared" si="115"/>
        <v>0</v>
      </c>
      <c r="U1079" s="989">
        <f t="shared" ref="U1079:U1142" si="118">S1079+Q1079</f>
        <v>45200</v>
      </c>
      <c r="V1079" s="989">
        <f t="shared" si="114"/>
        <v>100</v>
      </c>
      <c r="W1079" s="989"/>
      <c r="X1079" s="989">
        <f t="shared" si="116"/>
        <v>0</v>
      </c>
      <c r="Y1079" s="1012"/>
      <c r="Z1079" s="941"/>
      <c r="AA1079" s="941"/>
      <c r="AB1079" s="941"/>
      <c r="AC1079" s="941"/>
      <c r="AD1079" s="941"/>
      <c r="AE1079" s="941"/>
      <c r="AF1079" s="941"/>
      <c r="AG1079" s="941"/>
      <c r="AH1079" s="941"/>
      <c r="AI1079" s="941"/>
      <c r="AJ1079" s="941"/>
      <c r="AK1079" s="941"/>
      <c r="AL1079" s="941"/>
      <c r="AM1079" s="941"/>
    </row>
    <row r="1080" spans="1:39" s="969" customFormat="1" ht="63" customHeight="1">
      <c r="A1080" s="1034">
        <v>962</v>
      </c>
      <c r="B1080" s="1007" t="s">
        <v>3055</v>
      </c>
      <c r="C1080" s="1008"/>
      <c r="D1080" s="1008"/>
      <c r="E1080" s="1027" t="s">
        <v>3056</v>
      </c>
      <c r="F1080" s="1012" t="s">
        <v>1188</v>
      </c>
      <c r="G1080" s="989">
        <v>45200</v>
      </c>
      <c r="H1080" s="937"/>
      <c r="I1080" s="1046"/>
      <c r="J1080" s="1046"/>
      <c r="K1080" s="1047"/>
      <c r="L1080" s="1046"/>
      <c r="M1080" s="1094"/>
      <c r="N1080" s="989">
        <v>45200</v>
      </c>
      <c r="O1080" s="989">
        <v>0</v>
      </c>
      <c r="P1080" s="989">
        <v>45200</v>
      </c>
      <c r="Q1080" s="989">
        <f t="shared" si="117"/>
        <v>45200</v>
      </c>
      <c r="R1080" s="989">
        <f t="shared" ref="R1080:R1143" si="119">Q1080/N1080*100</f>
        <v>100</v>
      </c>
      <c r="S1080" s="1011">
        <v>0</v>
      </c>
      <c r="T1080" s="989">
        <f t="shared" si="115"/>
        <v>0</v>
      </c>
      <c r="U1080" s="989">
        <f t="shared" si="118"/>
        <v>45200</v>
      </c>
      <c r="V1080" s="989">
        <f t="shared" ref="V1080:V1143" si="120">U1080/N1080*100</f>
        <v>100</v>
      </c>
      <c r="W1080" s="989"/>
      <c r="X1080" s="989">
        <f t="shared" si="116"/>
        <v>0</v>
      </c>
      <c r="Y1080" s="1012"/>
      <c r="Z1080" s="941"/>
      <c r="AA1080" s="941"/>
      <c r="AB1080" s="941"/>
      <c r="AC1080" s="941"/>
      <c r="AD1080" s="941"/>
      <c r="AE1080" s="941"/>
      <c r="AF1080" s="941"/>
      <c r="AG1080" s="941"/>
      <c r="AH1080" s="941"/>
      <c r="AI1080" s="941"/>
      <c r="AJ1080" s="941"/>
      <c r="AK1080" s="941"/>
      <c r="AL1080" s="941"/>
      <c r="AM1080" s="941"/>
    </row>
    <row r="1081" spans="1:39" s="969" customFormat="1" ht="63" customHeight="1">
      <c r="A1081" s="1034">
        <v>963</v>
      </c>
      <c r="B1081" s="1007" t="s">
        <v>3057</v>
      </c>
      <c r="C1081" s="1008"/>
      <c r="D1081" s="1008"/>
      <c r="E1081" s="1027" t="s">
        <v>3058</v>
      </c>
      <c r="F1081" s="1012" t="s">
        <v>1188</v>
      </c>
      <c r="G1081" s="989">
        <v>45200</v>
      </c>
      <c r="H1081" s="937"/>
      <c r="I1081" s="1046"/>
      <c r="J1081" s="1046"/>
      <c r="K1081" s="1047"/>
      <c r="L1081" s="1046"/>
      <c r="M1081" s="1094"/>
      <c r="N1081" s="989">
        <v>45200</v>
      </c>
      <c r="O1081" s="989">
        <v>0</v>
      </c>
      <c r="P1081" s="989">
        <v>45200</v>
      </c>
      <c r="Q1081" s="989">
        <f t="shared" si="117"/>
        <v>45200</v>
      </c>
      <c r="R1081" s="989">
        <f t="shared" si="119"/>
        <v>100</v>
      </c>
      <c r="S1081" s="1011">
        <v>0</v>
      </c>
      <c r="T1081" s="989">
        <f t="shared" si="115"/>
        <v>0</v>
      </c>
      <c r="U1081" s="989">
        <f t="shared" si="118"/>
        <v>45200</v>
      </c>
      <c r="V1081" s="989">
        <f t="shared" si="120"/>
        <v>100</v>
      </c>
      <c r="W1081" s="989"/>
      <c r="X1081" s="989">
        <f t="shared" si="116"/>
        <v>0</v>
      </c>
      <c r="Y1081" s="1012"/>
      <c r="Z1081" s="941"/>
      <c r="AA1081" s="941"/>
      <c r="AB1081" s="941"/>
      <c r="AC1081" s="941"/>
      <c r="AD1081" s="941"/>
      <c r="AE1081" s="941"/>
      <c r="AF1081" s="941"/>
      <c r="AG1081" s="941"/>
      <c r="AH1081" s="941"/>
      <c r="AI1081" s="941"/>
      <c r="AJ1081" s="941"/>
      <c r="AK1081" s="941"/>
      <c r="AL1081" s="941"/>
      <c r="AM1081" s="941"/>
    </row>
    <row r="1082" spans="1:39" s="969" customFormat="1" ht="63" customHeight="1">
      <c r="A1082" s="1034">
        <v>964</v>
      </c>
      <c r="B1082" s="1007" t="s">
        <v>3059</v>
      </c>
      <c r="C1082" s="1008"/>
      <c r="D1082" s="1008"/>
      <c r="E1082" s="1027" t="s">
        <v>4325</v>
      </c>
      <c r="F1082" s="1012" t="s">
        <v>585</v>
      </c>
      <c r="G1082" s="989">
        <v>135600</v>
      </c>
      <c r="H1082" s="937"/>
      <c r="I1082" s="1046"/>
      <c r="J1082" s="1046"/>
      <c r="K1082" s="1047">
        <v>-26110</v>
      </c>
      <c r="L1082" s="1046"/>
      <c r="M1082" s="1094">
        <v>-12870</v>
      </c>
      <c r="N1082" s="989">
        <f>109490+M1082</f>
        <v>96620</v>
      </c>
      <c r="O1082" s="989">
        <v>69180</v>
      </c>
      <c r="P1082" s="989">
        <v>27440</v>
      </c>
      <c r="Q1082" s="989">
        <f t="shared" si="117"/>
        <v>96620</v>
      </c>
      <c r="R1082" s="989">
        <f t="shared" si="119"/>
        <v>100</v>
      </c>
      <c r="S1082" s="1011">
        <v>0</v>
      </c>
      <c r="T1082" s="989">
        <f t="shared" si="115"/>
        <v>0</v>
      </c>
      <c r="U1082" s="989">
        <f t="shared" si="118"/>
        <v>96620</v>
      </c>
      <c r="V1082" s="989">
        <f t="shared" si="120"/>
        <v>100</v>
      </c>
      <c r="W1082" s="989"/>
      <c r="X1082" s="989">
        <f t="shared" si="116"/>
        <v>0</v>
      </c>
      <c r="Y1082" s="1012"/>
      <c r="Z1082" s="941"/>
      <c r="AA1082" s="941"/>
      <c r="AB1082" s="941"/>
      <c r="AC1082" s="941"/>
      <c r="AD1082" s="941"/>
      <c r="AE1082" s="941"/>
      <c r="AF1082" s="941"/>
      <c r="AG1082" s="941"/>
      <c r="AH1082" s="941"/>
      <c r="AI1082" s="941"/>
      <c r="AJ1082" s="941"/>
      <c r="AK1082" s="941"/>
      <c r="AL1082" s="941"/>
      <c r="AM1082" s="941"/>
    </row>
    <row r="1083" spans="1:39" s="969" customFormat="1" ht="63" customHeight="1">
      <c r="A1083" s="1034">
        <v>965</v>
      </c>
      <c r="B1083" s="1007" t="s">
        <v>3060</v>
      </c>
      <c r="C1083" s="1008"/>
      <c r="D1083" s="1008"/>
      <c r="E1083" s="1027" t="s">
        <v>4326</v>
      </c>
      <c r="F1083" s="1012" t="s">
        <v>585</v>
      </c>
      <c r="G1083" s="989">
        <v>104000</v>
      </c>
      <c r="H1083" s="937"/>
      <c r="I1083" s="1046"/>
      <c r="J1083" s="1046"/>
      <c r="K1083" s="1047">
        <v>-8000</v>
      </c>
      <c r="L1083" s="1046"/>
      <c r="M1083" s="1094"/>
      <c r="N1083" s="989">
        <v>96000</v>
      </c>
      <c r="O1083" s="989">
        <v>96000</v>
      </c>
      <c r="P1083" s="989"/>
      <c r="Q1083" s="989">
        <f t="shared" si="117"/>
        <v>96000</v>
      </c>
      <c r="R1083" s="989">
        <f t="shared" si="119"/>
        <v>100</v>
      </c>
      <c r="S1083" s="1011"/>
      <c r="T1083" s="989">
        <f t="shared" si="115"/>
        <v>0</v>
      </c>
      <c r="U1083" s="989">
        <f t="shared" si="118"/>
        <v>96000</v>
      </c>
      <c r="V1083" s="989">
        <f t="shared" si="120"/>
        <v>100</v>
      </c>
      <c r="W1083" s="989"/>
      <c r="X1083" s="989">
        <f t="shared" si="116"/>
        <v>0</v>
      </c>
      <c r="Y1083" s="1012"/>
      <c r="Z1083" s="941"/>
      <c r="AA1083" s="941"/>
      <c r="AB1083" s="941"/>
      <c r="AC1083" s="941"/>
      <c r="AD1083" s="941"/>
      <c r="AE1083" s="941"/>
      <c r="AF1083" s="941"/>
      <c r="AG1083" s="941"/>
      <c r="AH1083" s="941"/>
      <c r="AI1083" s="941"/>
      <c r="AJ1083" s="941"/>
      <c r="AK1083" s="941"/>
      <c r="AL1083" s="941"/>
      <c r="AM1083" s="941"/>
    </row>
    <row r="1084" spans="1:39" s="969" customFormat="1" ht="63" customHeight="1">
      <c r="A1084" s="1034">
        <v>966</v>
      </c>
      <c r="B1084" s="1007" t="s">
        <v>3061</v>
      </c>
      <c r="C1084" s="1008"/>
      <c r="D1084" s="1008"/>
      <c r="E1084" s="1027" t="s">
        <v>3062</v>
      </c>
      <c r="F1084" s="1012" t="s">
        <v>1181</v>
      </c>
      <c r="G1084" s="989">
        <v>208000</v>
      </c>
      <c r="H1084" s="937"/>
      <c r="I1084" s="1046"/>
      <c r="J1084" s="1046"/>
      <c r="K1084" s="1047"/>
      <c r="L1084" s="1046"/>
      <c r="M1084" s="1094"/>
      <c r="N1084" s="989">
        <v>208000</v>
      </c>
      <c r="O1084" s="989">
        <v>0</v>
      </c>
      <c r="P1084" s="989">
        <v>208000</v>
      </c>
      <c r="Q1084" s="989">
        <f t="shared" si="117"/>
        <v>208000</v>
      </c>
      <c r="R1084" s="989">
        <f t="shared" si="119"/>
        <v>100</v>
      </c>
      <c r="S1084" s="1011">
        <v>0</v>
      </c>
      <c r="T1084" s="989">
        <f t="shared" si="115"/>
        <v>0</v>
      </c>
      <c r="U1084" s="989">
        <f t="shared" si="118"/>
        <v>208000</v>
      </c>
      <c r="V1084" s="989">
        <f t="shared" si="120"/>
        <v>100</v>
      </c>
      <c r="W1084" s="989"/>
      <c r="X1084" s="989">
        <f t="shared" si="116"/>
        <v>0</v>
      </c>
      <c r="Y1084" s="1012"/>
      <c r="Z1084" s="941"/>
      <c r="AA1084" s="941"/>
      <c r="AB1084" s="941"/>
      <c r="AC1084" s="941"/>
      <c r="AD1084" s="941"/>
      <c r="AE1084" s="941"/>
      <c r="AF1084" s="941"/>
      <c r="AG1084" s="941"/>
      <c r="AH1084" s="941"/>
      <c r="AI1084" s="941"/>
      <c r="AJ1084" s="941"/>
      <c r="AK1084" s="941"/>
      <c r="AL1084" s="941"/>
      <c r="AM1084" s="941"/>
    </row>
    <row r="1085" spans="1:39" s="969" customFormat="1" ht="63" customHeight="1">
      <c r="A1085" s="1034">
        <v>967</v>
      </c>
      <c r="B1085" s="1007" t="s">
        <v>3063</v>
      </c>
      <c r="C1085" s="1008"/>
      <c r="D1085" s="1008"/>
      <c r="E1085" s="1027" t="s">
        <v>4361</v>
      </c>
      <c r="F1085" s="1012" t="s">
        <v>581</v>
      </c>
      <c r="G1085" s="989">
        <v>45200</v>
      </c>
      <c r="H1085" s="937"/>
      <c r="I1085" s="1046"/>
      <c r="J1085" s="1046"/>
      <c r="K1085" s="1047">
        <v>-6500</v>
      </c>
      <c r="L1085" s="1046"/>
      <c r="M1085" s="1094">
        <v>-11871</v>
      </c>
      <c r="N1085" s="989">
        <f>G1085+K1085+M1085</f>
        <v>26829</v>
      </c>
      <c r="O1085" s="989">
        <v>0</v>
      </c>
      <c r="P1085" s="989">
        <v>26829</v>
      </c>
      <c r="Q1085" s="989">
        <f t="shared" si="117"/>
        <v>26829</v>
      </c>
      <c r="R1085" s="989">
        <f t="shared" si="119"/>
        <v>100</v>
      </c>
      <c r="S1085" s="1011">
        <v>0</v>
      </c>
      <c r="T1085" s="989">
        <f t="shared" si="115"/>
        <v>0</v>
      </c>
      <c r="U1085" s="989">
        <f t="shared" si="118"/>
        <v>26829</v>
      </c>
      <c r="V1085" s="989">
        <f t="shared" si="120"/>
        <v>100</v>
      </c>
      <c r="W1085" s="989"/>
      <c r="X1085" s="989">
        <f t="shared" si="116"/>
        <v>0</v>
      </c>
      <c r="Y1085" s="1012"/>
      <c r="Z1085" s="941"/>
      <c r="AA1085" s="941"/>
      <c r="AB1085" s="941"/>
      <c r="AC1085" s="941"/>
      <c r="AD1085" s="941"/>
      <c r="AE1085" s="941"/>
      <c r="AF1085" s="941"/>
      <c r="AG1085" s="941"/>
      <c r="AH1085" s="941"/>
      <c r="AI1085" s="941"/>
      <c r="AJ1085" s="941"/>
      <c r="AK1085" s="941"/>
      <c r="AL1085" s="941"/>
      <c r="AM1085" s="941"/>
    </row>
    <row r="1086" spans="1:39" s="969" customFormat="1" ht="63" customHeight="1">
      <c r="A1086" s="1034">
        <v>968</v>
      </c>
      <c r="B1086" s="1007" t="s">
        <v>3064</v>
      </c>
      <c r="C1086" s="1008"/>
      <c r="D1086" s="1008"/>
      <c r="E1086" s="1027" t="s">
        <v>3065</v>
      </c>
      <c r="F1086" s="1012" t="s">
        <v>581</v>
      </c>
      <c r="G1086" s="989">
        <v>226000</v>
      </c>
      <c r="H1086" s="937"/>
      <c r="I1086" s="1046"/>
      <c r="J1086" s="1046"/>
      <c r="K1086" s="1047"/>
      <c r="L1086" s="1046"/>
      <c r="M1086" s="1094">
        <v>-17812</v>
      </c>
      <c r="N1086" s="989">
        <f>226000+M1086</f>
        <v>208188</v>
      </c>
      <c r="O1086" s="989">
        <v>0</v>
      </c>
      <c r="P1086" s="989">
        <v>208188</v>
      </c>
      <c r="Q1086" s="989">
        <f t="shared" si="117"/>
        <v>208188</v>
      </c>
      <c r="R1086" s="989">
        <f t="shared" si="119"/>
        <v>100</v>
      </c>
      <c r="S1086" s="1011">
        <v>0</v>
      </c>
      <c r="T1086" s="989">
        <f t="shared" si="115"/>
        <v>0</v>
      </c>
      <c r="U1086" s="989">
        <f t="shared" si="118"/>
        <v>208188</v>
      </c>
      <c r="V1086" s="989">
        <f t="shared" si="120"/>
        <v>100</v>
      </c>
      <c r="W1086" s="989"/>
      <c r="X1086" s="989">
        <f t="shared" si="116"/>
        <v>0</v>
      </c>
      <c r="Y1086" s="1012"/>
      <c r="Z1086" s="941"/>
      <c r="AA1086" s="941"/>
      <c r="AB1086" s="941"/>
      <c r="AC1086" s="941"/>
      <c r="AD1086" s="941"/>
      <c r="AE1086" s="941"/>
      <c r="AF1086" s="941"/>
      <c r="AG1086" s="941"/>
      <c r="AH1086" s="941"/>
      <c r="AI1086" s="941"/>
      <c r="AJ1086" s="941"/>
      <c r="AK1086" s="941"/>
      <c r="AL1086" s="941"/>
      <c r="AM1086" s="941"/>
    </row>
    <row r="1087" spans="1:39" s="969" customFormat="1" ht="63" customHeight="1">
      <c r="A1087" s="1034">
        <v>969</v>
      </c>
      <c r="B1087" s="1007" t="s">
        <v>3066</v>
      </c>
      <c r="C1087" s="1008"/>
      <c r="D1087" s="1008"/>
      <c r="E1087" s="1027" t="s">
        <v>3067</v>
      </c>
      <c r="F1087" s="1012" t="s">
        <v>581</v>
      </c>
      <c r="G1087" s="989">
        <v>90400</v>
      </c>
      <c r="H1087" s="937"/>
      <c r="I1087" s="1046"/>
      <c r="J1087" s="1046"/>
      <c r="K1087" s="1047">
        <v>-15800</v>
      </c>
      <c r="L1087" s="1046"/>
      <c r="M1087" s="1094">
        <v>-11806.21</v>
      </c>
      <c r="N1087" s="989">
        <f>90400+K1087+M1087</f>
        <v>62793.79</v>
      </c>
      <c r="O1087" s="989">
        <v>0</v>
      </c>
      <c r="P1087" s="989">
        <v>62793.79</v>
      </c>
      <c r="Q1087" s="989">
        <f t="shared" si="117"/>
        <v>62793.79</v>
      </c>
      <c r="R1087" s="989">
        <f t="shared" si="119"/>
        <v>100</v>
      </c>
      <c r="S1087" s="1011">
        <v>0</v>
      </c>
      <c r="T1087" s="989">
        <f t="shared" si="115"/>
        <v>0</v>
      </c>
      <c r="U1087" s="989">
        <f t="shared" si="118"/>
        <v>62793.79</v>
      </c>
      <c r="V1087" s="989">
        <f t="shared" si="120"/>
        <v>100</v>
      </c>
      <c r="W1087" s="989"/>
      <c r="X1087" s="989">
        <f t="shared" si="116"/>
        <v>0</v>
      </c>
      <c r="Y1087" s="1012"/>
      <c r="Z1087" s="941"/>
      <c r="AA1087" s="941"/>
      <c r="AB1087" s="941"/>
      <c r="AC1087" s="941"/>
      <c r="AD1087" s="941"/>
      <c r="AE1087" s="941"/>
      <c r="AF1087" s="941"/>
      <c r="AG1087" s="941"/>
      <c r="AH1087" s="941"/>
      <c r="AI1087" s="941"/>
      <c r="AJ1087" s="941"/>
      <c r="AK1087" s="941"/>
      <c r="AL1087" s="941"/>
      <c r="AM1087" s="941"/>
    </row>
    <row r="1088" spans="1:39" s="969" customFormat="1" ht="63" customHeight="1">
      <c r="A1088" s="1034">
        <v>970</v>
      </c>
      <c r="B1088" s="1007" t="s">
        <v>3068</v>
      </c>
      <c r="C1088" s="1008"/>
      <c r="D1088" s="1008"/>
      <c r="E1088" s="1027" t="s">
        <v>3069</v>
      </c>
      <c r="F1088" s="1012" t="s">
        <v>581</v>
      </c>
      <c r="G1088" s="989">
        <v>45200</v>
      </c>
      <c r="H1088" s="937"/>
      <c r="I1088" s="1046"/>
      <c r="J1088" s="1046"/>
      <c r="K1088" s="1047">
        <v>-9000</v>
      </c>
      <c r="L1088" s="1046"/>
      <c r="M1088" s="1094">
        <v>-13124</v>
      </c>
      <c r="N1088" s="989">
        <f>45200-9000+M1088</f>
        <v>23076</v>
      </c>
      <c r="O1088" s="989">
        <v>0</v>
      </c>
      <c r="P1088" s="989">
        <v>23076</v>
      </c>
      <c r="Q1088" s="989">
        <f t="shared" si="117"/>
        <v>23076</v>
      </c>
      <c r="R1088" s="989">
        <f t="shared" si="119"/>
        <v>100</v>
      </c>
      <c r="S1088" s="1011">
        <v>0</v>
      </c>
      <c r="T1088" s="989">
        <f t="shared" si="115"/>
        <v>0</v>
      </c>
      <c r="U1088" s="989">
        <f t="shared" si="118"/>
        <v>23076</v>
      </c>
      <c r="V1088" s="989">
        <f t="shared" si="120"/>
        <v>100</v>
      </c>
      <c r="W1088" s="989"/>
      <c r="X1088" s="989">
        <f t="shared" si="116"/>
        <v>0</v>
      </c>
      <c r="Y1088" s="1012"/>
      <c r="Z1088" s="941"/>
      <c r="AA1088" s="941"/>
      <c r="AB1088" s="941"/>
      <c r="AC1088" s="941"/>
      <c r="AD1088" s="941"/>
      <c r="AE1088" s="941"/>
      <c r="AF1088" s="941"/>
      <c r="AG1088" s="941"/>
      <c r="AH1088" s="941"/>
      <c r="AI1088" s="941"/>
      <c r="AJ1088" s="941"/>
      <c r="AK1088" s="941"/>
      <c r="AL1088" s="941"/>
      <c r="AM1088" s="941"/>
    </row>
    <row r="1089" spans="1:39" s="969" customFormat="1" ht="63" customHeight="1">
      <c r="A1089" s="1034">
        <v>971</v>
      </c>
      <c r="B1089" s="1007" t="s">
        <v>3070</v>
      </c>
      <c r="C1089" s="1008"/>
      <c r="D1089" s="1008"/>
      <c r="E1089" s="1027" t="s">
        <v>3071</v>
      </c>
      <c r="F1089" s="1012" t="s">
        <v>581</v>
      </c>
      <c r="G1089" s="989">
        <v>90400</v>
      </c>
      <c r="H1089" s="937"/>
      <c r="I1089" s="1046"/>
      <c r="J1089" s="1046"/>
      <c r="K1089" s="1047"/>
      <c r="L1089" s="1046"/>
      <c r="M1089" s="1094">
        <v>-34484.379999999997</v>
      </c>
      <c r="N1089" s="989">
        <f>90400+M1089</f>
        <v>55915.62</v>
      </c>
      <c r="O1089" s="989">
        <v>0</v>
      </c>
      <c r="P1089" s="989">
        <v>55915.62</v>
      </c>
      <c r="Q1089" s="989">
        <f t="shared" si="117"/>
        <v>55915.62</v>
      </c>
      <c r="R1089" s="989">
        <f t="shared" si="119"/>
        <v>100</v>
      </c>
      <c r="S1089" s="1011">
        <v>0</v>
      </c>
      <c r="T1089" s="989">
        <f t="shared" si="115"/>
        <v>0</v>
      </c>
      <c r="U1089" s="989">
        <f t="shared" si="118"/>
        <v>55915.62</v>
      </c>
      <c r="V1089" s="989">
        <f t="shared" si="120"/>
        <v>100</v>
      </c>
      <c r="W1089" s="989"/>
      <c r="X1089" s="989">
        <f t="shared" si="116"/>
        <v>0</v>
      </c>
      <c r="Y1089" s="1012"/>
      <c r="Z1089" s="941"/>
      <c r="AA1089" s="941"/>
      <c r="AB1089" s="941"/>
      <c r="AC1089" s="941"/>
      <c r="AD1089" s="941"/>
      <c r="AE1089" s="941"/>
      <c r="AF1089" s="941"/>
      <c r="AG1089" s="941"/>
      <c r="AH1089" s="941"/>
      <c r="AI1089" s="941"/>
      <c r="AJ1089" s="941"/>
      <c r="AK1089" s="941"/>
      <c r="AL1089" s="941"/>
      <c r="AM1089" s="941"/>
    </row>
    <row r="1090" spans="1:39" s="969" customFormat="1" ht="63" customHeight="1">
      <c r="A1090" s="1034">
        <v>972</v>
      </c>
      <c r="B1090" s="1007" t="s">
        <v>3072</v>
      </c>
      <c r="C1090" s="1008"/>
      <c r="D1090" s="1008"/>
      <c r="E1090" s="1027" t="s">
        <v>3073</v>
      </c>
      <c r="F1090" s="1012" t="s">
        <v>581</v>
      </c>
      <c r="G1090" s="989">
        <v>104000</v>
      </c>
      <c r="H1090" s="937"/>
      <c r="I1090" s="1046"/>
      <c r="J1090" s="1046"/>
      <c r="K1090" s="1047"/>
      <c r="L1090" s="1046"/>
      <c r="M1090" s="1094">
        <v>-37000</v>
      </c>
      <c r="N1090" s="989">
        <f>104000+M1090</f>
        <v>67000</v>
      </c>
      <c r="O1090" s="989">
        <v>0</v>
      </c>
      <c r="P1090" s="989">
        <v>67000</v>
      </c>
      <c r="Q1090" s="989">
        <f t="shared" si="117"/>
        <v>67000</v>
      </c>
      <c r="R1090" s="989">
        <f t="shared" si="119"/>
        <v>100</v>
      </c>
      <c r="S1090" s="1011">
        <v>0</v>
      </c>
      <c r="T1090" s="989">
        <f t="shared" si="115"/>
        <v>0</v>
      </c>
      <c r="U1090" s="989">
        <f t="shared" si="118"/>
        <v>67000</v>
      </c>
      <c r="V1090" s="989">
        <f t="shared" si="120"/>
        <v>100</v>
      </c>
      <c r="W1090" s="989"/>
      <c r="X1090" s="989">
        <f t="shared" si="116"/>
        <v>0</v>
      </c>
      <c r="Y1090" s="1012"/>
      <c r="Z1090" s="941"/>
      <c r="AA1090" s="941"/>
      <c r="AB1090" s="941"/>
      <c r="AC1090" s="941"/>
      <c r="AD1090" s="941"/>
      <c r="AE1090" s="941"/>
      <c r="AF1090" s="941"/>
      <c r="AG1090" s="941"/>
      <c r="AH1090" s="941"/>
      <c r="AI1090" s="941"/>
      <c r="AJ1090" s="941"/>
      <c r="AK1090" s="941"/>
      <c r="AL1090" s="941"/>
      <c r="AM1090" s="941"/>
    </row>
    <row r="1091" spans="1:39" s="969" customFormat="1" ht="63" customHeight="1">
      <c r="A1091" s="1034">
        <v>973</v>
      </c>
      <c r="B1091" s="1007" t="s">
        <v>3074</v>
      </c>
      <c r="C1091" s="1008"/>
      <c r="D1091" s="1008"/>
      <c r="E1091" s="1027" t="s">
        <v>3075</v>
      </c>
      <c r="F1091" s="1012" t="s">
        <v>581</v>
      </c>
      <c r="G1091" s="989">
        <v>208000</v>
      </c>
      <c r="H1091" s="937"/>
      <c r="I1091" s="1046"/>
      <c r="J1091" s="1046"/>
      <c r="K1091" s="1047">
        <v>-18000</v>
      </c>
      <c r="L1091" s="1046"/>
      <c r="M1091" s="1094">
        <v>-108244</v>
      </c>
      <c r="N1091" s="989">
        <f>208000+K1091+M1091</f>
        <v>81756</v>
      </c>
      <c r="O1091" s="989">
        <v>0</v>
      </c>
      <c r="P1091" s="989">
        <v>81756</v>
      </c>
      <c r="Q1091" s="989">
        <f t="shared" si="117"/>
        <v>81756</v>
      </c>
      <c r="R1091" s="989">
        <f t="shared" si="119"/>
        <v>100</v>
      </c>
      <c r="S1091" s="1011">
        <v>0</v>
      </c>
      <c r="T1091" s="989">
        <f t="shared" si="115"/>
        <v>0</v>
      </c>
      <c r="U1091" s="989">
        <f t="shared" si="118"/>
        <v>81756</v>
      </c>
      <c r="V1091" s="989">
        <f t="shared" si="120"/>
        <v>100</v>
      </c>
      <c r="W1091" s="989"/>
      <c r="X1091" s="989">
        <f t="shared" si="116"/>
        <v>0</v>
      </c>
      <c r="Y1091" s="1012"/>
      <c r="Z1091" s="941"/>
      <c r="AA1091" s="941"/>
      <c r="AB1091" s="941"/>
      <c r="AC1091" s="941"/>
      <c r="AD1091" s="941"/>
      <c r="AE1091" s="941"/>
      <c r="AF1091" s="941"/>
      <c r="AG1091" s="941"/>
      <c r="AH1091" s="941"/>
      <c r="AI1091" s="941"/>
      <c r="AJ1091" s="941"/>
      <c r="AK1091" s="941"/>
      <c r="AL1091" s="941"/>
      <c r="AM1091" s="941"/>
    </row>
    <row r="1092" spans="1:39" s="969" customFormat="1" ht="63" customHeight="1">
      <c r="A1092" s="1034">
        <v>974</v>
      </c>
      <c r="B1092" s="1007" t="s">
        <v>3076</v>
      </c>
      <c r="C1092" s="1008"/>
      <c r="D1092" s="1008"/>
      <c r="E1092" s="1027" t="s">
        <v>3077</v>
      </c>
      <c r="F1092" s="1012" t="s">
        <v>581</v>
      </c>
      <c r="G1092" s="989">
        <v>312000</v>
      </c>
      <c r="H1092" s="937"/>
      <c r="I1092" s="1046"/>
      <c r="J1092" s="1046"/>
      <c r="K1092" s="1047"/>
      <c r="L1092" s="1046"/>
      <c r="M1092" s="1094"/>
      <c r="N1092" s="989">
        <v>312000</v>
      </c>
      <c r="O1092" s="989">
        <v>0</v>
      </c>
      <c r="P1092" s="989">
        <v>312000</v>
      </c>
      <c r="Q1092" s="989">
        <f t="shared" si="117"/>
        <v>312000</v>
      </c>
      <c r="R1092" s="989">
        <f t="shared" si="119"/>
        <v>100</v>
      </c>
      <c r="S1092" s="1011">
        <v>0</v>
      </c>
      <c r="T1092" s="989">
        <f t="shared" si="115"/>
        <v>0</v>
      </c>
      <c r="U1092" s="989">
        <f t="shared" si="118"/>
        <v>312000</v>
      </c>
      <c r="V1092" s="989">
        <f t="shared" si="120"/>
        <v>100</v>
      </c>
      <c r="W1092" s="989"/>
      <c r="X1092" s="989">
        <f t="shared" si="116"/>
        <v>0</v>
      </c>
      <c r="Y1092" s="1012"/>
      <c r="Z1092" s="941"/>
      <c r="AA1092" s="941"/>
      <c r="AB1092" s="941"/>
      <c r="AC1092" s="941"/>
      <c r="AD1092" s="941"/>
      <c r="AE1092" s="941"/>
      <c r="AF1092" s="941"/>
      <c r="AG1092" s="941"/>
      <c r="AH1092" s="941"/>
      <c r="AI1092" s="941"/>
      <c r="AJ1092" s="941"/>
      <c r="AK1092" s="941"/>
      <c r="AL1092" s="941"/>
      <c r="AM1092" s="941"/>
    </row>
    <row r="1093" spans="1:39" s="969" customFormat="1" ht="63" customHeight="1">
      <c r="A1093" s="1034">
        <v>975</v>
      </c>
      <c r="B1093" s="1007" t="s">
        <v>3078</v>
      </c>
      <c r="C1093" s="1008"/>
      <c r="D1093" s="1008"/>
      <c r="E1093" s="1027" t="s">
        <v>3079</v>
      </c>
      <c r="F1093" s="1012" t="s">
        <v>581</v>
      </c>
      <c r="G1093" s="989">
        <v>104000</v>
      </c>
      <c r="H1093" s="937"/>
      <c r="I1093" s="1046"/>
      <c r="J1093" s="1046"/>
      <c r="K1093" s="1047"/>
      <c r="L1093" s="1046"/>
      <c r="M1093" s="1094">
        <v>-34000</v>
      </c>
      <c r="N1093" s="989">
        <f>104000+M1093</f>
        <v>70000</v>
      </c>
      <c r="O1093" s="989">
        <v>0</v>
      </c>
      <c r="P1093" s="989">
        <v>70000</v>
      </c>
      <c r="Q1093" s="989">
        <f t="shared" si="117"/>
        <v>70000</v>
      </c>
      <c r="R1093" s="989">
        <f t="shared" si="119"/>
        <v>100</v>
      </c>
      <c r="S1093" s="1011">
        <v>0</v>
      </c>
      <c r="T1093" s="989">
        <f t="shared" si="115"/>
        <v>0</v>
      </c>
      <c r="U1093" s="989">
        <f t="shared" si="118"/>
        <v>70000</v>
      </c>
      <c r="V1093" s="989">
        <f t="shared" si="120"/>
        <v>100</v>
      </c>
      <c r="W1093" s="989"/>
      <c r="X1093" s="989">
        <f t="shared" si="116"/>
        <v>0</v>
      </c>
      <c r="Y1093" s="1012"/>
      <c r="Z1093" s="941"/>
      <c r="AA1093" s="941"/>
      <c r="AB1093" s="941"/>
      <c r="AC1093" s="941"/>
      <c r="AD1093" s="941"/>
      <c r="AE1093" s="941"/>
      <c r="AF1093" s="941"/>
      <c r="AG1093" s="941"/>
      <c r="AH1093" s="941"/>
      <c r="AI1093" s="941"/>
      <c r="AJ1093" s="941"/>
      <c r="AK1093" s="941"/>
      <c r="AL1093" s="941"/>
      <c r="AM1093" s="941"/>
    </row>
    <row r="1094" spans="1:39" s="969" customFormat="1" ht="63" customHeight="1">
      <c r="A1094" s="1034">
        <v>976</v>
      </c>
      <c r="B1094" s="1007" t="s">
        <v>3080</v>
      </c>
      <c r="C1094" s="1008"/>
      <c r="D1094" s="1008"/>
      <c r="E1094" s="1027" t="s">
        <v>3081</v>
      </c>
      <c r="F1094" s="1012" t="s">
        <v>2832</v>
      </c>
      <c r="G1094" s="989">
        <v>90400</v>
      </c>
      <c r="H1094" s="937"/>
      <c r="I1094" s="1046"/>
      <c r="J1094" s="1046"/>
      <c r="K1094" s="1047"/>
      <c r="L1094" s="1046"/>
      <c r="M1094" s="1094"/>
      <c r="N1094" s="989">
        <v>90400</v>
      </c>
      <c r="O1094" s="989">
        <v>90400</v>
      </c>
      <c r="P1094" s="989"/>
      <c r="Q1094" s="989">
        <f t="shared" si="117"/>
        <v>90400</v>
      </c>
      <c r="R1094" s="989">
        <f t="shared" si="119"/>
        <v>100</v>
      </c>
      <c r="S1094" s="1011"/>
      <c r="T1094" s="989">
        <f t="shared" si="115"/>
        <v>0</v>
      </c>
      <c r="U1094" s="989">
        <f t="shared" si="118"/>
        <v>90400</v>
      </c>
      <c r="V1094" s="989">
        <f t="shared" si="120"/>
        <v>100</v>
      </c>
      <c r="W1094" s="989"/>
      <c r="X1094" s="989">
        <f t="shared" si="116"/>
        <v>0</v>
      </c>
      <c r="Y1094" s="1012"/>
      <c r="Z1094" s="941"/>
      <c r="AA1094" s="941"/>
      <c r="AB1094" s="941"/>
      <c r="AC1094" s="941"/>
      <c r="AD1094" s="941"/>
      <c r="AE1094" s="941"/>
      <c r="AF1094" s="941"/>
      <c r="AG1094" s="941"/>
      <c r="AH1094" s="941"/>
      <c r="AI1094" s="941"/>
      <c r="AJ1094" s="941"/>
      <c r="AK1094" s="941"/>
      <c r="AL1094" s="941"/>
      <c r="AM1094" s="941"/>
    </row>
    <row r="1095" spans="1:39" s="969" customFormat="1" ht="63" customHeight="1">
      <c r="A1095" s="1034">
        <v>977</v>
      </c>
      <c r="B1095" s="1007" t="s">
        <v>3082</v>
      </c>
      <c r="C1095" s="1008"/>
      <c r="D1095" s="1008"/>
      <c r="E1095" s="1027" t="s">
        <v>3083</v>
      </c>
      <c r="F1095" s="1012" t="s">
        <v>2832</v>
      </c>
      <c r="G1095" s="989">
        <v>104000</v>
      </c>
      <c r="H1095" s="937"/>
      <c r="I1095" s="1046"/>
      <c r="J1095" s="1046"/>
      <c r="K1095" s="1047"/>
      <c r="L1095" s="1046"/>
      <c r="M1095" s="1094">
        <v>-1000</v>
      </c>
      <c r="N1095" s="989">
        <f>104000+M1095</f>
        <v>103000</v>
      </c>
      <c r="O1095" s="989">
        <v>103000</v>
      </c>
      <c r="P1095" s="989">
        <v>0</v>
      </c>
      <c r="Q1095" s="989">
        <f t="shared" si="117"/>
        <v>103000</v>
      </c>
      <c r="R1095" s="989">
        <f t="shared" si="119"/>
        <v>100</v>
      </c>
      <c r="S1095" s="1011">
        <v>0</v>
      </c>
      <c r="T1095" s="989">
        <f t="shared" si="115"/>
        <v>0</v>
      </c>
      <c r="U1095" s="989">
        <f t="shared" si="118"/>
        <v>103000</v>
      </c>
      <c r="V1095" s="989">
        <f t="shared" si="120"/>
        <v>100</v>
      </c>
      <c r="W1095" s="989"/>
      <c r="X1095" s="989">
        <f t="shared" si="116"/>
        <v>0</v>
      </c>
      <c r="Y1095" s="1012"/>
      <c r="Z1095" s="941"/>
      <c r="AA1095" s="941"/>
      <c r="AB1095" s="941"/>
      <c r="AC1095" s="941"/>
      <c r="AD1095" s="941"/>
      <c r="AE1095" s="941"/>
      <c r="AF1095" s="941"/>
      <c r="AG1095" s="941"/>
      <c r="AH1095" s="941"/>
      <c r="AI1095" s="941"/>
      <c r="AJ1095" s="941"/>
      <c r="AK1095" s="941"/>
      <c r="AL1095" s="941"/>
      <c r="AM1095" s="941"/>
    </row>
    <row r="1096" spans="1:39" s="969" customFormat="1" ht="63" customHeight="1">
      <c r="A1096" s="1034">
        <v>978</v>
      </c>
      <c r="B1096" s="1007" t="s">
        <v>3084</v>
      </c>
      <c r="C1096" s="1008"/>
      <c r="D1096" s="1008"/>
      <c r="E1096" s="1027" t="s">
        <v>3085</v>
      </c>
      <c r="F1096" s="1012" t="s">
        <v>2832</v>
      </c>
      <c r="G1096" s="989">
        <v>208000</v>
      </c>
      <c r="H1096" s="937"/>
      <c r="I1096" s="1046"/>
      <c r="J1096" s="1046"/>
      <c r="K1096" s="1047"/>
      <c r="L1096" s="1046"/>
      <c r="M1096" s="1094"/>
      <c r="N1096" s="989">
        <v>208000</v>
      </c>
      <c r="O1096" s="989">
        <v>208000</v>
      </c>
      <c r="P1096" s="989"/>
      <c r="Q1096" s="989">
        <f t="shared" si="117"/>
        <v>208000</v>
      </c>
      <c r="R1096" s="989">
        <f t="shared" si="119"/>
        <v>100</v>
      </c>
      <c r="S1096" s="1011"/>
      <c r="T1096" s="989">
        <f t="shared" si="115"/>
        <v>0</v>
      </c>
      <c r="U1096" s="989">
        <f t="shared" si="118"/>
        <v>208000</v>
      </c>
      <c r="V1096" s="989">
        <f t="shared" si="120"/>
        <v>100</v>
      </c>
      <c r="W1096" s="989"/>
      <c r="X1096" s="989">
        <f t="shared" si="116"/>
        <v>0</v>
      </c>
      <c r="Y1096" s="1012"/>
      <c r="Z1096" s="941"/>
      <c r="AA1096" s="941"/>
      <c r="AB1096" s="941"/>
      <c r="AC1096" s="941"/>
      <c r="AD1096" s="941"/>
      <c r="AE1096" s="941"/>
      <c r="AF1096" s="941"/>
      <c r="AG1096" s="941"/>
      <c r="AH1096" s="941"/>
      <c r="AI1096" s="941"/>
      <c r="AJ1096" s="941"/>
      <c r="AK1096" s="941"/>
      <c r="AL1096" s="941"/>
      <c r="AM1096" s="941"/>
    </row>
    <row r="1097" spans="1:39" s="969" customFormat="1" ht="63" customHeight="1">
      <c r="A1097" s="1034">
        <v>979</v>
      </c>
      <c r="B1097" s="1007" t="s">
        <v>3086</v>
      </c>
      <c r="C1097" s="1008"/>
      <c r="D1097" s="1008"/>
      <c r="E1097" s="1027" t="s">
        <v>3087</v>
      </c>
      <c r="F1097" s="1012" t="s">
        <v>2832</v>
      </c>
      <c r="G1097" s="989">
        <v>624000</v>
      </c>
      <c r="H1097" s="937"/>
      <c r="I1097" s="1046"/>
      <c r="J1097" s="1046"/>
      <c r="K1097" s="1047">
        <v>-89986</v>
      </c>
      <c r="L1097" s="1046"/>
      <c r="M1097" s="1094"/>
      <c r="N1097" s="989">
        <f>624000+M1097+K1097</f>
        <v>534014</v>
      </c>
      <c r="O1097" s="989">
        <v>534014</v>
      </c>
      <c r="P1097" s="989">
        <v>0</v>
      </c>
      <c r="Q1097" s="989">
        <f t="shared" si="117"/>
        <v>534014</v>
      </c>
      <c r="R1097" s="989">
        <f t="shared" si="119"/>
        <v>100</v>
      </c>
      <c r="S1097" s="1011">
        <v>0</v>
      </c>
      <c r="T1097" s="989">
        <f t="shared" si="115"/>
        <v>0</v>
      </c>
      <c r="U1097" s="989">
        <f t="shared" si="118"/>
        <v>534014</v>
      </c>
      <c r="V1097" s="989">
        <f t="shared" si="120"/>
        <v>100</v>
      </c>
      <c r="W1097" s="989"/>
      <c r="X1097" s="989">
        <f t="shared" si="116"/>
        <v>0</v>
      </c>
      <c r="Y1097" s="1012"/>
      <c r="Z1097" s="941"/>
      <c r="AA1097" s="941"/>
      <c r="AB1097" s="941"/>
      <c r="AC1097" s="941"/>
      <c r="AD1097" s="941"/>
      <c r="AE1097" s="941"/>
      <c r="AF1097" s="941"/>
      <c r="AG1097" s="941"/>
      <c r="AH1097" s="941"/>
      <c r="AI1097" s="941"/>
      <c r="AJ1097" s="941"/>
      <c r="AK1097" s="941"/>
      <c r="AL1097" s="941"/>
      <c r="AM1097" s="941"/>
    </row>
    <row r="1098" spans="1:39" s="969" customFormat="1" ht="63" customHeight="1">
      <c r="A1098" s="1034">
        <v>980</v>
      </c>
      <c r="B1098" s="1007" t="s">
        <v>3088</v>
      </c>
      <c r="C1098" s="1008"/>
      <c r="D1098" s="1008"/>
      <c r="E1098" s="1027" t="s">
        <v>3089</v>
      </c>
      <c r="F1098" s="1012" t="s">
        <v>569</v>
      </c>
      <c r="G1098" s="989">
        <v>45200</v>
      </c>
      <c r="H1098" s="937"/>
      <c r="I1098" s="1046"/>
      <c r="J1098" s="1046"/>
      <c r="K1098" s="1047">
        <v>-9000</v>
      </c>
      <c r="L1098" s="1046"/>
      <c r="M1098" s="1094">
        <v>-9600</v>
      </c>
      <c r="N1098" s="989">
        <f>45200+M1098+K1098</f>
        <v>26600</v>
      </c>
      <c r="O1098" s="989">
        <v>0</v>
      </c>
      <c r="P1098" s="989">
        <v>26600</v>
      </c>
      <c r="Q1098" s="989">
        <f t="shared" si="117"/>
        <v>26600</v>
      </c>
      <c r="R1098" s="989">
        <f t="shared" si="119"/>
        <v>100</v>
      </c>
      <c r="S1098" s="1011">
        <v>0</v>
      </c>
      <c r="T1098" s="989">
        <f t="shared" si="115"/>
        <v>0</v>
      </c>
      <c r="U1098" s="989">
        <f t="shared" si="118"/>
        <v>26600</v>
      </c>
      <c r="V1098" s="989">
        <f t="shared" si="120"/>
        <v>100</v>
      </c>
      <c r="W1098" s="989"/>
      <c r="X1098" s="989">
        <f t="shared" si="116"/>
        <v>0</v>
      </c>
      <c r="Y1098" s="1012"/>
      <c r="Z1098" s="941"/>
      <c r="AA1098" s="941"/>
      <c r="AB1098" s="941"/>
      <c r="AC1098" s="941"/>
      <c r="AD1098" s="941"/>
      <c r="AE1098" s="941"/>
      <c r="AF1098" s="941"/>
      <c r="AG1098" s="941"/>
      <c r="AH1098" s="941"/>
      <c r="AI1098" s="941"/>
      <c r="AJ1098" s="941"/>
      <c r="AK1098" s="941"/>
      <c r="AL1098" s="941"/>
      <c r="AM1098" s="941"/>
    </row>
    <row r="1099" spans="1:39" s="969" customFormat="1" ht="63" customHeight="1">
      <c r="A1099" s="1034">
        <v>981</v>
      </c>
      <c r="B1099" s="1007" t="s">
        <v>3090</v>
      </c>
      <c r="C1099" s="1008"/>
      <c r="D1099" s="1008"/>
      <c r="E1099" s="1027" t="s">
        <v>3091</v>
      </c>
      <c r="F1099" s="1012" t="s">
        <v>569</v>
      </c>
      <c r="G1099" s="989">
        <v>104000</v>
      </c>
      <c r="H1099" s="937"/>
      <c r="I1099" s="1046"/>
      <c r="J1099" s="1046"/>
      <c r="K1099" s="1047">
        <v>-9000</v>
      </c>
      <c r="L1099" s="1046"/>
      <c r="M1099" s="1094">
        <f>-23300</f>
        <v>-23300</v>
      </c>
      <c r="N1099" s="989">
        <f>95000+M1099</f>
        <v>71700</v>
      </c>
      <c r="O1099" s="989">
        <v>71700</v>
      </c>
      <c r="P1099" s="989">
        <v>0</v>
      </c>
      <c r="Q1099" s="989">
        <f t="shared" si="117"/>
        <v>71700</v>
      </c>
      <c r="R1099" s="989">
        <f t="shared" si="119"/>
        <v>100</v>
      </c>
      <c r="S1099" s="1011">
        <v>0</v>
      </c>
      <c r="T1099" s="989">
        <f t="shared" si="115"/>
        <v>0</v>
      </c>
      <c r="U1099" s="989">
        <f t="shared" si="118"/>
        <v>71700</v>
      </c>
      <c r="V1099" s="989">
        <f t="shared" si="120"/>
        <v>100</v>
      </c>
      <c r="W1099" s="989"/>
      <c r="X1099" s="989">
        <f t="shared" si="116"/>
        <v>0</v>
      </c>
      <c r="Y1099" s="1012"/>
      <c r="Z1099" s="941"/>
      <c r="AA1099" s="941"/>
      <c r="AB1099" s="941"/>
      <c r="AC1099" s="941"/>
      <c r="AD1099" s="941"/>
      <c r="AE1099" s="941"/>
      <c r="AF1099" s="941"/>
      <c r="AG1099" s="941"/>
      <c r="AH1099" s="941"/>
      <c r="AI1099" s="941"/>
      <c r="AJ1099" s="941"/>
      <c r="AK1099" s="941"/>
      <c r="AL1099" s="941"/>
      <c r="AM1099" s="941"/>
    </row>
    <row r="1100" spans="1:39" s="969" customFormat="1" ht="63" customHeight="1">
      <c r="A1100" s="1034">
        <v>982</v>
      </c>
      <c r="B1100" s="1007" t="s">
        <v>3092</v>
      </c>
      <c r="C1100" s="1008"/>
      <c r="D1100" s="1008"/>
      <c r="E1100" s="1027" t="s">
        <v>3093</v>
      </c>
      <c r="F1100" s="1012" t="s">
        <v>573</v>
      </c>
      <c r="G1100" s="989">
        <v>104000</v>
      </c>
      <c r="H1100" s="937"/>
      <c r="I1100" s="1046"/>
      <c r="J1100" s="1046"/>
      <c r="K1100" s="1047"/>
      <c r="L1100" s="1046"/>
      <c r="M1100" s="1094"/>
      <c r="N1100" s="989">
        <v>104000</v>
      </c>
      <c r="O1100" s="989">
        <v>104000</v>
      </c>
      <c r="P1100" s="989"/>
      <c r="Q1100" s="989">
        <f t="shared" si="117"/>
        <v>104000</v>
      </c>
      <c r="R1100" s="989">
        <f t="shared" si="119"/>
        <v>100</v>
      </c>
      <c r="S1100" s="1011"/>
      <c r="T1100" s="989">
        <f t="shared" si="115"/>
        <v>0</v>
      </c>
      <c r="U1100" s="989">
        <f t="shared" si="118"/>
        <v>104000</v>
      </c>
      <c r="V1100" s="989">
        <f t="shared" si="120"/>
        <v>100</v>
      </c>
      <c r="W1100" s="989"/>
      <c r="X1100" s="989">
        <f t="shared" si="116"/>
        <v>0</v>
      </c>
      <c r="Y1100" s="1012"/>
      <c r="Z1100" s="941"/>
      <c r="AA1100" s="941"/>
      <c r="AB1100" s="941"/>
      <c r="AC1100" s="941"/>
      <c r="AD1100" s="941"/>
      <c r="AE1100" s="941"/>
      <c r="AF1100" s="941"/>
      <c r="AG1100" s="941"/>
      <c r="AH1100" s="941"/>
      <c r="AI1100" s="941"/>
      <c r="AJ1100" s="941"/>
      <c r="AK1100" s="941"/>
      <c r="AL1100" s="941"/>
      <c r="AM1100" s="941"/>
    </row>
    <row r="1101" spans="1:39" s="969" customFormat="1" ht="63" customHeight="1">
      <c r="A1101" s="1034">
        <v>983</v>
      </c>
      <c r="B1101" s="1007" t="s">
        <v>3094</v>
      </c>
      <c r="C1101" s="1008"/>
      <c r="D1101" s="1008"/>
      <c r="E1101" s="1027" t="s">
        <v>3095</v>
      </c>
      <c r="F1101" s="1012" t="s">
        <v>573</v>
      </c>
      <c r="G1101" s="989">
        <v>104000</v>
      </c>
      <c r="H1101" s="937"/>
      <c r="I1101" s="1046"/>
      <c r="J1101" s="1046"/>
      <c r="K1101" s="1047"/>
      <c r="L1101" s="1046"/>
      <c r="M1101" s="1094"/>
      <c r="N1101" s="989">
        <v>104000</v>
      </c>
      <c r="O1101" s="989">
        <v>0</v>
      </c>
      <c r="P1101" s="989">
        <v>104000</v>
      </c>
      <c r="Q1101" s="989">
        <f t="shared" si="117"/>
        <v>104000</v>
      </c>
      <c r="R1101" s="989">
        <f t="shared" si="119"/>
        <v>100</v>
      </c>
      <c r="S1101" s="1011">
        <v>0</v>
      </c>
      <c r="T1101" s="989">
        <f t="shared" si="115"/>
        <v>0</v>
      </c>
      <c r="U1101" s="989">
        <f t="shared" si="118"/>
        <v>104000</v>
      </c>
      <c r="V1101" s="989">
        <f t="shared" si="120"/>
        <v>100</v>
      </c>
      <c r="W1101" s="989"/>
      <c r="X1101" s="989">
        <f t="shared" si="116"/>
        <v>0</v>
      </c>
      <c r="Y1101" s="1012"/>
      <c r="Z1101" s="941"/>
      <c r="AA1101" s="941"/>
      <c r="AB1101" s="941"/>
      <c r="AC1101" s="941"/>
      <c r="AD1101" s="941"/>
      <c r="AE1101" s="941"/>
      <c r="AF1101" s="941"/>
      <c r="AG1101" s="941"/>
      <c r="AH1101" s="941"/>
      <c r="AI1101" s="941"/>
      <c r="AJ1101" s="941"/>
      <c r="AK1101" s="941"/>
      <c r="AL1101" s="941"/>
      <c r="AM1101" s="941"/>
    </row>
    <row r="1102" spans="1:39" s="969" customFormat="1" ht="63" customHeight="1">
      <c r="A1102" s="1034">
        <v>984</v>
      </c>
      <c r="B1102" s="1007" t="s">
        <v>3092</v>
      </c>
      <c r="C1102" s="1008"/>
      <c r="D1102" s="1008"/>
      <c r="E1102" s="1027" t="s">
        <v>3096</v>
      </c>
      <c r="F1102" s="1012" t="s">
        <v>573</v>
      </c>
      <c r="G1102" s="989">
        <v>104000</v>
      </c>
      <c r="H1102" s="937"/>
      <c r="I1102" s="1046"/>
      <c r="J1102" s="1046"/>
      <c r="K1102" s="1047"/>
      <c r="L1102" s="1046"/>
      <c r="M1102" s="1094"/>
      <c r="N1102" s="989">
        <v>104000</v>
      </c>
      <c r="O1102" s="989">
        <v>104000</v>
      </c>
      <c r="P1102" s="989"/>
      <c r="Q1102" s="989">
        <f t="shared" si="117"/>
        <v>104000</v>
      </c>
      <c r="R1102" s="989">
        <f t="shared" si="119"/>
        <v>100</v>
      </c>
      <c r="S1102" s="1011"/>
      <c r="T1102" s="989">
        <f t="shared" si="115"/>
        <v>0</v>
      </c>
      <c r="U1102" s="989">
        <f t="shared" si="118"/>
        <v>104000</v>
      </c>
      <c r="V1102" s="989">
        <f t="shared" si="120"/>
        <v>100</v>
      </c>
      <c r="W1102" s="989"/>
      <c r="X1102" s="989">
        <f t="shared" si="116"/>
        <v>0</v>
      </c>
      <c r="Y1102" s="1012"/>
      <c r="Z1102" s="941"/>
      <c r="AA1102" s="941"/>
      <c r="AB1102" s="941"/>
      <c r="AC1102" s="941"/>
      <c r="AD1102" s="941"/>
      <c r="AE1102" s="941"/>
      <c r="AF1102" s="941"/>
      <c r="AG1102" s="941"/>
      <c r="AH1102" s="941"/>
      <c r="AI1102" s="941"/>
      <c r="AJ1102" s="941"/>
      <c r="AK1102" s="941"/>
      <c r="AL1102" s="941"/>
      <c r="AM1102" s="941"/>
    </row>
    <row r="1103" spans="1:39" s="969" customFormat="1" ht="63" customHeight="1">
      <c r="A1103" s="1034">
        <v>985</v>
      </c>
      <c r="B1103" s="1007" t="s">
        <v>3136</v>
      </c>
      <c r="C1103" s="1008"/>
      <c r="D1103" s="1008"/>
      <c r="E1103" s="1027" t="s">
        <v>3097</v>
      </c>
      <c r="F1103" s="1012" t="s">
        <v>571</v>
      </c>
      <c r="G1103" s="989">
        <v>135600</v>
      </c>
      <c r="H1103" s="937"/>
      <c r="I1103" s="1046"/>
      <c r="J1103" s="1046"/>
      <c r="K1103" s="1047">
        <v>-71910.289999999994</v>
      </c>
      <c r="L1103" s="1046"/>
      <c r="M1103" s="1094"/>
      <c r="N1103" s="989">
        <f>135600+M1103+K1103</f>
        <v>63689.710000000006</v>
      </c>
      <c r="O1103" s="989">
        <v>0</v>
      </c>
      <c r="P1103" s="989">
        <v>63689.71</v>
      </c>
      <c r="Q1103" s="989">
        <f t="shared" si="117"/>
        <v>63689.71</v>
      </c>
      <c r="R1103" s="989">
        <f t="shared" si="119"/>
        <v>99.999999999999986</v>
      </c>
      <c r="S1103" s="1011">
        <v>0</v>
      </c>
      <c r="T1103" s="989">
        <f t="shared" si="115"/>
        <v>0</v>
      </c>
      <c r="U1103" s="989">
        <f t="shared" si="118"/>
        <v>63689.71</v>
      </c>
      <c r="V1103" s="989">
        <f t="shared" si="120"/>
        <v>99.999999999999986</v>
      </c>
      <c r="W1103" s="989"/>
      <c r="X1103" s="989">
        <f t="shared" si="116"/>
        <v>0</v>
      </c>
      <c r="Y1103" s="1012"/>
      <c r="Z1103" s="941"/>
      <c r="AA1103" s="941"/>
      <c r="AB1103" s="941"/>
      <c r="AC1103" s="941"/>
      <c r="AD1103" s="941"/>
      <c r="AE1103" s="941"/>
      <c r="AF1103" s="941"/>
      <c r="AG1103" s="941"/>
      <c r="AH1103" s="941"/>
      <c r="AI1103" s="941"/>
      <c r="AJ1103" s="941"/>
      <c r="AK1103" s="941"/>
      <c r="AL1103" s="941"/>
      <c r="AM1103" s="941"/>
    </row>
    <row r="1104" spans="1:39" s="969" customFormat="1" ht="63" customHeight="1">
      <c r="A1104" s="1034">
        <v>986</v>
      </c>
      <c r="B1104" s="1007" t="s">
        <v>3137</v>
      </c>
      <c r="C1104" s="1008"/>
      <c r="D1104" s="1008"/>
      <c r="E1104" s="1027" t="s">
        <v>3098</v>
      </c>
      <c r="F1104" s="1012" t="s">
        <v>571</v>
      </c>
      <c r="G1104" s="989">
        <v>45200</v>
      </c>
      <c r="H1104" s="937"/>
      <c r="I1104" s="1046"/>
      <c r="J1104" s="1046"/>
      <c r="K1104" s="1047"/>
      <c r="L1104" s="1046"/>
      <c r="M1104" s="1094">
        <v>-16900</v>
      </c>
      <c r="N1104" s="989">
        <f>45200+M1104</f>
        <v>28300</v>
      </c>
      <c r="O1104" s="989">
        <v>0</v>
      </c>
      <c r="P1104" s="989">
        <v>28300</v>
      </c>
      <c r="Q1104" s="989">
        <f t="shared" si="117"/>
        <v>28300</v>
      </c>
      <c r="R1104" s="989">
        <f t="shared" si="119"/>
        <v>100</v>
      </c>
      <c r="S1104" s="1011">
        <v>0</v>
      </c>
      <c r="T1104" s="989">
        <f t="shared" si="115"/>
        <v>0</v>
      </c>
      <c r="U1104" s="989">
        <f t="shared" si="118"/>
        <v>28300</v>
      </c>
      <c r="V1104" s="989">
        <f t="shared" si="120"/>
        <v>100</v>
      </c>
      <c r="W1104" s="989"/>
      <c r="X1104" s="989">
        <f t="shared" si="116"/>
        <v>0</v>
      </c>
      <c r="Y1104" s="1012"/>
      <c r="Z1104" s="941"/>
      <c r="AA1104" s="941"/>
      <c r="AB1104" s="941"/>
      <c r="AC1104" s="941"/>
      <c r="AD1104" s="941"/>
      <c r="AE1104" s="941"/>
      <c r="AF1104" s="941"/>
      <c r="AG1104" s="941"/>
      <c r="AH1104" s="941"/>
      <c r="AI1104" s="941"/>
      <c r="AJ1104" s="941"/>
      <c r="AK1104" s="941"/>
      <c r="AL1104" s="941"/>
      <c r="AM1104" s="941"/>
    </row>
    <row r="1105" spans="1:39" s="969" customFormat="1" ht="63" customHeight="1">
      <c r="A1105" s="1034">
        <v>987</v>
      </c>
      <c r="B1105" s="1007" t="s">
        <v>3138</v>
      </c>
      <c r="C1105" s="1008"/>
      <c r="D1105" s="1008"/>
      <c r="E1105" s="1027" t="s">
        <v>3099</v>
      </c>
      <c r="F1105" s="1012" t="s">
        <v>586</v>
      </c>
      <c r="G1105" s="989">
        <v>45200</v>
      </c>
      <c r="H1105" s="937"/>
      <c r="I1105" s="1046"/>
      <c r="J1105" s="1046"/>
      <c r="K1105" s="1047">
        <v>-6200</v>
      </c>
      <c r="L1105" s="1046"/>
      <c r="M1105" s="1094">
        <v>-21242</v>
      </c>
      <c r="N1105" s="989">
        <f>G1105+K1105+M1105</f>
        <v>17758</v>
      </c>
      <c r="O1105" s="989">
        <v>0</v>
      </c>
      <c r="P1105" s="989">
        <v>17758</v>
      </c>
      <c r="Q1105" s="989">
        <f t="shared" si="117"/>
        <v>17758</v>
      </c>
      <c r="R1105" s="989">
        <f t="shared" si="119"/>
        <v>100</v>
      </c>
      <c r="S1105" s="1011">
        <v>0</v>
      </c>
      <c r="T1105" s="989">
        <f t="shared" si="115"/>
        <v>0</v>
      </c>
      <c r="U1105" s="989">
        <f t="shared" si="118"/>
        <v>17758</v>
      </c>
      <c r="V1105" s="989">
        <f t="shared" si="120"/>
        <v>100</v>
      </c>
      <c r="W1105" s="989"/>
      <c r="X1105" s="989">
        <f t="shared" si="116"/>
        <v>0</v>
      </c>
      <c r="Y1105" s="1012"/>
      <c r="Z1105" s="941"/>
      <c r="AA1105" s="941"/>
      <c r="AB1105" s="941"/>
      <c r="AC1105" s="941"/>
      <c r="AD1105" s="941"/>
      <c r="AE1105" s="941"/>
      <c r="AF1105" s="941"/>
      <c r="AG1105" s="941"/>
      <c r="AH1105" s="941"/>
      <c r="AI1105" s="941"/>
      <c r="AJ1105" s="941"/>
      <c r="AK1105" s="941"/>
      <c r="AL1105" s="941"/>
      <c r="AM1105" s="941"/>
    </row>
    <row r="1106" spans="1:39" s="969" customFormat="1" ht="63" customHeight="1">
      <c r="A1106" s="1034">
        <v>988</v>
      </c>
      <c r="B1106" s="1007" t="s">
        <v>3139</v>
      </c>
      <c r="C1106" s="1008"/>
      <c r="D1106" s="1008"/>
      <c r="E1106" s="1027" t="s">
        <v>3100</v>
      </c>
      <c r="F1106" s="1012" t="s">
        <v>1178</v>
      </c>
      <c r="G1106" s="989">
        <v>104000</v>
      </c>
      <c r="H1106" s="937"/>
      <c r="I1106" s="1046"/>
      <c r="J1106" s="1046"/>
      <c r="K1106" s="1047"/>
      <c r="L1106" s="1046"/>
      <c r="M1106" s="1094">
        <v>-92442.96</v>
      </c>
      <c r="N1106" s="989">
        <f>104000+M1106+K1106</f>
        <v>11557.039999999994</v>
      </c>
      <c r="O1106" s="989">
        <v>0</v>
      </c>
      <c r="P1106" s="989">
        <v>11557.04</v>
      </c>
      <c r="Q1106" s="989">
        <f t="shared" si="117"/>
        <v>11557.04</v>
      </c>
      <c r="R1106" s="989">
        <f t="shared" si="119"/>
        <v>100.00000000000007</v>
      </c>
      <c r="S1106" s="1011">
        <v>0</v>
      </c>
      <c r="T1106" s="989">
        <f t="shared" si="115"/>
        <v>0</v>
      </c>
      <c r="U1106" s="989">
        <f t="shared" si="118"/>
        <v>11557.04</v>
      </c>
      <c r="V1106" s="989">
        <f t="shared" si="120"/>
        <v>100.00000000000007</v>
      </c>
      <c r="W1106" s="989"/>
      <c r="X1106" s="989">
        <f t="shared" si="116"/>
        <v>0</v>
      </c>
      <c r="Y1106" s="1012"/>
      <c r="Z1106" s="941"/>
      <c r="AA1106" s="941"/>
      <c r="AB1106" s="941"/>
      <c r="AC1106" s="941"/>
      <c r="AD1106" s="941"/>
      <c r="AE1106" s="941"/>
      <c r="AF1106" s="941"/>
      <c r="AG1106" s="941"/>
      <c r="AH1106" s="941"/>
      <c r="AI1106" s="941"/>
      <c r="AJ1106" s="941"/>
      <c r="AK1106" s="941"/>
      <c r="AL1106" s="941"/>
      <c r="AM1106" s="941"/>
    </row>
    <row r="1107" spans="1:39" s="969" customFormat="1" ht="63" customHeight="1">
      <c r="A1107" s="1034">
        <v>989</v>
      </c>
      <c r="B1107" s="1007" t="s">
        <v>3140</v>
      </c>
      <c r="C1107" s="1008"/>
      <c r="D1107" s="1008"/>
      <c r="E1107" s="1027" t="s">
        <v>3101</v>
      </c>
      <c r="F1107" s="1012" t="s">
        <v>547</v>
      </c>
      <c r="G1107" s="989">
        <v>90400</v>
      </c>
      <c r="H1107" s="937"/>
      <c r="I1107" s="1046"/>
      <c r="J1107" s="1046"/>
      <c r="K1107" s="1047"/>
      <c r="L1107" s="1046"/>
      <c r="M1107" s="1094">
        <f>-400-7968</f>
        <v>-8368</v>
      </c>
      <c r="N1107" s="989">
        <f>90400+M1107</f>
        <v>82032</v>
      </c>
      <c r="O1107" s="989">
        <v>0</v>
      </c>
      <c r="P1107" s="989">
        <v>82032</v>
      </c>
      <c r="Q1107" s="989">
        <f t="shared" si="117"/>
        <v>82032</v>
      </c>
      <c r="R1107" s="989">
        <f t="shared" si="119"/>
        <v>100</v>
      </c>
      <c r="S1107" s="1011">
        <v>0</v>
      </c>
      <c r="T1107" s="989">
        <f t="shared" si="115"/>
        <v>0</v>
      </c>
      <c r="U1107" s="989">
        <f t="shared" si="118"/>
        <v>82032</v>
      </c>
      <c r="V1107" s="989">
        <f t="shared" si="120"/>
        <v>100</v>
      </c>
      <c r="W1107" s="989"/>
      <c r="X1107" s="989">
        <f t="shared" si="116"/>
        <v>0</v>
      </c>
      <c r="Y1107" s="1012"/>
      <c r="Z1107" s="941"/>
      <c r="AA1107" s="941"/>
      <c r="AB1107" s="941"/>
      <c r="AC1107" s="941"/>
      <c r="AD1107" s="941"/>
      <c r="AE1107" s="941"/>
      <c r="AF1107" s="941"/>
      <c r="AG1107" s="941"/>
      <c r="AH1107" s="941"/>
      <c r="AI1107" s="941"/>
      <c r="AJ1107" s="941"/>
      <c r="AK1107" s="941"/>
      <c r="AL1107" s="941"/>
      <c r="AM1107" s="941"/>
    </row>
    <row r="1108" spans="1:39" s="969" customFormat="1" ht="63" customHeight="1">
      <c r="A1108" s="1034">
        <v>990</v>
      </c>
      <c r="B1108" s="1007" t="s">
        <v>3141</v>
      </c>
      <c r="C1108" s="1008"/>
      <c r="D1108" s="1008"/>
      <c r="E1108" s="1027" t="s">
        <v>3102</v>
      </c>
      <c r="F1108" s="1012" t="s">
        <v>547</v>
      </c>
      <c r="G1108" s="989">
        <v>208000</v>
      </c>
      <c r="H1108" s="937"/>
      <c r="I1108" s="1046"/>
      <c r="J1108" s="1046"/>
      <c r="K1108" s="1047"/>
      <c r="L1108" s="1046"/>
      <c r="M1108" s="1094">
        <v>-34800</v>
      </c>
      <c r="N1108" s="989">
        <f>208000+M1108</f>
        <v>173200</v>
      </c>
      <c r="O1108" s="989">
        <v>0</v>
      </c>
      <c r="P1108" s="989">
        <v>173200</v>
      </c>
      <c r="Q1108" s="989">
        <f t="shared" si="117"/>
        <v>173200</v>
      </c>
      <c r="R1108" s="989">
        <f t="shared" si="119"/>
        <v>100</v>
      </c>
      <c r="S1108" s="1011">
        <v>0</v>
      </c>
      <c r="T1108" s="989">
        <f t="shared" si="115"/>
        <v>0</v>
      </c>
      <c r="U1108" s="989">
        <f t="shared" si="118"/>
        <v>173200</v>
      </c>
      <c r="V1108" s="989">
        <f t="shared" si="120"/>
        <v>100</v>
      </c>
      <c r="W1108" s="989"/>
      <c r="X1108" s="989">
        <f t="shared" si="116"/>
        <v>0</v>
      </c>
      <c r="Y1108" s="1012"/>
      <c r="Z1108" s="941"/>
      <c r="AA1108" s="941"/>
      <c r="AB1108" s="941"/>
      <c r="AC1108" s="941"/>
      <c r="AD1108" s="941"/>
      <c r="AE1108" s="941"/>
      <c r="AF1108" s="941"/>
      <c r="AG1108" s="941"/>
      <c r="AH1108" s="941"/>
      <c r="AI1108" s="941"/>
      <c r="AJ1108" s="941"/>
      <c r="AK1108" s="941"/>
      <c r="AL1108" s="941"/>
      <c r="AM1108" s="941"/>
    </row>
    <row r="1109" spans="1:39" s="969" customFormat="1" ht="63" customHeight="1">
      <c r="A1109" s="1034">
        <v>991</v>
      </c>
      <c r="B1109" s="1007" t="s">
        <v>3142</v>
      </c>
      <c r="C1109" s="1008"/>
      <c r="D1109" s="1008"/>
      <c r="E1109" s="1027" t="s">
        <v>3143</v>
      </c>
      <c r="F1109" s="1012" t="s">
        <v>558</v>
      </c>
      <c r="G1109" s="989">
        <v>45200</v>
      </c>
      <c r="H1109" s="937"/>
      <c r="I1109" s="1046"/>
      <c r="J1109" s="1046"/>
      <c r="K1109" s="1047"/>
      <c r="L1109" s="1046"/>
      <c r="M1109" s="1094"/>
      <c r="N1109" s="989">
        <v>45200</v>
      </c>
      <c r="O1109" s="989">
        <v>45200</v>
      </c>
      <c r="P1109" s="989"/>
      <c r="Q1109" s="989">
        <f t="shared" si="117"/>
        <v>45200</v>
      </c>
      <c r="R1109" s="989">
        <f t="shared" si="119"/>
        <v>100</v>
      </c>
      <c r="S1109" s="1011"/>
      <c r="T1109" s="989">
        <f t="shared" si="115"/>
        <v>0</v>
      </c>
      <c r="U1109" s="989">
        <f t="shared" si="118"/>
        <v>45200</v>
      </c>
      <c r="V1109" s="989">
        <f t="shared" si="120"/>
        <v>100</v>
      </c>
      <c r="W1109" s="989"/>
      <c r="X1109" s="989">
        <f t="shared" si="116"/>
        <v>0</v>
      </c>
      <c r="Y1109" s="1012"/>
      <c r="Z1109" s="941"/>
      <c r="AA1109" s="941"/>
      <c r="AB1109" s="941"/>
      <c r="AC1109" s="941"/>
      <c r="AD1109" s="941"/>
      <c r="AE1109" s="941"/>
      <c r="AF1109" s="941"/>
      <c r="AG1109" s="941"/>
      <c r="AH1109" s="941"/>
      <c r="AI1109" s="941"/>
      <c r="AJ1109" s="941"/>
      <c r="AK1109" s="941"/>
      <c r="AL1109" s="941"/>
      <c r="AM1109" s="941"/>
    </row>
    <row r="1110" spans="1:39" s="969" customFormat="1" ht="63" customHeight="1">
      <c r="A1110" s="1034">
        <v>992</v>
      </c>
      <c r="B1110" s="1007" t="s">
        <v>3144</v>
      </c>
      <c r="C1110" s="1008"/>
      <c r="D1110" s="1008"/>
      <c r="E1110" s="1027" t="s">
        <v>3145</v>
      </c>
      <c r="F1110" s="1012" t="s">
        <v>558</v>
      </c>
      <c r="G1110" s="989">
        <v>90400</v>
      </c>
      <c r="H1110" s="937"/>
      <c r="I1110" s="1046"/>
      <c r="J1110" s="1046"/>
      <c r="K1110" s="1047"/>
      <c r="L1110" s="1046"/>
      <c r="M1110" s="1094"/>
      <c r="N1110" s="989">
        <v>90400</v>
      </c>
      <c r="O1110" s="989">
        <v>90400</v>
      </c>
      <c r="P1110" s="989"/>
      <c r="Q1110" s="989">
        <f t="shared" si="117"/>
        <v>90400</v>
      </c>
      <c r="R1110" s="989">
        <f t="shared" si="119"/>
        <v>100</v>
      </c>
      <c r="S1110" s="1011"/>
      <c r="T1110" s="989">
        <f t="shared" si="115"/>
        <v>0</v>
      </c>
      <c r="U1110" s="989">
        <f t="shared" si="118"/>
        <v>90400</v>
      </c>
      <c r="V1110" s="989">
        <f t="shared" si="120"/>
        <v>100</v>
      </c>
      <c r="W1110" s="989"/>
      <c r="X1110" s="989">
        <f t="shared" si="116"/>
        <v>0</v>
      </c>
      <c r="Y1110" s="1012"/>
      <c r="Z1110" s="941"/>
      <c r="AA1110" s="941"/>
      <c r="AB1110" s="941"/>
      <c r="AC1110" s="941"/>
      <c r="AD1110" s="941"/>
      <c r="AE1110" s="941"/>
      <c r="AF1110" s="941"/>
      <c r="AG1110" s="941"/>
      <c r="AH1110" s="941"/>
      <c r="AI1110" s="941"/>
      <c r="AJ1110" s="941"/>
      <c r="AK1110" s="941"/>
      <c r="AL1110" s="941"/>
      <c r="AM1110" s="941"/>
    </row>
    <row r="1111" spans="1:39" s="969" customFormat="1" ht="63" customHeight="1">
      <c r="A1111" s="1034">
        <v>993</v>
      </c>
      <c r="B1111" s="1007" t="s">
        <v>3146</v>
      </c>
      <c r="C1111" s="1008"/>
      <c r="D1111" s="1008"/>
      <c r="E1111" s="1027" t="s">
        <v>3147</v>
      </c>
      <c r="F1111" s="1012" t="s">
        <v>558</v>
      </c>
      <c r="G1111" s="989">
        <v>90400</v>
      </c>
      <c r="H1111" s="937"/>
      <c r="I1111" s="1046"/>
      <c r="J1111" s="1046"/>
      <c r="K1111" s="1047"/>
      <c r="L1111" s="1046"/>
      <c r="M1111" s="1094"/>
      <c r="N1111" s="989">
        <v>90400</v>
      </c>
      <c r="O1111" s="989">
        <v>90400</v>
      </c>
      <c r="P1111" s="989"/>
      <c r="Q1111" s="989">
        <f t="shared" si="117"/>
        <v>90400</v>
      </c>
      <c r="R1111" s="989">
        <f t="shared" si="119"/>
        <v>100</v>
      </c>
      <c r="S1111" s="1011"/>
      <c r="T1111" s="989">
        <f t="shared" si="115"/>
        <v>0</v>
      </c>
      <c r="U1111" s="989">
        <f t="shared" si="118"/>
        <v>90400</v>
      </c>
      <c r="V1111" s="989">
        <f t="shared" si="120"/>
        <v>100</v>
      </c>
      <c r="W1111" s="989"/>
      <c r="X1111" s="989">
        <f t="shared" si="116"/>
        <v>0</v>
      </c>
      <c r="Y1111" s="1012"/>
      <c r="Z1111" s="941"/>
      <c r="AA1111" s="941"/>
      <c r="AB1111" s="941"/>
      <c r="AC1111" s="941"/>
      <c r="AD1111" s="941"/>
      <c r="AE1111" s="941"/>
      <c r="AF1111" s="941"/>
      <c r="AG1111" s="941"/>
      <c r="AH1111" s="941"/>
      <c r="AI1111" s="941"/>
      <c r="AJ1111" s="941"/>
      <c r="AK1111" s="941"/>
      <c r="AL1111" s="941"/>
      <c r="AM1111" s="941"/>
    </row>
    <row r="1112" spans="1:39" s="969" customFormat="1" ht="63" customHeight="1">
      <c r="A1112" s="1036">
        <v>994</v>
      </c>
      <c r="B1112" s="1007" t="s">
        <v>3148</v>
      </c>
      <c r="C1112" s="1008"/>
      <c r="D1112" s="1008"/>
      <c r="E1112" s="1027" t="s">
        <v>3149</v>
      </c>
      <c r="F1112" s="1012" t="s">
        <v>558</v>
      </c>
      <c r="G1112" s="989">
        <v>312000</v>
      </c>
      <c r="H1112" s="937"/>
      <c r="I1112" s="1046"/>
      <c r="J1112" s="1046"/>
      <c r="K1112" s="1047"/>
      <c r="L1112" s="1046"/>
      <c r="M1112" s="1094"/>
      <c r="N1112" s="989">
        <v>312000</v>
      </c>
      <c r="O1112" s="989">
        <v>312000</v>
      </c>
      <c r="P1112" s="989"/>
      <c r="Q1112" s="989">
        <f t="shared" si="117"/>
        <v>312000</v>
      </c>
      <c r="R1112" s="989">
        <f t="shared" si="119"/>
        <v>100</v>
      </c>
      <c r="S1112" s="1011"/>
      <c r="T1112" s="989">
        <f t="shared" si="115"/>
        <v>0</v>
      </c>
      <c r="U1112" s="989">
        <f t="shared" si="118"/>
        <v>312000</v>
      </c>
      <c r="V1112" s="989">
        <f t="shared" si="120"/>
        <v>100</v>
      </c>
      <c r="W1112" s="989"/>
      <c r="X1112" s="989">
        <f t="shared" si="116"/>
        <v>0</v>
      </c>
      <c r="Y1112" s="1012"/>
      <c r="Z1112" s="941"/>
      <c r="AA1112" s="941"/>
      <c r="AB1112" s="941"/>
      <c r="AC1112" s="941"/>
      <c r="AD1112" s="941"/>
      <c r="AE1112" s="941"/>
      <c r="AF1112" s="941"/>
      <c r="AG1112" s="941"/>
      <c r="AH1112" s="941"/>
      <c r="AI1112" s="941"/>
      <c r="AJ1112" s="941"/>
      <c r="AK1112" s="941"/>
      <c r="AL1112" s="941"/>
      <c r="AM1112" s="941"/>
    </row>
    <row r="1113" spans="1:39" s="969" customFormat="1" ht="63" customHeight="1">
      <c r="A1113" s="1036">
        <v>995</v>
      </c>
      <c r="B1113" s="1007" t="s">
        <v>2342</v>
      </c>
      <c r="C1113" s="1008"/>
      <c r="D1113" s="1008"/>
      <c r="E1113" s="1027" t="s">
        <v>3150</v>
      </c>
      <c r="F1113" s="1012" t="s">
        <v>567</v>
      </c>
      <c r="G1113" s="989">
        <v>45200</v>
      </c>
      <c r="H1113" s="937"/>
      <c r="I1113" s="1046"/>
      <c r="J1113" s="1046"/>
      <c r="K1113" s="1047"/>
      <c r="L1113" s="1046"/>
      <c r="M1113" s="1094"/>
      <c r="N1113" s="989">
        <v>45200</v>
      </c>
      <c r="O1113" s="989">
        <v>45200</v>
      </c>
      <c r="P1113" s="989"/>
      <c r="Q1113" s="989">
        <f t="shared" si="117"/>
        <v>45200</v>
      </c>
      <c r="R1113" s="989">
        <f t="shared" si="119"/>
        <v>100</v>
      </c>
      <c r="S1113" s="1011"/>
      <c r="T1113" s="989">
        <f t="shared" si="115"/>
        <v>0</v>
      </c>
      <c r="U1113" s="989">
        <f t="shared" si="118"/>
        <v>45200</v>
      </c>
      <c r="V1113" s="989">
        <f t="shared" si="120"/>
        <v>100</v>
      </c>
      <c r="W1113" s="989"/>
      <c r="X1113" s="989">
        <f t="shared" si="116"/>
        <v>0</v>
      </c>
      <c r="Y1113" s="1012"/>
      <c r="Z1113" s="941"/>
      <c r="AA1113" s="941"/>
      <c r="AB1113" s="941"/>
      <c r="AC1113" s="941"/>
      <c r="AD1113" s="941"/>
      <c r="AE1113" s="941"/>
      <c r="AF1113" s="941"/>
      <c r="AG1113" s="941"/>
      <c r="AH1113" s="941"/>
      <c r="AI1113" s="941"/>
      <c r="AJ1113" s="941"/>
      <c r="AK1113" s="941"/>
      <c r="AL1113" s="941"/>
      <c r="AM1113" s="941"/>
    </row>
    <row r="1114" spans="1:39" s="969" customFormat="1" ht="63" customHeight="1">
      <c r="A1114" s="1036">
        <v>996</v>
      </c>
      <c r="B1114" s="1007" t="s">
        <v>2773</v>
      </c>
      <c r="C1114" s="1008"/>
      <c r="D1114" s="1008"/>
      <c r="E1114" s="1027" t="s">
        <v>3151</v>
      </c>
      <c r="F1114" s="1012" t="s">
        <v>567</v>
      </c>
      <c r="G1114" s="989">
        <v>312000</v>
      </c>
      <c r="H1114" s="937"/>
      <c r="I1114" s="1046"/>
      <c r="J1114" s="1046"/>
      <c r="K1114" s="1047"/>
      <c r="L1114" s="1046"/>
      <c r="M1114" s="1094"/>
      <c r="N1114" s="989">
        <v>312000</v>
      </c>
      <c r="O1114" s="989">
        <v>312000</v>
      </c>
      <c r="P1114" s="989"/>
      <c r="Q1114" s="989">
        <f t="shared" si="117"/>
        <v>312000</v>
      </c>
      <c r="R1114" s="989">
        <f t="shared" si="119"/>
        <v>100</v>
      </c>
      <c r="S1114" s="1011"/>
      <c r="T1114" s="989">
        <f t="shared" si="115"/>
        <v>0</v>
      </c>
      <c r="U1114" s="989">
        <f t="shared" si="118"/>
        <v>312000</v>
      </c>
      <c r="V1114" s="989">
        <f t="shared" si="120"/>
        <v>100</v>
      </c>
      <c r="W1114" s="989"/>
      <c r="X1114" s="989">
        <f t="shared" si="116"/>
        <v>0</v>
      </c>
      <c r="Y1114" s="1012"/>
      <c r="Z1114" s="941"/>
      <c r="AA1114" s="941"/>
      <c r="AB1114" s="941"/>
      <c r="AC1114" s="941"/>
      <c r="AD1114" s="941"/>
      <c r="AE1114" s="941"/>
      <c r="AF1114" s="941"/>
      <c r="AG1114" s="941"/>
      <c r="AH1114" s="941"/>
      <c r="AI1114" s="941"/>
      <c r="AJ1114" s="941"/>
      <c r="AK1114" s="941"/>
      <c r="AL1114" s="941"/>
      <c r="AM1114" s="941"/>
    </row>
    <row r="1115" spans="1:39" s="969" customFormat="1" ht="63" customHeight="1">
      <c r="A1115" s="1036">
        <v>997</v>
      </c>
      <c r="B1115" s="1007" t="s">
        <v>3189</v>
      </c>
      <c r="C1115" s="1008"/>
      <c r="D1115" s="1008"/>
      <c r="E1115" s="1027" t="s">
        <v>3190</v>
      </c>
      <c r="F1115" s="1012" t="s">
        <v>339</v>
      </c>
      <c r="G1115" s="989">
        <v>45200</v>
      </c>
      <c r="H1115" s="937"/>
      <c r="I1115" s="1046"/>
      <c r="J1115" s="1046"/>
      <c r="K1115" s="1047"/>
      <c r="L1115" s="1046"/>
      <c r="M1115" s="1094">
        <f>-25475-2525</f>
        <v>-28000</v>
      </c>
      <c r="N1115" s="989">
        <f>45200+M1115</f>
        <v>17200</v>
      </c>
      <c r="O1115" s="989">
        <v>0</v>
      </c>
      <c r="P1115" s="989">
        <v>17200</v>
      </c>
      <c r="Q1115" s="989">
        <f t="shared" si="117"/>
        <v>17200</v>
      </c>
      <c r="R1115" s="989">
        <f t="shared" si="119"/>
        <v>100</v>
      </c>
      <c r="S1115" s="1011">
        <v>0</v>
      </c>
      <c r="T1115" s="989">
        <f t="shared" si="115"/>
        <v>0</v>
      </c>
      <c r="U1115" s="989">
        <f t="shared" si="118"/>
        <v>17200</v>
      </c>
      <c r="V1115" s="989">
        <f t="shared" si="120"/>
        <v>100</v>
      </c>
      <c r="W1115" s="989"/>
      <c r="X1115" s="989">
        <f t="shared" si="116"/>
        <v>0</v>
      </c>
      <c r="Y1115" s="1012"/>
      <c r="Z1115" s="941"/>
      <c r="AA1115" s="941"/>
      <c r="AB1115" s="941"/>
      <c r="AC1115" s="941"/>
      <c r="AD1115" s="941"/>
      <c r="AE1115" s="941"/>
      <c r="AF1115" s="941"/>
      <c r="AG1115" s="941"/>
      <c r="AH1115" s="941"/>
      <c r="AI1115" s="941"/>
      <c r="AJ1115" s="941"/>
      <c r="AK1115" s="941"/>
      <c r="AL1115" s="941"/>
      <c r="AM1115" s="941"/>
    </row>
    <row r="1116" spans="1:39" s="969" customFormat="1" ht="63" customHeight="1">
      <c r="A1116" s="1036">
        <v>998</v>
      </c>
      <c r="B1116" s="1007" t="s">
        <v>3191</v>
      </c>
      <c r="C1116" s="1008"/>
      <c r="D1116" s="1008"/>
      <c r="E1116" s="1027" t="s">
        <v>3192</v>
      </c>
      <c r="F1116" s="1012" t="s">
        <v>339</v>
      </c>
      <c r="G1116" s="989">
        <v>45200</v>
      </c>
      <c r="H1116" s="937"/>
      <c r="I1116" s="1046"/>
      <c r="J1116" s="1046"/>
      <c r="K1116" s="1047"/>
      <c r="L1116" s="1046"/>
      <c r="M1116" s="1094">
        <f>-2300-1585.72</f>
        <v>-3885.7200000000003</v>
      </c>
      <c r="N1116" s="989">
        <f>45200+M1116</f>
        <v>41314.28</v>
      </c>
      <c r="O1116" s="989">
        <v>41314.28</v>
      </c>
      <c r="P1116" s="989">
        <v>0</v>
      </c>
      <c r="Q1116" s="989">
        <f t="shared" si="117"/>
        <v>41314.28</v>
      </c>
      <c r="R1116" s="989">
        <f t="shared" si="119"/>
        <v>100</v>
      </c>
      <c r="S1116" s="1011">
        <v>0</v>
      </c>
      <c r="T1116" s="989">
        <f t="shared" si="115"/>
        <v>0</v>
      </c>
      <c r="U1116" s="989">
        <f t="shared" si="118"/>
        <v>41314.28</v>
      </c>
      <c r="V1116" s="989">
        <f t="shared" si="120"/>
        <v>100</v>
      </c>
      <c r="W1116" s="989"/>
      <c r="X1116" s="989">
        <f t="shared" si="116"/>
        <v>0</v>
      </c>
      <c r="Y1116" s="1012"/>
      <c r="Z1116" s="941"/>
      <c r="AA1116" s="941"/>
      <c r="AB1116" s="941"/>
      <c r="AC1116" s="941"/>
      <c r="AD1116" s="941"/>
      <c r="AE1116" s="941"/>
      <c r="AF1116" s="941"/>
      <c r="AG1116" s="941"/>
      <c r="AH1116" s="941"/>
      <c r="AI1116" s="941"/>
      <c r="AJ1116" s="941"/>
      <c r="AK1116" s="941"/>
      <c r="AL1116" s="941"/>
      <c r="AM1116" s="941"/>
    </row>
    <row r="1117" spans="1:39" s="969" customFormat="1" ht="63" customHeight="1">
      <c r="A1117" s="1036">
        <v>999</v>
      </c>
      <c r="B1117" s="1007" t="s">
        <v>3193</v>
      </c>
      <c r="C1117" s="1008"/>
      <c r="D1117" s="1008"/>
      <c r="E1117" s="1027" t="s">
        <v>3194</v>
      </c>
      <c r="F1117" s="1012" t="s">
        <v>339</v>
      </c>
      <c r="G1117" s="989">
        <v>45200</v>
      </c>
      <c r="H1117" s="937"/>
      <c r="I1117" s="1046"/>
      <c r="J1117" s="1046"/>
      <c r="K1117" s="1047"/>
      <c r="L1117" s="1046"/>
      <c r="M1117" s="1094">
        <f>-20200-6400</f>
        <v>-26600</v>
      </c>
      <c r="N1117" s="989">
        <f>45200+M1117</f>
        <v>18600</v>
      </c>
      <c r="O1117" s="989">
        <v>0</v>
      </c>
      <c r="P1117" s="989">
        <v>18600</v>
      </c>
      <c r="Q1117" s="989">
        <f t="shared" si="117"/>
        <v>18600</v>
      </c>
      <c r="R1117" s="989">
        <f t="shared" si="119"/>
        <v>100</v>
      </c>
      <c r="S1117" s="1011">
        <v>0</v>
      </c>
      <c r="T1117" s="989">
        <f t="shared" si="115"/>
        <v>0</v>
      </c>
      <c r="U1117" s="989">
        <f t="shared" si="118"/>
        <v>18600</v>
      </c>
      <c r="V1117" s="989">
        <f t="shared" si="120"/>
        <v>100</v>
      </c>
      <c r="W1117" s="989"/>
      <c r="X1117" s="989">
        <f t="shared" si="116"/>
        <v>0</v>
      </c>
      <c r="Y1117" s="1012"/>
      <c r="Z1117" s="941"/>
      <c r="AA1117" s="941"/>
      <c r="AB1117" s="941"/>
      <c r="AC1117" s="941"/>
      <c r="AD1117" s="941"/>
      <c r="AE1117" s="941"/>
      <c r="AF1117" s="941"/>
      <c r="AG1117" s="941"/>
      <c r="AH1117" s="941"/>
      <c r="AI1117" s="941"/>
      <c r="AJ1117" s="941"/>
      <c r="AK1117" s="941"/>
      <c r="AL1117" s="941"/>
      <c r="AM1117" s="941"/>
    </row>
    <row r="1118" spans="1:39" s="969" customFormat="1" ht="63" customHeight="1">
      <c r="A1118" s="1036">
        <v>1000</v>
      </c>
      <c r="B1118" s="1007" t="s">
        <v>3195</v>
      </c>
      <c r="C1118" s="1008"/>
      <c r="D1118" s="1008"/>
      <c r="E1118" s="1027" t="s">
        <v>3196</v>
      </c>
      <c r="F1118" s="1012" t="s">
        <v>339</v>
      </c>
      <c r="G1118" s="989">
        <v>45200</v>
      </c>
      <c r="H1118" s="937"/>
      <c r="I1118" s="1046"/>
      <c r="J1118" s="1046"/>
      <c r="K1118" s="1047"/>
      <c r="L1118" s="1046"/>
      <c r="M1118" s="1094"/>
      <c r="N1118" s="989">
        <v>45200</v>
      </c>
      <c r="O1118" s="989">
        <v>45200</v>
      </c>
      <c r="P1118" s="989"/>
      <c r="Q1118" s="989">
        <f t="shared" si="117"/>
        <v>45200</v>
      </c>
      <c r="R1118" s="989">
        <f t="shared" si="119"/>
        <v>100</v>
      </c>
      <c r="S1118" s="1011"/>
      <c r="T1118" s="989">
        <f t="shared" si="115"/>
        <v>0</v>
      </c>
      <c r="U1118" s="989">
        <f t="shared" si="118"/>
        <v>45200</v>
      </c>
      <c r="V1118" s="989">
        <f t="shared" si="120"/>
        <v>100</v>
      </c>
      <c r="W1118" s="989"/>
      <c r="X1118" s="989">
        <f t="shared" si="116"/>
        <v>0</v>
      </c>
      <c r="Y1118" s="1012"/>
      <c r="Z1118" s="941"/>
      <c r="AA1118" s="941"/>
      <c r="AB1118" s="941"/>
      <c r="AC1118" s="941"/>
      <c r="AD1118" s="941"/>
      <c r="AE1118" s="941"/>
      <c r="AF1118" s="941"/>
      <c r="AG1118" s="941"/>
      <c r="AH1118" s="941"/>
      <c r="AI1118" s="941"/>
      <c r="AJ1118" s="941"/>
      <c r="AK1118" s="941"/>
      <c r="AL1118" s="941"/>
      <c r="AM1118" s="941"/>
    </row>
    <row r="1119" spans="1:39" s="969" customFormat="1" ht="63" customHeight="1">
      <c r="A1119" s="1036">
        <v>1001</v>
      </c>
      <c r="B1119" s="1007" t="s">
        <v>3195</v>
      </c>
      <c r="C1119" s="1008"/>
      <c r="D1119" s="1008"/>
      <c r="E1119" s="1027" t="s">
        <v>3197</v>
      </c>
      <c r="F1119" s="1012" t="s">
        <v>339</v>
      </c>
      <c r="G1119" s="989">
        <v>45200</v>
      </c>
      <c r="H1119" s="937"/>
      <c r="I1119" s="1046"/>
      <c r="J1119" s="1046"/>
      <c r="K1119" s="1047"/>
      <c r="L1119" s="1046"/>
      <c r="M1119" s="1094">
        <v>-14200</v>
      </c>
      <c r="N1119" s="989">
        <f>45200+M1119</f>
        <v>31000</v>
      </c>
      <c r="O1119" s="989">
        <v>31000</v>
      </c>
      <c r="P1119" s="989">
        <v>0</v>
      </c>
      <c r="Q1119" s="989">
        <f t="shared" si="117"/>
        <v>31000</v>
      </c>
      <c r="R1119" s="989">
        <f t="shared" si="119"/>
        <v>100</v>
      </c>
      <c r="S1119" s="1011">
        <v>0</v>
      </c>
      <c r="T1119" s="989">
        <f t="shared" si="115"/>
        <v>0</v>
      </c>
      <c r="U1119" s="989">
        <f t="shared" si="118"/>
        <v>31000</v>
      </c>
      <c r="V1119" s="989">
        <f t="shared" si="120"/>
        <v>100</v>
      </c>
      <c r="W1119" s="989"/>
      <c r="X1119" s="989">
        <f t="shared" si="116"/>
        <v>0</v>
      </c>
      <c r="Y1119" s="1012"/>
      <c r="Z1119" s="941"/>
      <c r="AA1119" s="941"/>
      <c r="AB1119" s="941"/>
      <c r="AC1119" s="941"/>
      <c r="AD1119" s="941"/>
      <c r="AE1119" s="941"/>
      <c r="AF1119" s="941"/>
      <c r="AG1119" s="941"/>
      <c r="AH1119" s="941"/>
      <c r="AI1119" s="941"/>
      <c r="AJ1119" s="941"/>
      <c r="AK1119" s="941"/>
      <c r="AL1119" s="941"/>
      <c r="AM1119" s="941"/>
    </row>
    <row r="1120" spans="1:39" s="969" customFormat="1" ht="63" customHeight="1">
      <c r="A1120" s="1036">
        <v>1002</v>
      </c>
      <c r="B1120" s="1007" t="s">
        <v>3198</v>
      </c>
      <c r="C1120" s="1008"/>
      <c r="D1120" s="1008"/>
      <c r="E1120" s="1027" t="s">
        <v>3199</v>
      </c>
      <c r="F1120" s="1012" t="s">
        <v>339</v>
      </c>
      <c r="G1120" s="989">
        <v>104000</v>
      </c>
      <c r="H1120" s="937"/>
      <c r="I1120" s="1046"/>
      <c r="J1120" s="1046"/>
      <c r="K1120" s="1047"/>
      <c r="L1120" s="1046"/>
      <c r="M1120" s="1094">
        <v>-1000</v>
      </c>
      <c r="N1120" s="989">
        <f>104000+M1120</f>
        <v>103000</v>
      </c>
      <c r="O1120" s="989">
        <v>0</v>
      </c>
      <c r="P1120" s="989">
        <v>103000</v>
      </c>
      <c r="Q1120" s="989">
        <f t="shared" si="117"/>
        <v>103000</v>
      </c>
      <c r="R1120" s="989">
        <f t="shared" si="119"/>
        <v>100</v>
      </c>
      <c r="S1120" s="1011">
        <v>0</v>
      </c>
      <c r="T1120" s="989">
        <f t="shared" ref="T1120:T1183" si="121">S1120/N1120*100</f>
        <v>0</v>
      </c>
      <c r="U1120" s="989">
        <f t="shared" si="118"/>
        <v>103000</v>
      </c>
      <c r="V1120" s="989">
        <f t="shared" si="120"/>
        <v>100</v>
      </c>
      <c r="W1120" s="989"/>
      <c r="X1120" s="989">
        <f t="shared" si="116"/>
        <v>0</v>
      </c>
      <c r="Y1120" s="1012"/>
      <c r="Z1120" s="941"/>
      <c r="AA1120" s="941"/>
      <c r="AB1120" s="941"/>
      <c r="AC1120" s="941"/>
      <c r="AD1120" s="941"/>
      <c r="AE1120" s="941"/>
      <c r="AF1120" s="941"/>
      <c r="AG1120" s="941"/>
      <c r="AH1120" s="941"/>
      <c r="AI1120" s="941"/>
      <c r="AJ1120" s="941"/>
      <c r="AK1120" s="941"/>
      <c r="AL1120" s="941"/>
      <c r="AM1120" s="941"/>
    </row>
    <row r="1121" spans="1:39" s="969" customFormat="1" ht="63" customHeight="1">
      <c r="A1121" s="1036">
        <v>1003</v>
      </c>
      <c r="B1121" s="1007" t="s">
        <v>3200</v>
      </c>
      <c r="C1121" s="1008"/>
      <c r="D1121" s="1008"/>
      <c r="E1121" s="1027" t="s">
        <v>3201</v>
      </c>
      <c r="F1121" s="1012" t="s">
        <v>339</v>
      </c>
      <c r="G1121" s="989">
        <v>104000</v>
      </c>
      <c r="H1121" s="937"/>
      <c r="I1121" s="1046"/>
      <c r="J1121" s="1046"/>
      <c r="K1121" s="1047"/>
      <c r="L1121" s="1046"/>
      <c r="M1121" s="1094">
        <f>-2580-7434.88</f>
        <v>-10014.880000000001</v>
      </c>
      <c r="N1121" s="989">
        <f>104000+M1121</f>
        <v>93985.12</v>
      </c>
      <c r="O1121" s="989">
        <v>0</v>
      </c>
      <c r="P1121" s="989">
        <v>93985.12</v>
      </c>
      <c r="Q1121" s="989">
        <f t="shared" si="117"/>
        <v>93985.12</v>
      </c>
      <c r="R1121" s="989">
        <f t="shared" si="119"/>
        <v>100</v>
      </c>
      <c r="S1121" s="1011">
        <v>0</v>
      </c>
      <c r="T1121" s="989">
        <f t="shared" si="121"/>
        <v>0</v>
      </c>
      <c r="U1121" s="989">
        <f t="shared" si="118"/>
        <v>93985.12</v>
      </c>
      <c r="V1121" s="989">
        <f t="shared" si="120"/>
        <v>100</v>
      </c>
      <c r="W1121" s="989"/>
      <c r="X1121" s="989">
        <f t="shared" si="116"/>
        <v>0</v>
      </c>
      <c r="Y1121" s="1012"/>
      <c r="Z1121" s="941"/>
      <c r="AA1121" s="941"/>
      <c r="AB1121" s="941"/>
      <c r="AC1121" s="941"/>
      <c r="AD1121" s="941"/>
      <c r="AE1121" s="941"/>
      <c r="AF1121" s="941"/>
      <c r="AG1121" s="941"/>
      <c r="AH1121" s="941"/>
      <c r="AI1121" s="941"/>
      <c r="AJ1121" s="941"/>
      <c r="AK1121" s="941"/>
      <c r="AL1121" s="941"/>
      <c r="AM1121" s="941"/>
    </row>
    <row r="1122" spans="1:39" s="969" customFormat="1" ht="63" customHeight="1">
      <c r="A1122" s="1036">
        <v>1004</v>
      </c>
      <c r="B1122" s="1007" t="s">
        <v>3202</v>
      </c>
      <c r="C1122" s="1008"/>
      <c r="D1122" s="1008"/>
      <c r="E1122" s="1027" t="s">
        <v>3203</v>
      </c>
      <c r="F1122" s="1012" t="s">
        <v>339</v>
      </c>
      <c r="G1122" s="989">
        <v>104000</v>
      </c>
      <c r="H1122" s="937"/>
      <c r="I1122" s="1046"/>
      <c r="J1122" s="1046"/>
      <c r="K1122" s="1047"/>
      <c r="L1122" s="1046"/>
      <c r="M1122" s="1094">
        <v>-44064</v>
      </c>
      <c r="N1122" s="989">
        <f>104000+M1122</f>
        <v>59936</v>
      </c>
      <c r="O1122" s="989">
        <v>0</v>
      </c>
      <c r="P1122" s="989">
        <v>59936</v>
      </c>
      <c r="Q1122" s="989">
        <f t="shared" si="117"/>
        <v>59936</v>
      </c>
      <c r="R1122" s="989">
        <f t="shared" si="119"/>
        <v>100</v>
      </c>
      <c r="S1122" s="1011">
        <v>0</v>
      </c>
      <c r="T1122" s="989">
        <f t="shared" si="121"/>
        <v>0</v>
      </c>
      <c r="U1122" s="989">
        <f t="shared" si="118"/>
        <v>59936</v>
      </c>
      <c r="V1122" s="989">
        <f t="shared" si="120"/>
        <v>100</v>
      </c>
      <c r="W1122" s="989"/>
      <c r="X1122" s="989">
        <f t="shared" si="116"/>
        <v>0</v>
      </c>
      <c r="Y1122" s="1012"/>
      <c r="Z1122" s="941"/>
      <c r="AA1122" s="941"/>
      <c r="AB1122" s="941"/>
      <c r="AC1122" s="941"/>
      <c r="AD1122" s="941"/>
      <c r="AE1122" s="941"/>
      <c r="AF1122" s="941"/>
      <c r="AG1122" s="941"/>
      <c r="AH1122" s="941"/>
      <c r="AI1122" s="941"/>
      <c r="AJ1122" s="941"/>
      <c r="AK1122" s="941"/>
      <c r="AL1122" s="941"/>
      <c r="AM1122" s="941"/>
    </row>
    <row r="1123" spans="1:39" s="969" customFormat="1" ht="63" customHeight="1">
      <c r="A1123" s="1036">
        <v>1005</v>
      </c>
      <c r="B1123" s="1007" t="s">
        <v>3204</v>
      </c>
      <c r="C1123" s="1008"/>
      <c r="D1123" s="1008"/>
      <c r="E1123" s="1027" t="s">
        <v>3205</v>
      </c>
      <c r="F1123" s="1012" t="s">
        <v>339</v>
      </c>
      <c r="G1123" s="989">
        <v>208000</v>
      </c>
      <c r="H1123" s="937"/>
      <c r="I1123" s="1046"/>
      <c r="J1123" s="1046"/>
      <c r="K1123" s="1047">
        <v>-53000</v>
      </c>
      <c r="L1123" s="1046"/>
      <c r="M1123" s="1094">
        <v>-14000</v>
      </c>
      <c r="N1123" s="989">
        <f>208000+M1123+K1123</f>
        <v>141000</v>
      </c>
      <c r="O1123" s="989">
        <v>0</v>
      </c>
      <c r="P1123" s="989">
        <v>141000</v>
      </c>
      <c r="Q1123" s="989">
        <f t="shared" si="117"/>
        <v>141000</v>
      </c>
      <c r="R1123" s="989">
        <f t="shared" si="119"/>
        <v>100</v>
      </c>
      <c r="S1123" s="1011">
        <v>0</v>
      </c>
      <c r="T1123" s="989">
        <f t="shared" si="121"/>
        <v>0</v>
      </c>
      <c r="U1123" s="989">
        <f t="shared" si="118"/>
        <v>141000</v>
      </c>
      <c r="V1123" s="989">
        <f t="shared" si="120"/>
        <v>100</v>
      </c>
      <c r="W1123" s="989"/>
      <c r="X1123" s="989">
        <f t="shared" si="116"/>
        <v>0</v>
      </c>
      <c r="Y1123" s="1012"/>
      <c r="Z1123" s="941"/>
      <c r="AA1123" s="941"/>
      <c r="AB1123" s="941"/>
      <c r="AC1123" s="941"/>
      <c r="AD1123" s="941"/>
      <c r="AE1123" s="941"/>
      <c r="AF1123" s="941"/>
      <c r="AG1123" s="941"/>
      <c r="AH1123" s="941"/>
      <c r="AI1123" s="941"/>
      <c r="AJ1123" s="941"/>
      <c r="AK1123" s="941"/>
      <c r="AL1123" s="941"/>
      <c r="AM1123" s="941"/>
    </row>
    <row r="1124" spans="1:39" s="969" customFormat="1" ht="63" customHeight="1">
      <c r="A1124" s="1036">
        <v>1006</v>
      </c>
      <c r="B1124" s="1007" t="s">
        <v>3206</v>
      </c>
      <c r="C1124" s="1008"/>
      <c r="D1124" s="1008"/>
      <c r="E1124" s="1027" t="s">
        <v>3207</v>
      </c>
      <c r="F1124" s="1012" t="s">
        <v>339</v>
      </c>
      <c r="G1124" s="989">
        <v>104000</v>
      </c>
      <c r="H1124" s="937"/>
      <c r="I1124" s="1046"/>
      <c r="J1124" s="1046"/>
      <c r="K1124" s="1047"/>
      <c r="L1124" s="1046"/>
      <c r="M1124" s="1094"/>
      <c r="N1124" s="989">
        <v>104000</v>
      </c>
      <c r="O1124" s="989">
        <v>0</v>
      </c>
      <c r="P1124" s="989">
        <v>104000</v>
      </c>
      <c r="Q1124" s="989">
        <f t="shared" si="117"/>
        <v>104000</v>
      </c>
      <c r="R1124" s="989">
        <f t="shared" si="119"/>
        <v>100</v>
      </c>
      <c r="S1124" s="1011">
        <v>0</v>
      </c>
      <c r="T1124" s="989">
        <f t="shared" si="121"/>
        <v>0</v>
      </c>
      <c r="U1124" s="989">
        <f t="shared" si="118"/>
        <v>104000</v>
      </c>
      <c r="V1124" s="989">
        <f t="shared" si="120"/>
        <v>100</v>
      </c>
      <c r="W1124" s="989"/>
      <c r="X1124" s="989">
        <f t="shared" si="116"/>
        <v>0</v>
      </c>
      <c r="Y1124" s="1012"/>
      <c r="Z1124" s="941"/>
      <c r="AA1124" s="941"/>
      <c r="AB1124" s="941"/>
      <c r="AC1124" s="941"/>
      <c r="AD1124" s="941"/>
      <c r="AE1124" s="941"/>
      <c r="AF1124" s="941"/>
      <c r="AG1124" s="941"/>
      <c r="AH1124" s="941"/>
      <c r="AI1124" s="941"/>
      <c r="AJ1124" s="941"/>
      <c r="AK1124" s="941"/>
      <c r="AL1124" s="941"/>
      <c r="AM1124" s="941"/>
    </row>
    <row r="1125" spans="1:39" s="969" customFormat="1" ht="63" customHeight="1">
      <c r="A1125" s="1036">
        <v>1007</v>
      </c>
      <c r="B1125" s="1007" t="s">
        <v>3208</v>
      </c>
      <c r="C1125" s="1008"/>
      <c r="D1125" s="1008"/>
      <c r="E1125" s="1027" t="s">
        <v>3209</v>
      </c>
      <c r="F1125" s="1012" t="s">
        <v>339</v>
      </c>
      <c r="G1125" s="989">
        <v>104000</v>
      </c>
      <c r="H1125" s="937"/>
      <c r="I1125" s="1046"/>
      <c r="J1125" s="1046"/>
      <c r="K1125" s="1047"/>
      <c r="L1125" s="1046"/>
      <c r="M1125" s="1094">
        <v>-31700</v>
      </c>
      <c r="N1125" s="989">
        <f>104000+M1125</f>
        <v>72300</v>
      </c>
      <c r="O1125" s="989">
        <v>0</v>
      </c>
      <c r="P1125" s="989">
        <v>72300</v>
      </c>
      <c r="Q1125" s="989">
        <f t="shared" si="117"/>
        <v>72300</v>
      </c>
      <c r="R1125" s="989">
        <f t="shared" si="119"/>
        <v>100</v>
      </c>
      <c r="S1125" s="1011">
        <v>0</v>
      </c>
      <c r="T1125" s="989">
        <f t="shared" si="121"/>
        <v>0</v>
      </c>
      <c r="U1125" s="989">
        <f t="shared" si="118"/>
        <v>72300</v>
      </c>
      <c r="V1125" s="989">
        <f t="shared" si="120"/>
        <v>100</v>
      </c>
      <c r="W1125" s="989"/>
      <c r="X1125" s="989">
        <f t="shared" si="116"/>
        <v>0</v>
      </c>
      <c r="Y1125" s="1012" t="s">
        <v>339</v>
      </c>
      <c r="Z1125" s="941"/>
      <c r="AA1125" s="941"/>
      <c r="AB1125" s="941"/>
      <c r="AC1125" s="941"/>
      <c r="AD1125" s="941"/>
      <c r="AE1125" s="941"/>
      <c r="AF1125" s="941"/>
      <c r="AG1125" s="941"/>
      <c r="AH1125" s="941"/>
      <c r="AI1125" s="941"/>
      <c r="AJ1125" s="941"/>
      <c r="AK1125" s="941"/>
      <c r="AL1125" s="941"/>
      <c r="AM1125" s="941"/>
    </row>
    <row r="1126" spans="1:39" s="969" customFormat="1" ht="63" customHeight="1">
      <c r="A1126" s="1036">
        <v>1008</v>
      </c>
      <c r="B1126" s="1007" t="s">
        <v>3210</v>
      </c>
      <c r="C1126" s="1008"/>
      <c r="D1126" s="1008"/>
      <c r="E1126" s="1027" t="s">
        <v>3211</v>
      </c>
      <c r="F1126" s="1012" t="s">
        <v>358</v>
      </c>
      <c r="G1126" s="989">
        <v>208000</v>
      </c>
      <c r="H1126" s="937"/>
      <c r="I1126" s="1046"/>
      <c r="J1126" s="1046"/>
      <c r="K1126" s="1047"/>
      <c r="L1126" s="1046"/>
      <c r="M1126" s="1094">
        <v>-20001</v>
      </c>
      <c r="N1126" s="989">
        <f>208000+M1126</f>
        <v>187999</v>
      </c>
      <c r="O1126" s="989">
        <v>0</v>
      </c>
      <c r="P1126" s="989">
        <v>187999</v>
      </c>
      <c r="Q1126" s="989">
        <f t="shared" si="117"/>
        <v>187999</v>
      </c>
      <c r="R1126" s="989">
        <f t="shared" si="119"/>
        <v>100</v>
      </c>
      <c r="S1126" s="1011">
        <v>0</v>
      </c>
      <c r="T1126" s="989">
        <f t="shared" si="121"/>
        <v>0</v>
      </c>
      <c r="U1126" s="989">
        <f t="shared" si="118"/>
        <v>187999</v>
      </c>
      <c r="V1126" s="989">
        <f t="shared" si="120"/>
        <v>100</v>
      </c>
      <c r="W1126" s="989"/>
      <c r="X1126" s="989">
        <f t="shared" si="116"/>
        <v>0</v>
      </c>
      <c r="Y1126" s="1012"/>
      <c r="Z1126" s="941"/>
      <c r="AA1126" s="941"/>
      <c r="AB1126" s="941"/>
      <c r="AC1126" s="941"/>
      <c r="AD1126" s="941"/>
      <c r="AE1126" s="941"/>
      <c r="AF1126" s="941"/>
      <c r="AG1126" s="941"/>
      <c r="AH1126" s="941"/>
      <c r="AI1126" s="941"/>
      <c r="AJ1126" s="941"/>
      <c r="AK1126" s="941"/>
      <c r="AL1126" s="941"/>
      <c r="AM1126" s="941"/>
    </row>
    <row r="1127" spans="1:39" s="969" customFormat="1" ht="63" customHeight="1">
      <c r="A1127" s="1036">
        <v>1009</v>
      </c>
      <c r="B1127" s="1009" t="s">
        <v>3212</v>
      </c>
      <c r="C1127" s="1035"/>
      <c r="D1127" s="1035"/>
      <c r="E1127" s="1027" t="s">
        <v>3213</v>
      </c>
      <c r="F1127" s="1012" t="s">
        <v>1180</v>
      </c>
      <c r="G1127" s="989">
        <v>226000</v>
      </c>
      <c r="H1127" s="937"/>
      <c r="I1127" s="1046"/>
      <c r="J1127" s="1046"/>
      <c r="K1127" s="1047">
        <v>-45400</v>
      </c>
      <c r="L1127" s="1046"/>
      <c r="M1127" s="1094"/>
      <c r="N1127" s="989">
        <f>226000+M1127+K1127</f>
        <v>180600</v>
      </c>
      <c r="O1127" s="989">
        <v>0</v>
      </c>
      <c r="P1127" s="989">
        <v>180600</v>
      </c>
      <c r="Q1127" s="989">
        <f t="shared" si="117"/>
        <v>180600</v>
      </c>
      <c r="R1127" s="989">
        <f t="shared" si="119"/>
        <v>100</v>
      </c>
      <c r="S1127" s="1011">
        <v>0</v>
      </c>
      <c r="T1127" s="989">
        <f t="shared" si="121"/>
        <v>0</v>
      </c>
      <c r="U1127" s="989">
        <f t="shared" si="118"/>
        <v>180600</v>
      </c>
      <c r="V1127" s="989">
        <f t="shared" si="120"/>
        <v>100</v>
      </c>
      <c r="W1127" s="989"/>
      <c r="X1127" s="989">
        <f t="shared" si="116"/>
        <v>0</v>
      </c>
      <c r="Y1127" s="1012"/>
      <c r="Z1127" s="941"/>
      <c r="AA1127" s="941"/>
      <c r="AB1127" s="941"/>
      <c r="AC1127" s="941"/>
      <c r="AD1127" s="941"/>
      <c r="AE1127" s="941"/>
      <c r="AF1127" s="941"/>
      <c r="AG1127" s="941"/>
      <c r="AH1127" s="941"/>
      <c r="AI1127" s="941"/>
      <c r="AJ1127" s="941"/>
      <c r="AK1127" s="941"/>
      <c r="AL1127" s="941"/>
      <c r="AM1127" s="941"/>
    </row>
    <row r="1128" spans="1:39" s="969" customFormat="1" ht="63" customHeight="1">
      <c r="A1128" s="1036">
        <v>1010</v>
      </c>
      <c r="B1128" s="1007" t="s">
        <v>3214</v>
      </c>
      <c r="C1128" s="1008"/>
      <c r="D1128" s="1008"/>
      <c r="E1128" s="1027" t="s">
        <v>3215</v>
      </c>
      <c r="F1128" s="1012" t="s">
        <v>1180</v>
      </c>
      <c r="G1128" s="989">
        <v>208000</v>
      </c>
      <c r="H1128" s="937"/>
      <c r="I1128" s="1046"/>
      <c r="J1128" s="1046"/>
      <c r="K1128" s="1047">
        <v>-39538.910000000003</v>
      </c>
      <c r="L1128" s="1046"/>
      <c r="M1128" s="1094">
        <f>-47828.66+39538.91</f>
        <v>-8289.75</v>
      </c>
      <c r="N1128" s="989">
        <f>208000+M1128+K1128</f>
        <v>160171.34</v>
      </c>
      <c r="O1128" s="989">
        <v>0</v>
      </c>
      <c r="P1128" s="989">
        <v>160171.34</v>
      </c>
      <c r="Q1128" s="989">
        <f t="shared" si="117"/>
        <v>160171.34</v>
      </c>
      <c r="R1128" s="989">
        <f t="shared" si="119"/>
        <v>100</v>
      </c>
      <c r="S1128" s="1011">
        <v>0</v>
      </c>
      <c r="T1128" s="989">
        <f t="shared" si="121"/>
        <v>0</v>
      </c>
      <c r="U1128" s="989">
        <f t="shared" si="118"/>
        <v>160171.34</v>
      </c>
      <c r="V1128" s="989">
        <f t="shared" si="120"/>
        <v>100</v>
      </c>
      <c r="W1128" s="989"/>
      <c r="X1128" s="989">
        <f t="shared" si="116"/>
        <v>0</v>
      </c>
      <c r="Y1128" s="1012"/>
      <c r="Z1128" s="941"/>
      <c r="AA1128" s="941"/>
      <c r="AB1128" s="941"/>
      <c r="AC1128" s="941"/>
      <c r="AD1128" s="941"/>
      <c r="AE1128" s="941"/>
      <c r="AF1128" s="941"/>
      <c r="AG1128" s="941"/>
      <c r="AH1128" s="941"/>
      <c r="AI1128" s="941"/>
      <c r="AJ1128" s="941"/>
      <c r="AK1128" s="941"/>
      <c r="AL1128" s="941"/>
      <c r="AM1128" s="941"/>
    </row>
    <row r="1129" spans="1:39" s="969" customFormat="1" ht="63" customHeight="1">
      <c r="A1129" s="1036">
        <v>1011</v>
      </c>
      <c r="B1129" s="1007" t="s">
        <v>3216</v>
      </c>
      <c r="C1129" s="1008"/>
      <c r="D1129" s="1008"/>
      <c r="E1129" s="1027" t="s">
        <v>3217</v>
      </c>
      <c r="F1129" s="1012" t="s">
        <v>563</v>
      </c>
      <c r="G1129" s="989">
        <v>104000</v>
      </c>
      <c r="H1129" s="937"/>
      <c r="I1129" s="1046"/>
      <c r="J1129" s="1046"/>
      <c r="K1129" s="1047">
        <v>-9000</v>
      </c>
      <c r="L1129" s="1046"/>
      <c r="M1129" s="1094">
        <v>-14700</v>
      </c>
      <c r="N1129" s="989">
        <f>104000+M1129+K1129</f>
        <v>80300</v>
      </c>
      <c r="O1129" s="989">
        <v>0</v>
      </c>
      <c r="P1129" s="989">
        <v>80300</v>
      </c>
      <c r="Q1129" s="989">
        <f t="shared" si="117"/>
        <v>80300</v>
      </c>
      <c r="R1129" s="989">
        <f t="shared" si="119"/>
        <v>100</v>
      </c>
      <c r="S1129" s="1011">
        <v>0</v>
      </c>
      <c r="T1129" s="989">
        <f t="shared" si="121"/>
        <v>0</v>
      </c>
      <c r="U1129" s="989">
        <f t="shared" si="118"/>
        <v>80300</v>
      </c>
      <c r="V1129" s="989">
        <f t="shared" si="120"/>
        <v>100</v>
      </c>
      <c r="W1129" s="989"/>
      <c r="X1129" s="989">
        <f t="shared" si="116"/>
        <v>0</v>
      </c>
      <c r="Y1129" s="1012"/>
      <c r="Z1129" s="941"/>
      <c r="AA1129" s="941"/>
      <c r="AB1129" s="941"/>
      <c r="AC1129" s="941"/>
      <c r="AD1129" s="941"/>
      <c r="AE1129" s="941"/>
      <c r="AF1129" s="941"/>
      <c r="AG1129" s="941"/>
      <c r="AH1129" s="941"/>
      <c r="AI1129" s="941"/>
      <c r="AJ1129" s="941"/>
      <c r="AK1129" s="941"/>
      <c r="AL1129" s="941"/>
      <c r="AM1129" s="941"/>
    </row>
    <row r="1130" spans="1:39" s="969" customFormat="1" ht="63" customHeight="1">
      <c r="A1130" s="1036">
        <v>1012</v>
      </c>
      <c r="B1130" s="1007" t="s">
        <v>3218</v>
      </c>
      <c r="C1130" s="1008"/>
      <c r="D1130" s="1008"/>
      <c r="E1130" s="1027" t="s">
        <v>3219</v>
      </c>
      <c r="F1130" s="1012" t="s">
        <v>1385</v>
      </c>
      <c r="G1130" s="989">
        <v>45200</v>
      </c>
      <c r="H1130" s="937"/>
      <c r="I1130" s="1046"/>
      <c r="J1130" s="1046"/>
      <c r="K1130" s="1047"/>
      <c r="L1130" s="1046"/>
      <c r="M1130" s="1094">
        <v>-9228.89</v>
      </c>
      <c r="N1130" s="989">
        <f>45200+M1130</f>
        <v>35971.11</v>
      </c>
      <c r="O1130" s="989">
        <v>0</v>
      </c>
      <c r="P1130" s="989">
        <v>35971.11</v>
      </c>
      <c r="Q1130" s="989">
        <f t="shared" si="117"/>
        <v>35971.11</v>
      </c>
      <c r="R1130" s="989">
        <f t="shared" si="119"/>
        <v>100</v>
      </c>
      <c r="S1130" s="1011">
        <v>0</v>
      </c>
      <c r="T1130" s="989">
        <f t="shared" si="121"/>
        <v>0</v>
      </c>
      <c r="U1130" s="989">
        <f t="shared" si="118"/>
        <v>35971.11</v>
      </c>
      <c r="V1130" s="989">
        <f t="shared" si="120"/>
        <v>100</v>
      </c>
      <c r="W1130" s="989"/>
      <c r="X1130" s="989">
        <f t="shared" si="116"/>
        <v>0</v>
      </c>
      <c r="Y1130" s="1012"/>
      <c r="Z1130" s="941"/>
      <c r="AA1130" s="941"/>
      <c r="AB1130" s="941"/>
      <c r="AC1130" s="941"/>
      <c r="AD1130" s="941"/>
      <c r="AE1130" s="941"/>
      <c r="AF1130" s="941"/>
      <c r="AG1130" s="941"/>
      <c r="AH1130" s="941"/>
      <c r="AI1130" s="941"/>
      <c r="AJ1130" s="941"/>
      <c r="AK1130" s="941"/>
      <c r="AL1130" s="941"/>
      <c r="AM1130" s="941"/>
    </row>
    <row r="1131" spans="1:39" s="969" customFormat="1" ht="63" customHeight="1">
      <c r="A1131" s="1036">
        <v>1013</v>
      </c>
      <c r="B1131" s="1007" t="s">
        <v>3220</v>
      </c>
      <c r="C1131" s="1008"/>
      <c r="D1131" s="1008"/>
      <c r="E1131" s="1027" t="s">
        <v>3221</v>
      </c>
      <c r="F1131" s="1012" t="s">
        <v>1187</v>
      </c>
      <c r="G1131" s="989">
        <v>45200</v>
      </c>
      <c r="H1131" s="937"/>
      <c r="I1131" s="1046"/>
      <c r="J1131" s="1046"/>
      <c r="K1131" s="1047"/>
      <c r="L1131" s="1046"/>
      <c r="M1131" s="1094">
        <v>-17166</v>
      </c>
      <c r="N1131" s="989">
        <f>45200+M1131</f>
        <v>28034</v>
      </c>
      <c r="O1131" s="989">
        <v>0</v>
      </c>
      <c r="P1131" s="989">
        <v>28034</v>
      </c>
      <c r="Q1131" s="989">
        <f t="shared" si="117"/>
        <v>28034</v>
      </c>
      <c r="R1131" s="989">
        <f t="shared" si="119"/>
        <v>100</v>
      </c>
      <c r="S1131" s="1011">
        <v>0</v>
      </c>
      <c r="T1131" s="989">
        <f t="shared" si="121"/>
        <v>0</v>
      </c>
      <c r="U1131" s="989">
        <f t="shared" si="118"/>
        <v>28034</v>
      </c>
      <c r="V1131" s="989">
        <f t="shared" si="120"/>
        <v>100</v>
      </c>
      <c r="W1131" s="989"/>
      <c r="X1131" s="989">
        <f t="shared" si="116"/>
        <v>0</v>
      </c>
      <c r="Y1131" s="1012"/>
      <c r="Z1131" s="941"/>
      <c r="AA1131" s="941"/>
      <c r="AB1131" s="941"/>
      <c r="AC1131" s="941"/>
      <c r="AD1131" s="941"/>
      <c r="AE1131" s="941"/>
      <c r="AF1131" s="941"/>
      <c r="AG1131" s="941"/>
      <c r="AH1131" s="941"/>
      <c r="AI1131" s="941"/>
      <c r="AJ1131" s="941"/>
      <c r="AK1131" s="941"/>
      <c r="AL1131" s="941"/>
      <c r="AM1131" s="941"/>
    </row>
    <row r="1132" spans="1:39" s="969" customFormat="1" ht="63" customHeight="1">
      <c r="A1132" s="1034">
        <v>1014</v>
      </c>
      <c r="B1132" s="1007" t="s">
        <v>3222</v>
      </c>
      <c r="C1132" s="1008"/>
      <c r="D1132" s="1008"/>
      <c r="E1132" s="1027" t="s">
        <v>3223</v>
      </c>
      <c r="F1132" s="1012" t="s">
        <v>1187</v>
      </c>
      <c r="G1132" s="989">
        <v>45200</v>
      </c>
      <c r="H1132" s="937"/>
      <c r="I1132" s="1046"/>
      <c r="J1132" s="1046"/>
      <c r="K1132" s="1047"/>
      <c r="L1132" s="1046"/>
      <c r="M1132" s="1094"/>
      <c r="N1132" s="989">
        <v>45200</v>
      </c>
      <c r="O1132" s="989">
        <v>0</v>
      </c>
      <c r="P1132" s="989">
        <v>44380.639999999999</v>
      </c>
      <c r="Q1132" s="989">
        <f t="shared" si="117"/>
        <v>44380.639999999999</v>
      </c>
      <c r="R1132" s="989">
        <f t="shared" si="119"/>
        <v>98.187256637168147</v>
      </c>
      <c r="S1132" s="1011">
        <v>0</v>
      </c>
      <c r="T1132" s="989">
        <f t="shared" si="121"/>
        <v>0</v>
      </c>
      <c r="U1132" s="989">
        <f t="shared" si="118"/>
        <v>44380.639999999999</v>
      </c>
      <c r="V1132" s="989">
        <f t="shared" si="120"/>
        <v>98.187256637168147</v>
      </c>
      <c r="W1132" s="989"/>
      <c r="X1132" s="989">
        <f t="shared" si="116"/>
        <v>819.36000000000058</v>
      </c>
      <c r="Y1132" s="1012"/>
      <c r="Z1132" s="941"/>
      <c r="AA1132" s="941"/>
      <c r="AB1132" s="941"/>
      <c r="AC1132" s="941"/>
      <c r="AD1132" s="941"/>
      <c r="AE1132" s="941"/>
      <c r="AF1132" s="941"/>
      <c r="AG1132" s="941"/>
      <c r="AH1132" s="941"/>
      <c r="AI1132" s="941"/>
      <c r="AJ1132" s="941"/>
      <c r="AK1132" s="941"/>
      <c r="AL1132" s="941"/>
      <c r="AM1132" s="941"/>
    </row>
    <row r="1133" spans="1:39" s="969" customFormat="1" ht="63" customHeight="1">
      <c r="A1133" s="1034">
        <v>1015</v>
      </c>
      <c r="B1133" s="1007" t="s">
        <v>3224</v>
      </c>
      <c r="C1133" s="1008"/>
      <c r="D1133" s="1008"/>
      <c r="E1133" s="1027" t="s">
        <v>3225</v>
      </c>
      <c r="F1133" s="1012" t="s">
        <v>1187</v>
      </c>
      <c r="G1133" s="989">
        <v>45200</v>
      </c>
      <c r="H1133" s="937"/>
      <c r="I1133" s="1046"/>
      <c r="J1133" s="1046"/>
      <c r="K1133" s="1047"/>
      <c r="L1133" s="1046"/>
      <c r="M1133" s="1094"/>
      <c r="N1133" s="989">
        <v>45200</v>
      </c>
      <c r="O1133" s="989">
        <v>0</v>
      </c>
      <c r="P1133" s="989">
        <v>45200</v>
      </c>
      <c r="Q1133" s="989">
        <f t="shared" si="117"/>
        <v>45200</v>
      </c>
      <c r="R1133" s="989">
        <f t="shared" si="119"/>
        <v>100</v>
      </c>
      <c r="S1133" s="1011">
        <v>0</v>
      </c>
      <c r="T1133" s="989">
        <f t="shared" si="121"/>
        <v>0</v>
      </c>
      <c r="U1133" s="989">
        <f t="shared" si="118"/>
        <v>45200</v>
      </c>
      <c r="V1133" s="989">
        <f t="shared" si="120"/>
        <v>100</v>
      </c>
      <c r="W1133" s="989"/>
      <c r="X1133" s="989">
        <f t="shared" si="116"/>
        <v>0</v>
      </c>
      <c r="Y1133" s="1012"/>
      <c r="Z1133" s="941"/>
      <c r="AA1133" s="941"/>
      <c r="AB1133" s="941"/>
      <c r="AC1133" s="941"/>
      <c r="AD1133" s="941"/>
      <c r="AE1133" s="941"/>
      <c r="AF1133" s="941"/>
      <c r="AG1133" s="941"/>
      <c r="AH1133" s="941"/>
      <c r="AI1133" s="941"/>
      <c r="AJ1133" s="941"/>
      <c r="AK1133" s="941"/>
      <c r="AL1133" s="941"/>
      <c r="AM1133" s="941"/>
    </row>
    <row r="1134" spans="1:39" s="969" customFormat="1" ht="63" customHeight="1">
      <c r="A1134" s="1034">
        <v>1016</v>
      </c>
      <c r="B1134" s="1007" t="s">
        <v>3226</v>
      </c>
      <c r="C1134" s="1008"/>
      <c r="D1134" s="1008"/>
      <c r="E1134" s="1027" t="s">
        <v>3227</v>
      </c>
      <c r="F1134" s="1012" t="s">
        <v>1187</v>
      </c>
      <c r="G1134" s="989">
        <v>416000</v>
      </c>
      <c r="H1134" s="937"/>
      <c r="I1134" s="1046"/>
      <c r="J1134" s="1046"/>
      <c r="K1134" s="1047"/>
      <c r="L1134" s="1046"/>
      <c r="M1134" s="1094"/>
      <c r="N1134" s="989">
        <v>416000</v>
      </c>
      <c r="O1134" s="989">
        <v>0</v>
      </c>
      <c r="P1134" s="989">
        <v>304919</v>
      </c>
      <c r="Q1134" s="989">
        <f t="shared" si="117"/>
        <v>304919</v>
      </c>
      <c r="R1134" s="989">
        <f t="shared" si="119"/>
        <v>73.297836538461539</v>
      </c>
      <c r="S1134" s="1011">
        <v>104000</v>
      </c>
      <c r="T1134" s="989">
        <f t="shared" si="121"/>
        <v>25</v>
      </c>
      <c r="U1134" s="989">
        <f t="shared" si="118"/>
        <v>408919</v>
      </c>
      <c r="V1134" s="989">
        <f t="shared" si="120"/>
        <v>98.297836538461539</v>
      </c>
      <c r="W1134" s="989"/>
      <c r="X1134" s="989">
        <f t="shared" si="116"/>
        <v>7081</v>
      </c>
      <c r="Y1134" s="1012"/>
      <c r="Z1134" s="941"/>
      <c r="AA1134" s="941"/>
      <c r="AB1134" s="941"/>
      <c r="AC1134" s="941"/>
      <c r="AD1134" s="941"/>
      <c r="AE1134" s="941"/>
      <c r="AF1134" s="941"/>
      <c r="AG1134" s="941"/>
      <c r="AH1134" s="941"/>
      <c r="AI1134" s="941"/>
      <c r="AJ1134" s="941"/>
      <c r="AK1134" s="941"/>
      <c r="AL1134" s="941"/>
      <c r="AM1134" s="941"/>
    </row>
    <row r="1135" spans="1:39" s="969" customFormat="1" ht="63" customHeight="1">
      <c r="A1135" s="1034">
        <v>1017</v>
      </c>
      <c r="B1135" s="1007" t="s">
        <v>3228</v>
      </c>
      <c r="C1135" s="1008"/>
      <c r="D1135" s="1008"/>
      <c r="E1135" s="1027" t="s">
        <v>3229</v>
      </c>
      <c r="F1135" s="1012" t="s">
        <v>1187</v>
      </c>
      <c r="G1135" s="989">
        <v>104000</v>
      </c>
      <c r="H1135" s="937"/>
      <c r="I1135" s="1046"/>
      <c r="J1135" s="1046"/>
      <c r="K1135" s="1047"/>
      <c r="L1135" s="1046"/>
      <c r="M1135" s="1094"/>
      <c r="N1135" s="989">
        <v>104000</v>
      </c>
      <c r="O1135" s="989">
        <v>0</v>
      </c>
      <c r="P1135" s="989">
        <v>104000</v>
      </c>
      <c r="Q1135" s="989">
        <f t="shared" si="117"/>
        <v>104000</v>
      </c>
      <c r="R1135" s="989">
        <f t="shared" si="119"/>
        <v>100</v>
      </c>
      <c r="S1135" s="1011">
        <v>0</v>
      </c>
      <c r="T1135" s="989">
        <f t="shared" si="121"/>
        <v>0</v>
      </c>
      <c r="U1135" s="989">
        <f t="shared" si="118"/>
        <v>104000</v>
      </c>
      <c r="V1135" s="989">
        <f t="shared" si="120"/>
        <v>100</v>
      </c>
      <c r="W1135" s="989"/>
      <c r="X1135" s="989">
        <f t="shared" si="116"/>
        <v>0</v>
      </c>
      <c r="Y1135" s="1012"/>
      <c r="Z1135" s="941"/>
      <c r="AA1135" s="941"/>
      <c r="AB1135" s="941"/>
      <c r="AC1135" s="941"/>
      <c r="AD1135" s="941"/>
      <c r="AE1135" s="941"/>
      <c r="AF1135" s="941"/>
      <c r="AG1135" s="941"/>
      <c r="AH1135" s="941"/>
      <c r="AI1135" s="941"/>
      <c r="AJ1135" s="941"/>
      <c r="AK1135" s="941"/>
      <c r="AL1135" s="941"/>
      <c r="AM1135" s="941"/>
    </row>
    <row r="1136" spans="1:39" s="969" customFormat="1" ht="63" customHeight="1">
      <c r="A1136" s="1034">
        <v>1018</v>
      </c>
      <c r="B1136" s="1007" t="s">
        <v>3230</v>
      </c>
      <c r="C1136" s="1008"/>
      <c r="D1136" s="1008"/>
      <c r="E1136" s="1027" t="s">
        <v>3231</v>
      </c>
      <c r="F1136" s="1012" t="s">
        <v>1187</v>
      </c>
      <c r="G1136" s="989">
        <v>104000</v>
      </c>
      <c r="H1136" s="937"/>
      <c r="I1136" s="1046"/>
      <c r="J1136" s="1046"/>
      <c r="K1136" s="1047"/>
      <c r="L1136" s="1046"/>
      <c r="M1136" s="1094"/>
      <c r="N1136" s="989">
        <v>104000</v>
      </c>
      <c r="O1136" s="989">
        <v>0</v>
      </c>
      <c r="P1136" s="989">
        <v>104000</v>
      </c>
      <c r="Q1136" s="989">
        <f t="shared" si="117"/>
        <v>104000</v>
      </c>
      <c r="R1136" s="989">
        <f t="shared" si="119"/>
        <v>100</v>
      </c>
      <c r="S1136" s="1011">
        <v>0</v>
      </c>
      <c r="T1136" s="989">
        <f t="shared" si="121"/>
        <v>0</v>
      </c>
      <c r="U1136" s="989">
        <f t="shared" si="118"/>
        <v>104000</v>
      </c>
      <c r="V1136" s="989">
        <f t="shared" si="120"/>
        <v>100</v>
      </c>
      <c r="W1136" s="989"/>
      <c r="X1136" s="989">
        <f t="shared" si="116"/>
        <v>0</v>
      </c>
      <c r="Y1136" s="1012"/>
      <c r="Z1136" s="941"/>
      <c r="AA1136" s="941"/>
      <c r="AB1136" s="941"/>
      <c r="AC1136" s="941"/>
      <c r="AD1136" s="941"/>
      <c r="AE1136" s="941"/>
      <c r="AF1136" s="941"/>
      <c r="AG1136" s="941"/>
      <c r="AH1136" s="941"/>
      <c r="AI1136" s="941"/>
      <c r="AJ1136" s="941"/>
      <c r="AK1136" s="941"/>
      <c r="AL1136" s="941"/>
      <c r="AM1136" s="941"/>
    </row>
    <row r="1137" spans="1:25" ht="63" customHeight="1">
      <c r="A1137" s="1034">
        <v>1019</v>
      </c>
      <c r="B1137" s="1007" t="s">
        <v>3232</v>
      </c>
      <c r="C1137" s="1008"/>
      <c r="D1137" s="1008"/>
      <c r="E1137" s="1027" t="s">
        <v>3233</v>
      </c>
      <c r="F1137" s="1012" t="s">
        <v>1187</v>
      </c>
      <c r="G1137" s="989">
        <v>208000</v>
      </c>
      <c r="H1137" s="937"/>
      <c r="I1137" s="1046"/>
      <c r="J1137" s="1046"/>
      <c r="K1137" s="1047"/>
      <c r="L1137" s="1046"/>
      <c r="M1137" s="1094"/>
      <c r="N1137" s="989">
        <v>208000</v>
      </c>
      <c r="O1137" s="989">
        <v>0</v>
      </c>
      <c r="P1137" s="989">
        <v>0</v>
      </c>
      <c r="Q1137" s="989">
        <f t="shared" si="117"/>
        <v>0</v>
      </c>
      <c r="R1137" s="989">
        <f t="shared" si="119"/>
        <v>0</v>
      </c>
      <c r="S1137" s="1011">
        <v>208000</v>
      </c>
      <c r="T1137" s="989">
        <f t="shared" si="121"/>
        <v>100</v>
      </c>
      <c r="U1137" s="989">
        <f t="shared" si="118"/>
        <v>208000</v>
      </c>
      <c r="V1137" s="989">
        <f t="shared" si="120"/>
        <v>100</v>
      </c>
      <c r="W1137" s="989"/>
      <c r="X1137" s="989">
        <f t="shared" si="116"/>
        <v>0</v>
      </c>
      <c r="Y1137" s="1012"/>
    </row>
    <row r="1138" spans="1:25" ht="63" customHeight="1">
      <c r="A1138" s="1034">
        <v>1020</v>
      </c>
      <c r="B1138" s="1007" t="s">
        <v>4555</v>
      </c>
      <c r="C1138" s="1008"/>
      <c r="D1138" s="1008"/>
      <c r="E1138" s="1027" t="s">
        <v>3234</v>
      </c>
      <c r="F1138" s="1012" t="s">
        <v>1187</v>
      </c>
      <c r="G1138" s="989"/>
      <c r="H1138" s="937"/>
      <c r="I1138" s="1046"/>
      <c r="J1138" s="1046"/>
      <c r="K1138" s="1047"/>
      <c r="L1138" s="1046"/>
      <c r="M1138" s="1094"/>
      <c r="N1138" s="989"/>
      <c r="O1138" s="989">
        <v>0</v>
      </c>
      <c r="P1138" s="989">
        <v>0</v>
      </c>
      <c r="Q1138" s="989">
        <f t="shared" si="117"/>
        <v>0</v>
      </c>
      <c r="R1138" s="989" t="e">
        <f t="shared" si="119"/>
        <v>#DIV/0!</v>
      </c>
      <c r="S1138" s="1011">
        <v>0</v>
      </c>
      <c r="T1138" s="989" t="e">
        <f t="shared" si="121"/>
        <v>#DIV/0!</v>
      </c>
      <c r="U1138" s="989">
        <f t="shared" si="118"/>
        <v>0</v>
      </c>
      <c r="V1138" s="989" t="e">
        <f t="shared" si="120"/>
        <v>#DIV/0!</v>
      </c>
      <c r="W1138" s="989"/>
      <c r="X1138" s="989">
        <f t="shared" si="116"/>
        <v>0</v>
      </c>
      <c r="Y1138" s="1012"/>
    </row>
    <row r="1139" spans="1:25" ht="63" customHeight="1">
      <c r="A1139" s="1034">
        <v>1021</v>
      </c>
      <c r="B1139" s="1007" t="s">
        <v>3235</v>
      </c>
      <c r="C1139" s="1008"/>
      <c r="D1139" s="1008"/>
      <c r="E1139" s="1027" t="s">
        <v>3236</v>
      </c>
      <c r="F1139" s="1012" t="s">
        <v>1187</v>
      </c>
      <c r="G1139" s="989">
        <v>104000</v>
      </c>
      <c r="H1139" s="937"/>
      <c r="I1139" s="1046"/>
      <c r="J1139" s="1046"/>
      <c r="K1139" s="1047"/>
      <c r="L1139" s="1046"/>
      <c r="M1139" s="1094"/>
      <c r="N1139" s="989">
        <v>104000</v>
      </c>
      <c r="O1139" s="989">
        <v>0</v>
      </c>
      <c r="P1139" s="989">
        <v>104000</v>
      </c>
      <c r="Q1139" s="989">
        <f t="shared" si="117"/>
        <v>104000</v>
      </c>
      <c r="R1139" s="989">
        <f t="shared" si="119"/>
        <v>100</v>
      </c>
      <c r="S1139" s="1011">
        <v>0</v>
      </c>
      <c r="T1139" s="989">
        <f t="shared" si="121"/>
        <v>0</v>
      </c>
      <c r="U1139" s="989">
        <f t="shared" si="118"/>
        <v>104000</v>
      </c>
      <c r="V1139" s="989">
        <f t="shared" si="120"/>
        <v>100</v>
      </c>
      <c r="W1139" s="989"/>
      <c r="X1139" s="989">
        <f t="shared" si="116"/>
        <v>0</v>
      </c>
      <c r="Y1139" s="1012"/>
    </row>
    <row r="1140" spans="1:25" ht="63" customHeight="1">
      <c r="A1140" s="1034">
        <v>1022</v>
      </c>
      <c r="B1140" s="1007" t="s">
        <v>1541</v>
      </c>
      <c r="C1140" s="1008"/>
      <c r="D1140" s="1008"/>
      <c r="E1140" s="1027" t="s">
        <v>3237</v>
      </c>
      <c r="F1140" s="1012" t="s">
        <v>548</v>
      </c>
      <c r="G1140" s="989">
        <v>45200</v>
      </c>
      <c r="H1140" s="937"/>
      <c r="I1140" s="1046"/>
      <c r="J1140" s="1046"/>
      <c r="K1140" s="1047"/>
      <c r="L1140" s="1046"/>
      <c r="M1140" s="1094">
        <v>-22064</v>
      </c>
      <c r="N1140" s="989">
        <f>45200+M1140</f>
        <v>23136</v>
      </c>
      <c r="O1140" s="989">
        <v>0</v>
      </c>
      <c r="P1140" s="989">
        <v>23136</v>
      </c>
      <c r="Q1140" s="989">
        <f t="shared" si="117"/>
        <v>23136</v>
      </c>
      <c r="R1140" s="989">
        <f t="shared" si="119"/>
        <v>100</v>
      </c>
      <c r="S1140" s="1011">
        <v>0</v>
      </c>
      <c r="T1140" s="989">
        <f t="shared" si="121"/>
        <v>0</v>
      </c>
      <c r="U1140" s="989">
        <f t="shared" si="118"/>
        <v>23136</v>
      </c>
      <c r="V1140" s="989">
        <f t="shared" si="120"/>
        <v>100</v>
      </c>
      <c r="W1140" s="989"/>
      <c r="X1140" s="989">
        <f t="shared" si="116"/>
        <v>0</v>
      </c>
      <c r="Y1140" s="1012"/>
    </row>
    <row r="1141" spans="1:25" ht="63" customHeight="1">
      <c r="A1141" s="1034">
        <v>1023</v>
      </c>
      <c r="B1141" s="1007" t="s">
        <v>3291</v>
      </c>
      <c r="C1141" s="1008"/>
      <c r="D1141" s="1008"/>
      <c r="E1141" s="1027" t="s">
        <v>3238</v>
      </c>
      <c r="F1141" s="1012" t="s">
        <v>1182</v>
      </c>
      <c r="G1141" s="989">
        <v>45200</v>
      </c>
      <c r="H1141" s="937"/>
      <c r="I1141" s="1046"/>
      <c r="J1141" s="1046"/>
      <c r="K1141" s="1047"/>
      <c r="L1141" s="1046"/>
      <c r="M1141" s="1094"/>
      <c r="N1141" s="989">
        <v>45200</v>
      </c>
      <c r="O1141" s="989">
        <v>0</v>
      </c>
      <c r="P1141" s="989">
        <v>45200</v>
      </c>
      <c r="Q1141" s="989">
        <f t="shared" si="117"/>
        <v>45200</v>
      </c>
      <c r="R1141" s="989">
        <f t="shared" si="119"/>
        <v>100</v>
      </c>
      <c r="S1141" s="1011">
        <v>0</v>
      </c>
      <c r="T1141" s="989">
        <f t="shared" si="121"/>
        <v>0</v>
      </c>
      <c r="U1141" s="989">
        <f t="shared" si="118"/>
        <v>45200</v>
      </c>
      <c r="V1141" s="989">
        <f t="shared" si="120"/>
        <v>100</v>
      </c>
      <c r="W1141" s="989"/>
      <c r="X1141" s="989">
        <f t="shared" ref="X1141:X1180" si="122">N1141-U1141</f>
        <v>0</v>
      </c>
      <c r="Y1141" s="1012"/>
    </row>
    <row r="1142" spans="1:25" ht="63" customHeight="1">
      <c r="A1142" s="1034">
        <v>1024</v>
      </c>
      <c r="B1142" s="1007" t="s">
        <v>3291</v>
      </c>
      <c r="C1142" s="1008"/>
      <c r="D1142" s="1008"/>
      <c r="E1142" s="1027" t="s">
        <v>3239</v>
      </c>
      <c r="F1142" s="1012" t="s">
        <v>1182</v>
      </c>
      <c r="G1142" s="989">
        <v>45200</v>
      </c>
      <c r="H1142" s="937"/>
      <c r="I1142" s="1046"/>
      <c r="J1142" s="1046"/>
      <c r="K1142" s="1047"/>
      <c r="L1142" s="1046"/>
      <c r="M1142" s="1094">
        <v>-8156</v>
      </c>
      <c r="N1142" s="989">
        <f>45200+M1142</f>
        <v>37044</v>
      </c>
      <c r="O1142" s="989">
        <v>0</v>
      </c>
      <c r="P1142" s="989">
        <v>37044</v>
      </c>
      <c r="Q1142" s="989">
        <f t="shared" si="117"/>
        <v>37044</v>
      </c>
      <c r="R1142" s="989">
        <f t="shared" si="119"/>
        <v>100</v>
      </c>
      <c r="S1142" s="1011">
        <v>0</v>
      </c>
      <c r="T1142" s="989">
        <f t="shared" si="121"/>
        <v>0</v>
      </c>
      <c r="U1142" s="989">
        <f t="shared" si="118"/>
        <v>37044</v>
      </c>
      <c r="V1142" s="989">
        <f t="shared" si="120"/>
        <v>100</v>
      </c>
      <c r="W1142" s="989"/>
      <c r="X1142" s="989">
        <f t="shared" si="122"/>
        <v>0</v>
      </c>
      <c r="Y1142" s="1012"/>
    </row>
    <row r="1143" spans="1:25" ht="63" customHeight="1">
      <c r="A1143" s="1034">
        <v>1025</v>
      </c>
      <c r="B1143" s="1007" t="s">
        <v>3292</v>
      </c>
      <c r="C1143" s="1008"/>
      <c r="D1143" s="1008"/>
      <c r="E1143" s="1027" t="s">
        <v>3293</v>
      </c>
      <c r="F1143" s="1012" t="s">
        <v>1182</v>
      </c>
      <c r="G1143" s="989">
        <v>520000</v>
      </c>
      <c r="H1143" s="937"/>
      <c r="I1143" s="1046"/>
      <c r="J1143" s="1046"/>
      <c r="K1143" s="1047"/>
      <c r="L1143" s="1046"/>
      <c r="M1143" s="1094">
        <v>-8016.32</v>
      </c>
      <c r="N1143" s="989">
        <f>520000+M1143</f>
        <v>511983.68</v>
      </c>
      <c r="O1143" s="989">
        <v>0</v>
      </c>
      <c r="P1143" s="989">
        <v>511983.68</v>
      </c>
      <c r="Q1143" s="989">
        <f t="shared" ref="Q1143:Q1183" si="123">P1143+O1143</f>
        <v>511983.68</v>
      </c>
      <c r="R1143" s="989">
        <f t="shared" si="119"/>
        <v>100</v>
      </c>
      <c r="S1143" s="1011">
        <v>0</v>
      </c>
      <c r="T1143" s="989">
        <f t="shared" si="121"/>
        <v>0</v>
      </c>
      <c r="U1143" s="989">
        <f t="shared" ref="U1143:U1183" si="124">S1143+Q1143</f>
        <v>511983.68</v>
      </c>
      <c r="V1143" s="989">
        <f t="shared" si="120"/>
        <v>100</v>
      </c>
      <c r="W1143" s="989"/>
      <c r="X1143" s="989">
        <f t="shared" si="122"/>
        <v>0</v>
      </c>
      <c r="Y1143" s="1012"/>
    </row>
    <row r="1144" spans="1:25" ht="63" customHeight="1">
      <c r="A1144" s="1034">
        <v>1026</v>
      </c>
      <c r="B1144" s="1007" t="s">
        <v>3294</v>
      </c>
      <c r="C1144" s="1008"/>
      <c r="D1144" s="1008"/>
      <c r="E1144" s="1027" t="s">
        <v>3295</v>
      </c>
      <c r="F1144" s="1012" t="s">
        <v>1182</v>
      </c>
      <c r="G1144" s="989">
        <v>104000</v>
      </c>
      <c r="H1144" s="937"/>
      <c r="I1144" s="1046"/>
      <c r="J1144" s="1046"/>
      <c r="K1144" s="1047"/>
      <c r="L1144" s="1046"/>
      <c r="M1144" s="1094">
        <v>-36697.75</v>
      </c>
      <c r="N1144" s="989">
        <f>104000+M1144</f>
        <v>67302.25</v>
      </c>
      <c r="O1144" s="989">
        <v>0</v>
      </c>
      <c r="P1144" s="989">
        <v>67302.25</v>
      </c>
      <c r="Q1144" s="989">
        <f t="shared" si="123"/>
        <v>67302.25</v>
      </c>
      <c r="R1144" s="989">
        <f t="shared" ref="R1144:R1183" si="125">Q1144/N1144*100</f>
        <v>100</v>
      </c>
      <c r="S1144" s="1011">
        <v>0</v>
      </c>
      <c r="T1144" s="989">
        <f t="shared" si="121"/>
        <v>0</v>
      </c>
      <c r="U1144" s="989">
        <f t="shared" si="124"/>
        <v>67302.25</v>
      </c>
      <c r="V1144" s="989">
        <f t="shared" ref="V1144:V1183" si="126">U1144/N1144*100</f>
        <v>100</v>
      </c>
      <c r="W1144" s="989"/>
      <c r="X1144" s="989">
        <f t="shared" si="122"/>
        <v>0</v>
      </c>
      <c r="Y1144" s="1012"/>
    </row>
    <row r="1145" spans="1:25" ht="63" customHeight="1">
      <c r="A1145" s="1034">
        <v>1027</v>
      </c>
      <c r="B1145" s="1007" t="s">
        <v>3296</v>
      </c>
      <c r="C1145" s="1008"/>
      <c r="D1145" s="1008"/>
      <c r="E1145" s="1027" t="s">
        <v>3297</v>
      </c>
      <c r="F1145" s="1012" t="s">
        <v>1182</v>
      </c>
      <c r="G1145" s="989">
        <v>416000</v>
      </c>
      <c r="H1145" s="937"/>
      <c r="I1145" s="1046"/>
      <c r="J1145" s="1046"/>
      <c r="K1145" s="1047">
        <v>-128867</v>
      </c>
      <c r="L1145" s="1046"/>
      <c r="M1145" s="1094"/>
      <c r="N1145" s="989">
        <f>416000+M1145+K1145</f>
        <v>287133</v>
      </c>
      <c r="O1145" s="989">
        <v>0</v>
      </c>
      <c r="P1145" s="989">
        <v>287133</v>
      </c>
      <c r="Q1145" s="989">
        <f t="shared" si="123"/>
        <v>287133</v>
      </c>
      <c r="R1145" s="989">
        <f t="shared" si="125"/>
        <v>100</v>
      </c>
      <c r="S1145" s="1011">
        <v>0</v>
      </c>
      <c r="T1145" s="989">
        <f t="shared" si="121"/>
        <v>0</v>
      </c>
      <c r="U1145" s="989">
        <f t="shared" si="124"/>
        <v>287133</v>
      </c>
      <c r="V1145" s="989">
        <f t="shared" si="126"/>
        <v>100</v>
      </c>
      <c r="W1145" s="989"/>
      <c r="X1145" s="989">
        <f t="shared" si="122"/>
        <v>0</v>
      </c>
      <c r="Y1145" s="1012"/>
    </row>
    <row r="1146" spans="1:25" ht="63" customHeight="1">
      <c r="A1146" s="1034">
        <v>1028</v>
      </c>
      <c r="B1146" s="1007" t="s">
        <v>3298</v>
      </c>
      <c r="C1146" s="1008"/>
      <c r="D1146" s="1008"/>
      <c r="E1146" s="1027" t="s">
        <v>3299</v>
      </c>
      <c r="F1146" s="1012" t="s">
        <v>1182</v>
      </c>
      <c r="G1146" s="989">
        <v>208000</v>
      </c>
      <c r="H1146" s="937"/>
      <c r="I1146" s="1046"/>
      <c r="J1146" s="1046"/>
      <c r="K1146" s="1047"/>
      <c r="L1146" s="1046"/>
      <c r="M1146" s="1094"/>
      <c r="N1146" s="989">
        <v>208000</v>
      </c>
      <c r="O1146" s="989">
        <v>0</v>
      </c>
      <c r="P1146" s="989">
        <v>208000</v>
      </c>
      <c r="Q1146" s="989">
        <f t="shared" si="123"/>
        <v>208000</v>
      </c>
      <c r="R1146" s="989">
        <f t="shared" si="125"/>
        <v>100</v>
      </c>
      <c r="S1146" s="1011">
        <v>0</v>
      </c>
      <c r="T1146" s="989">
        <f t="shared" si="121"/>
        <v>0</v>
      </c>
      <c r="U1146" s="989">
        <f t="shared" si="124"/>
        <v>208000</v>
      </c>
      <c r="V1146" s="989">
        <f t="shared" si="126"/>
        <v>100</v>
      </c>
      <c r="W1146" s="989"/>
      <c r="X1146" s="989">
        <f t="shared" si="122"/>
        <v>0</v>
      </c>
      <c r="Y1146" s="1012"/>
    </row>
    <row r="1147" spans="1:25" ht="63" customHeight="1">
      <c r="A1147" s="1034">
        <v>1029</v>
      </c>
      <c r="B1147" s="1007" t="s">
        <v>2163</v>
      </c>
      <c r="C1147" s="1008"/>
      <c r="D1147" s="1008"/>
      <c r="E1147" s="1027" t="s">
        <v>3300</v>
      </c>
      <c r="F1147" s="1012" t="s">
        <v>2983</v>
      </c>
      <c r="G1147" s="989">
        <v>45200</v>
      </c>
      <c r="H1147" s="937"/>
      <c r="I1147" s="1046"/>
      <c r="J1147" s="1046"/>
      <c r="K1147" s="1047"/>
      <c r="L1147" s="1046"/>
      <c r="M1147" s="1094">
        <v>-18500</v>
      </c>
      <c r="N1147" s="989">
        <f>45200+M1147</f>
        <v>26700</v>
      </c>
      <c r="O1147" s="989">
        <v>0</v>
      </c>
      <c r="P1147" s="989">
        <v>26700</v>
      </c>
      <c r="Q1147" s="989">
        <f t="shared" si="123"/>
        <v>26700</v>
      </c>
      <c r="R1147" s="989">
        <f t="shared" si="125"/>
        <v>100</v>
      </c>
      <c r="S1147" s="1011">
        <v>0</v>
      </c>
      <c r="T1147" s="989">
        <f t="shared" si="121"/>
        <v>0</v>
      </c>
      <c r="U1147" s="989">
        <f t="shared" si="124"/>
        <v>26700</v>
      </c>
      <c r="V1147" s="989">
        <f t="shared" si="126"/>
        <v>100</v>
      </c>
      <c r="W1147" s="989"/>
      <c r="X1147" s="989">
        <f t="shared" si="122"/>
        <v>0</v>
      </c>
      <c r="Y1147" s="1012"/>
    </row>
    <row r="1148" spans="1:25" ht="63" customHeight="1">
      <c r="A1148" s="1034">
        <v>1030</v>
      </c>
      <c r="B1148" s="1007" t="s">
        <v>3301</v>
      </c>
      <c r="C1148" s="1008"/>
      <c r="D1148" s="1008"/>
      <c r="E1148" s="1027" t="s">
        <v>3302</v>
      </c>
      <c r="F1148" s="1012" t="s">
        <v>2983</v>
      </c>
      <c r="G1148" s="989">
        <v>312000</v>
      </c>
      <c r="H1148" s="937"/>
      <c r="I1148" s="1046"/>
      <c r="J1148" s="1046"/>
      <c r="K1148" s="1047">
        <v>-79900</v>
      </c>
      <c r="L1148" s="1046"/>
      <c r="M1148" s="1094"/>
      <c r="N1148" s="989">
        <f>312000+M1148+K1148</f>
        <v>232100</v>
      </c>
      <c r="O1148" s="989">
        <v>0</v>
      </c>
      <c r="P1148" s="989">
        <v>232100</v>
      </c>
      <c r="Q1148" s="989">
        <f t="shared" si="123"/>
        <v>232100</v>
      </c>
      <c r="R1148" s="989">
        <f t="shared" si="125"/>
        <v>100</v>
      </c>
      <c r="S1148" s="1011">
        <v>0</v>
      </c>
      <c r="T1148" s="989">
        <f t="shared" si="121"/>
        <v>0</v>
      </c>
      <c r="U1148" s="989">
        <f t="shared" si="124"/>
        <v>232100</v>
      </c>
      <c r="V1148" s="989">
        <f t="shared" si="126"/>
        <v>100</v>
      </c>
      <c r="W1148" s="989"/>
      <c r="X1148" s="989">
        <f t="shared" si="122"/>
        <v>0</v>
      </c>
      <c r="Y1148" s="1012"/>
    </row>
    <row r="1149" spans="1:25" ht="63" customHeight="1">
      <c r="A1149" s="1034">
        <v>1031</v>
      </c>
      <c r="B1149" s="1007" t="s">
        <v>3303</v>
      </c>
      <c r="C1149" s="1008"/>
      <c r="D1149" s="1008"/>
      <c r="E1149" s="1027" t="s">
        <v>3304</v>
      </c>
      <c r="F1149" s="1012" t="s">
        <v>2983</v>
      </c>
      <c r="G1149" s="989">
        <v>104000</v>
      </c>
      <c r="H1149" s="937"/>
      <c r="I1149" s="1046"/>
      <c r="J1149" s="1046"/>
      <c r="K1149" s="1047"/>
      <c r="L1149" s="1046"/>
      <c r="M1149" s="1094">
        <v>-37840</v>
      </c>
      <c r="N1149" s="989">
        <f>104000+M1149</f>
        <v>66160</v>
      </c>
      <c r="O1149" s="989">
        <v>0</v>
      </c>
      <c r="P1149" s="989">
        <v>66160</v>
      </c>
      <c r="Q1149" s="989">
        <f t="shared" si="123"/>
        <v>66160</v>
      </c>
      <c r="R1149" s="989">
        <f t="shared" si="125"/>
        <v>100</v>
      </c>
      <c r="S1149" s="1011">
        <v>0</v>
      </c>
      <c r="T1149" s="989">
        <f t="shared" si="121"/>
        <v>0</v>
      </c>
      <c r="U1149" s="989">
        <f t="shared" si="124"/>
        <v>66160</v>
      </c>
      <c r="V1149" s="989">
        <f t="shared" si="126"/>
        <v>100</v>
      </c>
      <c r="W1149" s="989"/>
      <c r="X1149" s="989">
        <f t="shared" si="122"/>
        <v>0</v>
      </c>
      <c r="Y1149" s="1012"/>
    </row>
    <row r="1150" spans="1:25" ht="63" customHeight="1">
      <c r="A1150" s="1034">
        <v>1032</v>
      </c>
      <c r="B1150" s="1007" t="s">
        <v>3305</v>
      </c>
      <c r="C1150" s="1008"/>
      <c r="D1150" s="1008"/>
      <c r="E1150" s="1027" t="s">
        <v>3306</v>
      </c>
      <c r="F1150" s="1012" t="s">
        <v>543</v>
      </c>
      <c r="G1150" s="989">
        <v>45200</v>
      </c>
      <c r="H1150" s="937"/>
      <c r="I1150" s="1046"/>
      <c r="J1150" s="1046"/>
      <c r="K1150" s="1047"/>
      <c r="L1150" s="1046"/>
      <c r="M1150" s="1094"/>
      <c r="N1150" s="989">
        <v>45200</v>
      </c>
      <c r="O1150" s="989">
        <v>0</v>
      </c>
      <c r="P1150" s="989">
        <v>45200</v>
      </c>
      <c r="Q1150" s="989">
        <f t="shared" si="123"/>
        <v>45200</v>
      </c>
      <c r="R1150" s="989">
        <f t="shared" si="125"/>
        <v>100</v>
      </c>
      <c r="S1150" s="1011">
        <v>0</v>
      </c>
      <c r="T1150" s="989">
        <f t="shared" si="121"/>
        <v>0</v>
      </c>
      <c r="U1150" s="989">
        <f t="shared" si="124"/>
        <v>45200</v>
      </c>
      <c r="V1150" s="989">
        <f t="shared" si="126"/>
        <v>100</v>
      </c>
      <c r="W1150" s="989"/>
      <c r="X1150" s="989">
        <f t="shared" si="122"/>
        <v>0</v>
      </c>
      <c r="Y1150" s="1012"/>
    </row>
    <row r="1151" spans="1:25" ht="63" customHeight="1">
      <c r="A1151" s="1034">
        <v>1033</v>
      </c>
      <c r="B1151" s="1007" t="s">
        <v>3307</v>
      </c>
      <c r="C1151" s="1008"/>
      <c r="D1151" s="1008"/>
      <c r="E1151" s="1027" t="s">
        <v>3308</v>
      </c>
      <c r="F1151" s="1012" t="s">
        <v>543</v>
      </c>
      <c r="G1151" s="989">
        <v>45200</v>
      </c>
      <c r="H1151" s="937"/>
      <c r="I1151" s="1046"/>
      <c r="J1151" s="1046"/>
      <c r="K1151" s="1047"/>
      <c r="L1151" s="1046"/>
      <c r="M1151" s="1094">
        <v>-4240</v>
      </c>
      <c r="N1151" s="989">
        <f>45200+M1151</f>
        <v>40960</v>
      </c>
      <c r="O1151" s="989">
        <v>0</v>
      </c>
      <c r="P1151" s="989">
        <v>40960</v>
      </c>
      <c r="Q1151" s="989">
        <f t="shared" si="123"/>
        <v>40960</v>
      </c>
      <c r="R1151" s="989">
        <f t="shared" si="125"/>
        <v>100</v>
      </c>
      <c r="S1151" s="1011">
        <v>0</v>
      </c>
      <c r="T1151" s="989">
        <f t="shared" si="121"/>
        <v>0</v>
      </c>
      <c r="U1151" s="989">
        <f t="shared" si="124"/>
        <v>40960</v>
      </c>
      <c r="V1151" s="989">
        <f t="shared" si="126"/>
        <v>100</v>
      </c>
      <c r="W1151" s="989"/>
      <c r="X1151" s="989">
        <f t="shared" si="122"/>
        <v>0</v>
      </c>
      <c r="Y1151" s="1012"/>
    </row>
    <row r="1152" spans="1:25" ht="63" customHeight="1">
      <c r="A1152" s="1034">
        <v>1034</v>
      </c>
      <c r="B1152" s="1007" t="s">
        <v>3309</v>
      </c>
      <c r="C1152" s="1008"/>
      <c r="D1152" s="1008"/>
      <c r="E1152" s="1027" t="s">
        <v>3310</v>
      </c>
      <c r="F1152" s="1012" t="s">
        <v>543</v>
      </c>
      <c r="G1152" s="989">
        <v>90400</v>
      </c>
      <c r="H1152" s="937"/>
      <c r="I1152" s="1046"/>
      <c r="J1152" s="1046"/>
      <c r="K1152" s="1047"/>
      <c r="L1152" s="1046"/>
      <c r="M1152" s="1094"/>
      <c r="N1152" s="989">
        <v>90400</v>
      </c>
      <c r="O1152" s="989">
        <v>0</v>
      </c>
      <c r="P1152" s="989">
        <v>90400</v>
      </c>
      <c r="Q1152" s="989">
        <f t="shared" si="123"/>
        <v>90400</v>
      </c>
      <c r="R1152" s="989">
        <f t="shared" si="125"/>
        <v>100</v>
      </c>
      <c r="S1152" s="1011">
        <v>0</v>
      </c>
      <c r="T1152" s="989">
        <f t="shared" si="121"/>
        <v>0</v>
      </c>
      <c r="U1152" s="989">
        <f t="shared" si="124"/>
        <v>90400</v>
      </c>
      <c r="V1152" s="989">
        <f t="shared" si="126"/>
        <v>100</v>
      </c>
      <c r="W1152" s="989"/>
      <c r="X1152" s="989">
        <f t="shared" si="122"/>
        <v>0</v>
      </c>
      <c r="Y1152" s="1012"/>
    </row>
    <row r="1153" spans="1:39" s="969" customFormat="1" ht="63" customHeight="1">
      <c r="A1153" s="1034">
        <v>1035</v>
      </c>
      <c r="B1153" s="1007" t="s">
        <v>3311</v>
      </c>
      <c r="C1153" s="1008"/>
      <c r="D1153" s="1008"/>
      <c r="E1153" s="1027" t="s">
        <v>3312</v>
      </c>
      <c r="F1153" s="1012" t="s">
        <v>543</v>
      </c>
      <c r="G1153" s="989">
        <v>208000</v>
      </c>
      <c r="H1153" s="937"/>
      <c r="I1153" s="1046"/>
      <c r="J1153" s="1046"/>
      <c r="K1153" s="1047"/>
      <c r="L1153" s="1046"/>
      <c r="M1153" s="1094">
        <v>-34250</v>
      </c>
      <c r="N1153" s="989">
        <f>208000+M1153</f>
        <v>173750</v>
      </c>
      <c r="O1153" s="989">
        <v>0</v>
      </c>
      <c r="P1153" s="989">
        <v>173750</v>
      </c>
      <c r="Q1153" s="989">
        <f t="shared" si="123"/>
        <v>173750</v>
      </c>
      <c r="R1153" s="989">
        <f t="shared" si="125"/>
        <v>100</v>
      </c>
      <c r="S1153" s="1011">
        <v>0</v>
      </c>
      <c r="T1153" s="989">
        <f t="shared" si="121"/>
        <v>0</v>
      </c>
      <c r="U1153" s="989">
        <f t="shared" si="124"/>
        <v>173750</v>
      </c>
      <c r="V1153" s="989">
        <f t="shared" si="126"/>
        <v>100</v>
      </c>
      <c r="W1153" s="989"/>
      <c r="X1153" s="989">
        <f t="shared" si="122"/>
        <v>0</v>
      </c>
      <c r="Y1153" s="1012"/>
      <c r="Z1153" s="941"/>
      <c r="AA1153" s="941"/>
      <c r="AB1153" s="941"/>
      <c r="AC1153" s="941"/>
      <c r="AD1153" s="941"/>
      <c r="AE1153" s="941"/>
      <c r="AF1153" s="941"/>
      <c r="AG1153" s="941"/>
      <c r="AH1153" s="941"/>
      <c r="AI1153" s="941"/>
      <c r="AJ1153" s="941"/>
      <c r="AK1153" s="941"/>
      <c r="AL1153" s="941"/>
      <c r="AM1153" s="941"/>
    </row>
    <row r="1154" spans="1:39" s="969" customFormat="1" ht="63" customHeight="1">
      <c r="A1154" s="1034">
        <v>1036</v>
      </c>
      <c r="B1154" s="1007" t="s">
        <v>3313</v>
      </c>
      <c r="C1154" s="1008"/>
      <c r="D1154" s="1008"/>
      <c r="E1154" s="1027" t="s">
        <v>3314</v>
      </c>
      <c r="F1154" s="1012" t="s">
        <v>551</v>
      </c>
      <c r="G1154" s="989">
        <v>90400</v>
      </c>
      <c r="H1154" s="937"/>
      <c r="I1154" s="1046"/>
      <c r="J1154" s="1046"/>
      <c r="K1154" s="1047"/>
      <c r="L1154" s="1046"/>
      <c r="M1154" s="1094">
        <v>-3000</v>
      </c>
      <c r="N1154" s="989">
        <f>90400+M1154</f>
        <v>87400</v>
      </c>
      <c r="O1154" s="989">
        <v>87400</v>
      </c>
      <c r="P1154" s="989">
        <v>0</v>
      </c>
      <c r="Q1154" s="989">
        <f t="shared" si="123"/>
        <v>87400</v>
      </c>
      <c r="R1154" s="989">
        <f t="shared" si="125"/>
        <v>100</v>
      </c>
      <c r="S1154" s="1011">
        <v>0</v>
      </c>
      <c r="T1154" s="989">
        <f t="shared" si="121"/>
        <v>0</v>
      </c>
      <c r="U1154" s="989">
        <f t="shared" si="124"/>
        <v>87400</v>
      </c>
      <c r="V1154" s="989">
        <f t="shared" si="126"/>
        <v>100</v>
      </c>
      <c r="W1154" s="989"/>
      <c r="X1154" s="989">
        <f t="shared" si="122"/>
        <v>0</v>
      </c>
      <c r="Y1154" s="1012"/>
      <c r="Z1154" s="941"/>
      <c r="AA1154" s="941"/>
      <c r="AB1154" s="941"/>
      <c r="AC1154" s="941"/>
      <c r="AD1154" s="941"/>
      <c r="AE1154" s="941"/>
      <c r="AF1154" s="941"/>
      <c r="AG1154" s="941"/>
      <c r="AH1154" s="941"/>
      <c r="AI1154" s="941"/>
      <c r="AJ1154" s="941"/>
      <c r="AK1154" s="941"/>
      <c r="AL1154" s="941"/>
      <c r="AM1154" s="941"/>
    </row>
    <row r="1155" spans="1:39" s="969" customFormat="1" ht="63" customHeight="1">
      <c r="A1155" s="1034">
        <v>1037</v>
      </c>
      <c r="B1155" s="1007" t="s">
        <v>3315</v>
      </c>
      <c r="C1155" s="1008"/>
      <c r="D1155" s="1008"/>
      <c r="E1155" s="1027" t="s">
        <v>3316</v>
      </c>
      <c r="F1155" s="1012" t="s">
        <v>551</v>
      </c>
      <c r="G1155" s="989">
        <v>45200</v>
      </c>
      <c r="H1155" s="937"/>
      <c r="I1155" s="1046"/>
      <c r="J1155" s="1046"/>
      <c r="K1155" s="1047"/>
      <c r="L1155" s="1046"/>
      <c r="M1155" s="1094">
        <v>-5786</v>
      </c>
      <c r="N1155" s="989">
        <f>45200+M1155</f>
        <v>39414</v>
      </c>
      <c r="O1155" s="989">
        <v>39414</v>
      </c>
      <c r="P1155" s="989">
        <v>0</v>
      </c>
      <c r="Q1155" s="989">
        <f t="shared" si="123"/>
        <v>39414</v>
      </c>
      <c r="R1155" s="989">
        <f t="shared" si="125"/>
        <v>100</v>
      </c>
      <c r="S1155" s="1011">
        <v>0</v>
      </c>
      <c r="T1155" s="989">
        <f t="shared" si="121"/>
        <v>0</v>
      </c>
      <c r="U1155" s="989">
        <f t="shared" si="124"/>
        <v>39414</v>
      </c>
      <c r="V1155" s="989">
        <f t="shared" si="126"/>
        <v>100</v>
      </c>
      <c r="W1155" s="989"/>
      <c r="X1155" s="989">
        <f t="shared" si="122"/>
        <v>0</v>
      </c>
      <c r="Y1155" s="1012"/>
      <c r="Z1155" s="941"/>
      <c r="AA1155" s="941"/>
      <c r="AB1155" s="941"/>
      <c r="AC1155" s="941"/>
      <c r="AD1155" s="941"/>
      <c r="AE1155" s="941"/>
      <c r="AF1155" s="941"/>
      <c r="AG1155" s="941"/>
      <c r="AH1155" s="941"/>
      <c r="AI1155" s="941"/>
      <c r="AJ1155" s="941"/>
      <c r="AK1155" s="941"/>
      <c r="AL1155" s="941"/>
      <c r="AM1155" s="941"/>
    </row>
    <row r="1156" spans="1:39" s="969" customFormat="1" ht="63" customHeight="1">
      <c r="A1156" s="1034">
        <v>1038</v>
      </c>
      <c r="B1156" s="1007" t="s">
        <v>3317</v>
      </c>
      <c r="C1156" s="1008"/>
      <c r="D1156" s="1008"/>
      <c r="E1156" s="1027" t="s">
        <v>3318</v>
      </c>
      <c r="F1156" s="1012" t="s">
        <v>551</v>
      </c>
      <c r="G1156" s="989">
        <v>104000</v>
      </c>
      <c r="H1156" s="937"/>
      <c r="I1156" s="1046"/>
      <c r="J1156" s="1046"/>
      <c r="K1156" s="1047"/>
      <c r="L1156" s="1046"/>
      <c r="M1156" s="1094">
        <v>-1800</v>
      </c>
      <c r="N1156" s="989">
        <f>104000+M1156</f>
        <v>102200</v>
      </c>
      <c r="O1156" s="989">
        <v>102200</v>
      </c>
      <c r="P1156" s="989">
        <v>0</v>
      </c>
      <c r="Q1156" s="989">
        <f t="shared" si="123"/>
        <v>102200</v>
      </c>
      <c r="R1156" s="989">
        <f t="shared" si="125"/>
        <v>100</v>
      </c>
      <c r="S1156" s="1011">
        <v>0</v>
      </c>
      <c r="T1156" s="989">
        <f t="shared" si="121"/>
        <v>0</v>
      </c>
      <c r="U1156" s="989">
        <f t="shared" si="124"/>
        <v>102200</v>
      </c>
      <c r="V1156" s="989">
        <f t="shared" si="126"/>
        <v>100</v>
      </c>
      <c r="W1156" s="989"/>
      <c r="X1156" s="989">
        <f t="shared" si="122"/>
        <v>0</v>
      </c>
      <c r="Y1156" s="1012"/>
      <c r="Z1156" s="941"/>
      <c r="AA1156" s="941"/>
      <c r="AB1156" s="941"/>
      <c r="AC1156" s="941"/>
      <c r="AD1156" s="941"/>
      <c r="AE1156" s="941"/>
      <c r="AF1156" s="941"/>
      <c r="AG1156" s="941"/>
      <c r="AH1156" s="941"/>
      <c r="AI1156" s="941"/>
      <c r="AJ1156" s="941"/>
      <c r="AK1156" s="941"/>
      <c r="AL1156" s="941"/>
      <c r="AM1156" s="941"/>
    </row>
    <row r="1157" spans="1:39" s="969" customFormat="1" ht="63" customHeight="1">
      <c r="A1157" s="1034">
        <v>1039</v>
      </c>
      <c r="B1157" s="1007" t="s">
        <v>3319</v>
      </c>
      <c r="C1157" s="1008"/>
      <c r="D1157" s="1008"/>
      <c r="E1157" s="1027" t="s">
        <v>3320</v>
      </c>
      <c r="F1157" s="1012" t="s">
        <v>568</v>
      </c>
      <c r="G1157" s="989">
        <v>312000</v>
      </c>
      <c r="H1157" s="937"/>
      <c r="I1157" s="1046"/>
      <c r="J1157" s="1046"/>
      <c r="K1157" s="1047"/>
      <c r="L1157" s="1046"/>
      <c r="M1157" s="1094"/>
      <c r="N1157" s="989">
        <v>312000</v>
      </c>
      <c r="O1157" s="989">
        <v>312000</v>
      </c>
      <c r="P1157" s="989"/>
      <c r="Q1157" s="989">
        <f t="shared" si="123"/>
        <v>312000</v>
      </c>
      <c r="R1157" s="989">
        <f t="shared" si="125"/>
        <v>100</v>
      </c>
      <c r="S1157" s="1011"/>
      <c r="T1157" s="989">
        <f t="shared" si="121"/>
        <v>0</v>
      </c>
      <c r="U1157" s="989">
        <f t="shared" si="124"/>
        <v>312000</v>
      </c>
      <c r="V1157" s="989">
        <f t="shared" si="126"/>
        <v>100</v>
      </c>
      <c r="W1157" s="989"/>
      <c r="X1157" s="989">
        <f t="shared" si="122"/>
        <v>0</v>
      </c>
      <c r="Y1157" s="1012"/>
      <c r="Z1157" s="941"/>
      <c r="AA1157" s="941"/>
      <c r="AB1157" s="941"/>
      <c r="AC1157" s="941"/>
      <c r="AD1157" s="941"/>
      <c r="AE1157" s="941"/>
      <c r="AF1157" s="941"/>
      <c r="AG1157" s="941"/>
      <c r="AH1157" s="941"/>
      <c r="AI1157" s="941"/>
      <c r="AJ1157" s="941"/>
      <c r="AK1157" s="941"/>
      <c r="AL1157" s="941"/>
      <c r="AM1157" s="941"/>
    </row>
    <row r="1158" spans="1:39" s="969" customFormat="1" ht="63" customHeight="1">
      <c r="A1158" s="1034">
        <v>1040</v>
      </c>
      <c r="B1158" s="1007" t="s">
        <v>3321</v>
      </c>
      <c r="C1158" s="1008"/>
      <c r="D1158" s="1008"/>
      <c r="E1158" s="1027" t="s">
        <v>3322</v>
      </c>
      <c r="F1158" s="1012" t="s">
        <v>568</v>
      </c>
      <c r="G1158" s="989">
        <v>104000</v>
      </c>
      <c r="H1158" s="937"/>
      <c r="I1158" s="1046"/>
      <c r="J1158" s="1046"/>
      <c r="K1158" s="1047"/>
      <c r="L1158" s="1046"/>
      <c r="M1158" s="1094">
        <v>-18800</v>
      </c>
      <c r="N1158" s="989">
        <f>104000+M1158</f>
        <v>85200</v>
      </c>
      <c r="O1158" s="989">
        <v>0</v>
      </c>
      <c r="P1158" s="989">
        <v>85200</v>
      </c>
      <c r="Q1158" s="989">
        <f t="shared" si="123"/>
        <v>85200</v>
      </c>
      <c r="R1158" s="989">
        <f t="shared" si="125"/>
        <v>100</v>
      </c>
      <c r="S1158" s="1011">
        <v>0</v>
      </c>
      <c r="T1158" s="989">
        <f t="shared" si="121"/>
        <v>0</v>
      </c>
      <c r="U1158" s="989">
        <f t="shared" si="124"/>
        <v>85200</v>
      </c>
      <c r="V1158" s="989">
        <f t="shared" si="126"/>
        <v>100</v>
      </c>
      <c r="W1158" s="989"/>
      <c r="X1158" s="989">
        <f t="shared" si="122"/>
        <v>0</v>
      </c>
      <c r="Y1158" s="1012"/>
      <c r="Z1158" s="941"/>
      <c r="AA1158" s="941"/>
      <c r="AB1158" s="941"/>
      <c r="AC1158" s="941"/>
      <c r="AD1158" s="941"/>
      <c r="AE1158" s="941"/>
      <c r="AF1158" s="941"/>
      <c r="AG1158" s="941"/>
      <c r="AH1158" s="941"/>
      <c r="AI1158" s="941"/>
      <c r="AJ1158" s="941"/>
      <c r="AK1158" s="941"/>
      <c r="AL1158" s="941"/>
      <c r="AM1158" s="941"/>
    </row>
    <row r="1159" spans="1:39" s="969" customFormat="1" ht="63" customHeight="1">
      <c r="A1159" s="1034">
        <v>1041</v>
      </c>
      <c r="B1159" s="1007" t="s">
        <v>3323</v>
      </c>
      <c r="C1159" s="1008"/>
      <c r="D1159" s="1008"/>
      <c r="E1159" s="1027" t="s">
        <v>3324</v>
      </c>
      <c r="F1159" s="1012" t="s">
        <v>544</v>
      </c>
      <c r="G1159" s="989">
        <v>104000</v>
      </c>
      <c r="H1159" s="937"/>
      <c r="I1159" s="1046"/>
      <c r="J1159" s="1046"/>
      <c r="K1159" s="1047"/>
      <c r="L1159" s="1046"/>
      <c r="M1159" s="1094">
        <v>-17459</v>
      </c>
      <c r="N1159" s="989">
        <f>104000+M1159</f>
        <v>86541</v>
      </c>
      <c r="O1159" s="989">
        <v>0</v>
      </c>
      <c r="P1159" s="989">
        <v>86541</v>
      </c>
      <c r="Q1159" s="989">
        <f t="shared" si="123"/>
        <v>86541</v>
      </c>
      <c r="R1159" s="989">
        <f t="shared" si="125"/>
        <v>100</v>
      </c>
      <c r="S1159" s="1011">
        <v>0</v>
      </c>
      <c r="T1159" s="989">
        <f t="shared" si="121"/>
        <v>0</v>
      </c>
      <c r="U1159" s="989">
        <f t="shared" si="124"/>
        <v>86541</v>
      </c>
      <c r="V1159" s="989">
        <f t="shared" si="126"/>
        <v>100</v>
      </c>
      <c r="W1159" s="989"/>
      <c r="X1159" s="989">
        <f t="shared" si="122"/>
        <v>0</v>
      </c>
      <c r="Y1159" s="1012"/>
      <c r="Z1159" s="941"/>
      <c r="AA1159" s="941"/>
      <c r="AB1159" s="941"/>
      <c r="AC1159" s="941"/>
      <c r="AD1159" s="941"/>
      <c r="AE1159" s="941"/>
      <c r="AF1159" s="941"/>
      <c r="AG1159" s="941"/>
      <c r="AH1159" s="941"/>
      <c r="AI1159" s="941"/>
      <c r="AJ1159" s="941"/>
      <c r="AK1159" s="941"/>
      <c r="AL1159" s="941"/>
      <c r="AM1159" s="941"/>
    </row>
    <row r="1160" spans="1:39" s="969" customFormat="1" ht="63" customHeight="1">
      <c r="A1160" s="1034">
        <v>1042</v>
      </c>
      <c r="B1160" s="1007" t="s">
        <v>3325</v>
      </c>
      <c r="C1160" s="1008"/>
      <c r="D1160" s="1008"/>
      <c r="E1160" s="1027" t="s">
        <v>3326</v>
      </c>
      <c r="F1160" s="1012" t="s">
        <v>347</v>
      </c>
      <c r="G1160" s="989">
        <v>135600</v>
      </c>
      <c r="H1160" s="937"/>
      <c r="I1160" s="1046"/>
      <c r="J1160" s="1046"/>
      <c r="K1160" s="1047">
        <v>-45850</v>
      </c>
      <c r="L1160" s="1046"/>
      <c r="M1160" s="1094"/>
      <c r="N1160" s="989">
        <f>135600+M1160+K1160</f>
        <v>89750</v>
      </c>
      <c r="O1160" s="989">
        <v>0</v>
      </c>
      <c r="P1160" s="989">
        <v>89750</v>
      </c>
      <c r="Q1160" s="989">
        <f t="shared" si="123"/>
        <v>89750</v>
      </c>
      <c r="R1160" s="989">
        <f t="shared" si="125"/>
        <v>100</v>
      </c>
      <c r="S1160" s="1011">
        <v>0</v>
      </c>
      <c r="T1160" s="989">
        <f t="shared" si="121"/>
        <v>0</v>
      </c>
      <c r="U1160" s="989">
        <f t="shared" si="124"/>
        <v>89750</v>
      </c>
      <c r="V1160" s="989">
        <f t="shared" si="126"/>
        <v>100</v>
      </c>
      <c r="W1160" s="989"/>
      <c r="X1160" s="989">
        <f t="shared" si="122"/>
        <v>0</v>
      </c>
      <c r="Y1160" s="1012"/>
      <c r="Z1160" s="941"/>
      <c r="AA1160" s="941"/>
      <c r="AB1160" s="941"/>
      <c r="AC1160" s="941"/>
      <c r="AD1160" s="941"/>
      <c r="AE1160" s="941"/>
      <c r="AF1160" s="941"/>
      <c r="AG1160" s="941"/>
      <c r="AH1160" s="941"/>
      <c r="AI1160" s="941"/>
      <c r="AJ1160" s="941"/>
      <c r="AK1160" s="941"/>
      <c r="AL1160" s="941"/>
      <c r="AM1160" s="941"/>
    </row>
    <row r="1161" spans="1:39" s="969" customFormat="1" ht="63" customHeight="1">
      <c r="A1161" s="1034">
        <v>1043</v>
      </c>
      <c r="B1161" s="1007" t="s">
        <v>3327</v>
      </c>
      <c r="C1161" s="1008"/>
      <c r="D1161" s="1008"/>
      <c r="E1161" s="1027" t="s">
        <v>3328</v>
      </c>
      <c r="F1161" s="1012" t="s">
        <v>347</v>
      </c>
      <c r="G1161" s="989">
        <v>90400</v>
      </c>
      <c r="H1161" s="937"/>
      <c r="I1161" s="1046"/>
      <c r="J1161" s="1046"/>
      <c r="K1161" s="1047"/>
      <c r="L1161" s="1046"/>
      <c r="M1161" s="1094">
        <v>-5380</v>
      </c>
      <c r="N1161" s="989">
        <f>90400+M1161</f>
        <v>85020</v>
      </c>
      <c r="O1161" s="989">
        <v>0</v>
      </c>
      <c r="P1161" s="989">
        <v>85020</v>
      </c>
      <c r="Q1161" s="989">
        <f t="shared" si="123"/>
        <v>85020</v>
      </c>
      <c r="R1161" s="989">
        <f t="shared" si="125"/>
        <v>100</v>
      </c>
      <c r="S1161" s="1011">
        <v>0</v>
      </c>
      <c r="T1161" s="989">
        <f t="shared" si="121"/>
        <v>0</v>
      </c>
      <c r="U1161" s="989">
        <f t="shared" si="124"/>
        <v>85020</v>
      </c>
      <c r="V1161" s="989">
        <f t="shared" si="126"/>
        <v>100</v>
      </c>
      <c r="W1161" s="989"/>
      <c r="X1161" s="989">
        <f t="shared" si="122"/>
        <v>0</v>
      </c>
      <c r="Y1161" s="1012"/>
      <c r="Z1161" s="941"/>
      <c r="AA1161" s="941"/>
      <c r="AB1161" s="941"/>
      <c r="AC1161" s="941"/>
      <c r="AD1161" s="941"/>
      <c r="AE1161" s="941"/>
      <c r="AF1161" s="941"/>
      <c r="AG1161" s="941"/>
      <c r="AH1161" s="941"/>
      <c r="AI1161" s="941"/>
      <c r="AJ1161" s="941"/>
      <c r="AK1161" s="941"/>
      <c r="AL1161" s="941"/>
      <c r="AM1161" s="941"/>
    </row>
    <row r="1162" spans="1:39" s="969" customFormat="1" ht="63" customHeight="1">
      <c r="A1162" s="1034">
        <v>1044</v>
      </c>
      <c r="B1162" s="1007" t="s">
        <v>3329</v>
      </c>
      <c r="C1162" s="1008"/>
      <c r="D1162" s="1008"/>
      <c r="E1162" s="1027" t="s">
        <v>3330</v>
      </c>
      <c r="F1162" s="1012" t="s">
        <v>347</v>
      </c>
      <c r="G1162" s="989">
        <v>45200</v>
      </c>
      <c r="H1162" s="937"/>
      <c r="I1162" s="1046"/>
      <c r="J1162" s="1046"/>
      <c r="K1162" s="1047"/>
      <c r="L1162" s="1046"/>
      <c r="M1162" s="1094">
        <v>-1670.32</v>
      </c>
      <c r="N1162" s="989">
        <f>45200+M1162</f>
        <v>43529.68</v>
      </c>
      <c r="O1162" s="989">
        <v>0</v>
      </c>
      <c r="P1162" s="989">
        <v>43529.68</v>
      </c>
      <c r="Q1162" s="989">
        <f t="shared" si="123"/>
        <v>43529.68</v>
      </c>
      <c r="R1162" s="989">
        <f t="shared" si="125"/>
        <v>100</v>
      </c>
      <c r="S1162" s="1011">
        <v>0</v>
      </c>
      <c r="T1162" s="989">
        <f t="shared" si="121"/>
        <v>0</v>
      </c>
      <c r="U1162" s="989">
        <f t="shared" si="124"/>
        <v>43529.68</v>
      </c>
      <c r="V1162" s="989">
        <f t="shared" si="126"/>
        <v>100</v>
      </c>
      <c r="W1162" s="989"/>
      <c r="X1162" s="989">
        <f t="shared" si="122"/>
        <v>0</v>
      </c>
      <c r="Y1162" s="1012"/>
      <c r="Z1162" s="941"/>
      <c r="AA1162" s="941"/>
      <c r="AB1162" s="941"/>
      <c r="AC1162" s="941"/>
      <c r="AD1162" s="941"/>
      <c r="AE1162" s="941"/>
      <c r="AF1162" s="941"/>
      <c r="AG1162" s="941"/>
      <c r="AH1162" s="941"/>
      <c r="AI1162" s="941"/>
      <c r="AJ1162" s="941"/>
      <c r="AK1162" s="941"/>
      <c r="AL1162" s="941"/>
      <c r="AM1162" s="941"/>
    </row>
    <row r="1163" spans="1:39" s="969" customFormat="1" ht="63" customHeight="1">
      <c r="A1163" s="1034">
        <v>1045</v>
      </c>
      <c r="B1163" s="1007" t="s">
        <v>3331</v>
      </c>
      <c r="C1163" s="1008"/>
      <c r="D1163" s="1008"/>
      <c r="E1163" s="1027" t="s">
        <v>3332</v>
      </c>
      <c r="F1163" s="1012" t="s">
        <v>347</v>
      </c>
      <c r="G1163" s="989">
        <v>45200</v>
      </c>
      <c r="H1163" s="937"/>
      <c r="I1163" s="1046"/>
      <c r="J1163" s="1046"/>
      <c r="K1163" s="1047"/>
      <c r="L1163" s="1046"/>
      <c r="M1163" s="1094">
        <v>-23500</v>
      </c>
      <c r="N1163" s="989">
        <f>45200+M1163</f>
        <v>21700</v>
      </c>
      <c r="O1163" s="989">
        <v>0</v>
      </c>
      <c r="P1163" s="989">
        <v>21700</v>
      </c>
      <c r="Q1163" s="989">
        <f t="shared" si="123"/>
        <v>21700</v>
      </c>
      <c r="R1163" s="989">
        <f t="shared" si="125"/>
        <v>100</v>
      </c>
      <c r="S1163" s="1011">
        <v>0</v>
      </c>
      <c r="T1163" s="989">
        <f t="shared" si="121"/>
        <v>0</v>
      </c>
      <c r="U1163" s="989">
        <f t="shared" si="124"/>
        <v>21700</v>
      </c>
      <c r="V1163" s="989">
        <f t="shared" si="126"/>
        <v>100</v>
      </c>
      <c r="W1163" s="989"/>
      <c r="X1163" s="989">
        <f t="shared" si="122"/>
        <v>0</v>
      </c>
      <c r="Y1163" s="1012"/>
      <c r="Z1163" s="941"/>
      <c r="AA1163" s="941"/>
      <c r="AB1163" s="941"/>
      <c r="AC1163" s="941"/>
      <c r="AD1163" s="941"/>
      <c r="AE1163" s="941"/>
      <c r="AF1163" s="941"/>
      <c r="AG1163" s="941"/>
      <c r="AH1163" s="941"/>
      <c r="AI1163" s="941"/>
      <c r="AJ1163" s="941"/>
      <c r="AK1163" s="941"/>
      <c r="AL1163" s="941"/>
      <c r="AM1163" s="941"/>
    </row>
    <row r="1164" spans="1:39" s="969" customFormat="1" ht="63" customHeight="1">
      <c r="A1164" s="1034">
        <v>1046</v>
      </c>
      <c r="B1164" s="1007" t="s">
        <v>3333</v>
      </c>
      <c r="C1164" s="1008"/>
      <c r="D1164" s="1008"/>
      <c r="E1164" s="1027" t="s">
        <v>3334</v>
      </c>
      <c r="F1164" s="1012" t="s">
        <v>347</v>
      </c>
      <c r="G1164" s="989">
        <v>104000</v>
      </c>
      <c r="H1164" s="937"/>
      <c r="I1164" s="1046"/>
      <c r="J1164" s="1046"/>
      <c r="K1164" s="1047"/>
      <c r="L1164" s="1046"/>
      <c r="M1164" s="1094"/>
      <c r="N1164" s="989">
        <v>104000</v>
      </c>
      <c r="O1164" s="989">
        <v>0</v>
      </c>
      <c r="P1164" s="989">
        <v>104000</v>
      </c>
      <c r="Q1164" s="989">
        <f t="shared" si="123"/>
        <v>104000</v>
      </c>
      <c r="R1164" s="989">
        <f t="shared" si="125"/>
        <v>100</v>
      </c>
      <c r="S1164" s="1011">
        <v>0</v>
      </c>
      <c r="T1164" s="989">
        <f t="shared" si="121"/>
        <v>0</v>
      </c>
      <c r="U1164" s="989">
        <f t="shared" si="124"/>
        <v>104000</v>
      </c>
      <c r="V1164" s="989">
        <f t="shared" si="126"/>
        <v>100</v>
      </c>
      <c r="W1164" s="989"/>
      <c r="X1164" s="989">
        <f t="shared" si="122"/>
        <v>0</v>
      </c>
      <c r="Y1164" s="1012"/>
      <c r="Z1164" s="941"/>
      <c r="AA1164" s="941"/>
      <c r="AB1164" s="941"/>
      <c r="AC1164" s="941"/>
      <c r="AD1164" s="941"/>
      <c r="AE1164" s="941"/>
      <c r="AF1164" s="941"/>
      <c r="AG1164" s="941"/>
      <c r="AH1164" s="941"/>
      <c r="AI1164" s="941"/>
      <c r="AJ1164" s="941"/>
      <c r="AK1164" s="941"/>
      <c r="AL1164" s="941"/>
      <c r="AM1164" s="941"/>
    </row>
    <row r="1165" spans="1:39" s="969" customFormat="1" ht="63" customHeight="1">
      <c r="A1165" s="1034">
        <v>1047</v>
      </c>
      <c r="B1165" s="1007" t="s">
        <v>3335</v>
      </c>
      <c r="C1165" s="1008"/>
      <c r="D1165" s="1008"/>
      <c r="E1165" s="1027" t="s">
        <v>3336</v>
      </c>
      <c r="F1165" s="1012" t="s">
        <v>347</v>
      </c>
      <c r="G1165" s="989">
        <v>104000</v>
      </c>
      <c r="H1165" s="937"/>
      <c r="I1165" s="1046"/>
      <c r="J1165" s="1046"/>
      <c r="K1165" s="1047"/>
      <c r="L1165" s="1046"/>
      <c r="M1165" s="1094">
        <v>-21030</v>
      </c>
      <c r="N1165" s="989">
        <f>104000+M1165</f>
        <v>82970</v>
      </c>
      <c r="O1165" s="989">
        <v>0</v>
      </c>
      <c r="P1165" s="989">
        <v>82970</v>
      </c>
      <c r="Q1165" s="989">
        <f t="shared" si="123"/>
        <v>82970</v>
      </c>
      <c r="R1165" s="989">
        <f t="shared" si="125"/>
        <v>100</v>
      </c>
      <c r="S1165" s="1011">
        <v>0</v>
      </c>
      <c r="T1165" s="989">
        <f t="shared" si="121"/>
        <v>0</v>
      </c>
      <c r="U1165" s="989">
        <f t="shared" si="124"/>
        <v>82970</v>
      </c>
      <c r="V1165" s="989">
        <f t="shared" si="126"/>
        <v>100</v>
      </c>
      <c r="W1165" s="989"/>
      <c r="X1165" s="989">
        <f t="shared" si="122"/>
        <v>0</v>
      </c>
      <c r="Y1165" s="1012"/>
      <c r="Z1165" s="941"/>
      <c r="AA1165" s="941"/>
      <c r="AB1165" s="941"/>
      <c r="AC1165" s="941"/>
      <c r="AD1165" s="941"/>
      <c r="AE1165" s="941"/>
      <c r="AF1165" s="941"/>
      <c r="AG1165" s="941"/>
      <c r="AH1165" s="941"/>
      <c r="AI1165" s="941"/>
      <c r="AJ1165" s="941"/>
      <c r="AK1165" s="941"/>
      <c r="AL1165" s="941"/>
      <c r="AM1165" s="941"/>
    </row>
    <row r="1166" spans="1:39" s="969" customFormat="1" ht="63" customHeight="1">
      <c r="A1166" s="1034">
        <v>1048</v>
      </c>
      <c r="B1166" s="1007" t="s">
        <v>3337</v>
      </c>
      <c r="C1166" s="1008"/>
      <c r="D1166" s="1008"/>
      <c r="E1166" s="1027" t="s">
        <v>3338</v>
      </c>
      <c r="F1166" s="1012" t="s">
        <v>566</v>
      </c>
      <c r="G1166" s="989">
        <v>90400</v>
      </c>
      <c r="H1166" s="937"/>
      <c r="I1166" s="1046"/>
      <c r="J1166" s="1046"/>
      <c r="K1166" s="1047">
        <v>-18000</v>
      </c>
      <c r="L1166" s="1046"/>
      <c r="M1166" s="1094">
        <v>-30500</v>
      </c>
      <c r="N1166" s="989">
        <f>72400+M1166</f>
        <v>41900</v>
      </c>
      <c r="O1166" s="989">
        <v>0</v>
      </c>
      <c r="P1166" s="989">
        <v>41900</v>
      </c>
      <c r="Q1166" s="989">
        <f t="shared" si="123"/>
        <v>41900</v>
      </c>
      <c r="R1166" s="989">
        <f t="shared" si="125"/>
        <v>100</v>
      </c>
      <c r="S1166" s="1011">
        <v>0</v>
      </c>
      <c r="T1166" s="989">
        <f t="shared" si="121"/>
        <v>0</v>
      </c>
      <c r="U1166" s="989">
        <f t="shared" si="124"/>
        <v>41900</v>
      </c>
      <c r="V1166" s="989">
        <f t="shared" si="126"/>
        <v>100</v>
      </c>
      <c r="W1166" s="989"/>
      <c r="X1166" s="989">
        <f t="shared" si="122"/>
        <v>0</v>
      </c>
      <c r="Y1166" s="1012"/>
      <c r="Z1166" s="941"/>
      <c r="AA1166" s="941"/>
      <c r="AB1166" s="941"/>
      <c r="AC1166" s="941"/>
      <c r="AD1166" s="941"/>
      <c r="AE1166" s="941"/>
      <c r="AF1166" s="941"/>
      <c r="AG1166" s="941"/>
      <c r="AH1166" s="941"/>
      <c r="AI1166" s="941"/>
      <c r="AJ1166" s="941"/>
      <c r="AK1166" s="941"/>
      <c r="AL1166" s="941"/>
      <c r="AM1166" s="941"/>
    </row>
    <row r="1167" spans="1:39" s="969" customFormat="1" ht="63" customHeight="1">
      <c r="A1167" s="1034">
        <v>1049</v>
      </c>
      <c r="B1167" s="1007" t="s">
        <v>3339</v>
      </c>
      <c r="C1167" s="1008"/>
      <c r="D1167" s="1008"/>
      <c r="E1167" s="1027" t="s">
        <v>3340</v>
      </c>
      <c r="F1167" s="1012" t="s">
        <v>566</v>
      </c>
      <c r="G1167" s="989">
        <v>1456000</v>
      </c>
      <c r="H1167" s="937"/>
      <c r="I1167" s="1046"/>
      <c r="J1167" s="1046"/>
      <c r="K1167" s="1047">
        <f>-123500-205925.44</f>
        <v>-329425.44</v>
      </c>
      <c r="L1167" s="1046"/>
      <c r="M1167" s="1094"/>
      <c r="N1167" s="989">
        <f>G1167+M1167+K1167</f>
        <v>1126574.56</v>
      </c>
      <c r="O1167" s="989">
        <v>0</v>
      </c>
      <c r="P1167" s="989">
        <v>1126574.56</v>
      </c>
      <c r="Q1167" s="989">
        <f t="shared" si="123"/>
        <v>1126574.56</v>
      </c>
      <c r="R1167" s="989">
        <f t="shared" si="125"/>
        <v>100</v>
      </c>
      <c r="S1167" s="1011">
        <v>0</v>
      </c>
      <c r="T1167" s="989">
        <f t="shared" si="121"/>
        <v>0</v>
      </c>
      <c r="U1167" s="989">
        <f t="shared" si="124"/>
        <v>1126574.56</v>
      </c>
      <c r="V1167" s="989">
        <f t="shared" si="126"/>
        <v>100</v>
      </c>
      <c r="W1167" s="989"/>
      <c r="X1167" s="989">
        <f t="shared" si="122"/>
        <v>0</v>
      </c>
      <c r="Y1167" s="1012"/>
      <c r="Z1167" s="941"/>
      <c r="AA1167" s="941"/>
      <c r="AB1167" s="941"/>
      <c r="AC1167" s="941"/>
      <c r="AD1167" s="941"/>
      <c r="AE1167" s="941"/>
      <c r="AF1167" s="941"/>
      <c r="AG1167" s="941"/>
      <c r="AH1167" s="941"/>
      <c r="AI1167" s="941"/>
      <c r="AJ1167" s="941"/>
      <c r="AK1167" s="941"/>
      <c r="AL1167" s="941"/>
      <c r="AM1167" s="941"/>
    </row>
    <row r="1168" spans="1:39" s="969" customFormat="1" ht="63" customHeight="1">
      <c r="A1168" s="1034">
        <v>1050</v>
      </c>
      <c r="B1168" s="1007" t="s">
        <v>3341</v>
      </c>
      <c r="C1168" s="1008"/>
      <c r="D1168" s="1008"/>
      <c r="E1168" s="1027" t="s">
        <v>3342</v>
      </c>
      <c r="F1168" s="1012" t="s">
        <v>566</v>
      </c>
      <c r="G1168" s="989">
        <v>312000</v>
      </c>
      <c r="H1168" s="937"/>
      <c r="I1168" s="1046"/>
      <c r="J1168" s="1046"/>
      <c r="K1168" s="1047">
        <v>-103900</v>
      </c>
      <c r="L1168" s="1046"/>
      <c r="M1168" s="1094"/>
      <c r="N1168" s="989">
        <f>312000+M1168+K1168</f>
        <v>208100</v>
      </c>
      <c r="O1168" s="989">
        <v>0</v>
      </c>
      <c r="P1168" s="989">
        <v>208100</v>
      </c>
      <c r="Q1168" s="989">
        <f t="shared" si="123"/>
        <v>208100</v>
      </c>
      <c r="R1168" s="989">
        <f t="shared" si="125"/>
        <v>100</v>
      </c>
      <c r="S1168" s="1011">
        <v>0</v>
      </c>
      <c r="T1168" s="989">
        <f t="shared" si="121"/>
        <v>0</v>
      </c>
      <c r="U1168" s="989">
        <f t="shared" si="124"/>
        <v>208100</v>
      </c>
      <c r="V1168" s="989">
        <f t="shared" si="126"/>
        <v>100</v>
      </c>
      <c r="W1168" s="989"/>
      <c r="X1168" s="989">
        <f t="shared" si="122"/>
        <v>0</v>
      </c>
      <c r="Y1168" s="1012"/>
      <c r="Z1168" s="941"/>
      <c r="AA1168" s="941"/>
      <c r="AB1168" s="941"/>
      <c r="AC1168" s="941"/>
      <c r="AD1168" s="941"/>
      <c r="AE1168" s="941"/>
      <c r="AF1168" s="941"/>
      <c r="AG1168" s="941"/>
      <c r="AH1168" s="941"/>
      <c r="AI1168" s="941"/>
      <c r="AJ1168" s="941"/>
      <c r="AK1168" s="941"/>
      <c r="AL1168" s="941"/>
      <c r="AM1168" s="941"/>
    </row>
    <row r="1169" spans="1:39" s="969" customFormat="1" ht="63" customHeight="1">
      <c r="A1169" s="1034">
        <v>1051</v>
      </c>
      <c r="B1169" s="1007" t="s">
        <v>3343</v>
      </c>
      <c r="C1169" s="1008"/>
      <c r="D1169" s="1008"/>
      <c r="E1169" s="1027" t="s">
        <v>3344</v>
      </c>
      <c r="F1169" s="1012" t="s">
        <v>584</v>
      </c>
      <c r="G1169" s="989">
        <v>45200</v>
      </c>
      <c r="H1169" s="937"/>
      <c r="I1169" s="1046"/>
      <c r="J1169" s="1046"/>
      <c r="K1169" s="1047"/>
      <c r="L1169" s="1046"/>
      <c r="M1169" s="1094"/>
      <c r="N1169" s="989">
        <v>45200</v>
      </c>
      <c r="O1169" s="989">
        <v>0</v>
      </c>
      <c r="P1169" s="989">
        <v>45200</v>
      </c>
      <c r="Q1169" s="989">
        <f t="shared" si="123"/>
        <v>45200</v>
      </c>
      <c r="R1169" s="989">
        <f t="shared" si="125"/>
        <v>100</v>
      </c>
      <c r="S1169" s="1011">
        <v>0</v>
      </c>
      <c r="T1169" s="989">
        <f t="shared" si="121"/>
        <v>0</v>
      </c>
      <c r="U1169" s="989">
        <f t="shared" si="124"/>
        <v>45200</v>
      </c>
      <c r="V1169" s="989">
        <f t="shared" si="126"/>
        <v>100</v>
      </c>
      <c r="W1169" s="989"/>
      <c r="X1169" s="989">
        <f t="shared" si="122"/>
        <v>0</v>
      </c>
      <c r="Y1169" s="1012"/>
      <c r="Z1169" s="941"/>
      <c r="AA1169" s="941"/>
      <c r="AB1169" s="941"/>
      <c r="AC1169" s="941"/>
      <c r="AD1169" s="941"/>
      <c r="AE1169" s="941"/>
      <c r="AF1169" s="941"/>
      <c r="AG1169" s="941"/>
      <c r="AH1169" s="941"/>
      <c r="AI1169" s="941"/>
      <c r="AJ1169" s="941"/>
      <c r="AK1169" s="941"/>
      <c r="AL1169" s="941"/>
      <c r="AM1169" s="941"/>
    </row>
    <row r="1170" spans="1:39" s="969" customFormat="1" ht="63" customHeight="1">
      <c r="A1170" s="1034">
        <v>1052</v>
      </c>
      <c r="B1170" s="1007" t="s">
        <v>3345</v>
      </c>
      <c r="C1170" s="1008"/>
      <c r="D1170" s="1008"/>
      <c r="E1170" s="1027" t="s">
        <v>3346</v>
      </c>
      <c r="F1170" s="1012" t="s">
        <v>584</v>
      </c>
      <c r="G1170" s="989">
        <v>104000</v>
      </c>
      <c r="H1170" s="937"/>
      <c r="I1170" s="1046"/>
      <c r="J1170" s="1046"/>
      <c r="K1170" s="1047"/>
      <c r="L1170" s="1046"/>
      <c r="M1170" s="1094"/>
      <c r="N1170" s="989">
        <v>104000</v>
      </c>
      <c r="O1170" s="989">
        <v>0</v>
      </c>
      <c r="P1170" s="989">
        <v>104000</v>
      </c>
      <c r="Q1170" s="989">
        <f t="shared" si="123"/>
        <v>104000</v>
      </c>
      <c r="R1170" s="989">
        <f t="shared" si="125"/>
        <v>100</v>
      </c>
      <c r="S1170" s="1011">
        <v>0</v>
      </c>
      <c r="T1170" s="989">
        <f t="shared" si="121"/>
        <v>0</v>
      </c>
      <c r="U1170" s="989">
        <f t="shared" si="124"/>
        <v>104000</v>
      </c>
      <c r="V1170" s="989">
        <f t="shared" si="126"/>
        <v>100</v>
      </c>
      <c r="W1170" s="989"/>
      <c r="X1170" s="989">
        <f t="shared" si="122"/>
        <v>0</v>
      </c>
      <c r="Y1170" s="1012"/>
      <c r="Z1170" s="941"/>
      <c r="AA1170" s="941"/>
      <c r="AB1170" s="941"/>
      <c r="AC1170" s="941"/>
      <c r="AD1170" s="941"/>
      <c r="AE1170" s="941"/>
      <c r="AF1170" s="941"/>
      <c r="AG1170" s="941"/>
      <c r="AH1170" s="941"/>
      <c r="AI1170" s="941"/>
      <c r="AJ1170" s="941"/>
      <c r="AK1170" s="941"/>
      <c r="AL1170" s="941"/>
      <c r="AM1170" s="941"/>
    </row>
    <row r="1171" spans="1:39" s="969" customFormat="1" ht="63" customHeight="1">
      <c r="A1171" s="1034">
        <v>1053</v>
      </c>
      <c r="B1171" s="1007" t="s">
        <v>3370</v>
      </c>
      <c r="C1171" s="1008"/>
      <c r="D1171" s="1008"/>
      <c r="E1171" s="1027" t="s">
        <v>3347</v>
      </c>
      <c r="F1171" s="1012" t="s">
        <v>576</v>
      </c>
      <c r="G1171" s="989">
        <v>104000</v>
      </c>
      <c r="H1171" s="937"/>
      <c r="I1171" s="1046"/>
      <c r="J1171" s="1046"/>
      <c r="K1171" s="1047">
        <v>-22071.69</v>
      </c>
      <c r="L1171" s="1046"/>
      <c r="M1171" s="1094">
        <f>-62171.69+22071.69</f>
        <v>-40100</v>
      </c>
      <c r="N1171" s="989">
        <f>104000+M1171+K1171</f>
        <v>41828.31</v>
      </c>
      <c r="O1171" s="989">
        <v>0</v>
      </c>
      <c r="P1171" s="989">
        <v>41828.31</v>
      </c>
      <c r="Q1171" s="989">
        <f t="shared" si="123"/>
        <v>41828.31</v>
      </c>
      <c r="R1171" s="989">
        <f t="shared" si="125"/>
        <v>100</v>
      </c>
      <c r="S1171" s="1011">
        <v>0</v>
      </c>
      <c r="T1171" s="989">
        <f t="shared" si="121"/>
        <v>0</v>
      </c>
      <c r="U1171" s="989">
        <f t="shared" si="124"/>
        <v>41828.31</v>
      </c>
      <c r="V1171" s="989">
        <f t="shared" si="126"/>
        <v>100</v>
      </c>
      <c r="W1171" s="989"/>
      <c r="X1171" s="989">
        <f t="shared" si="122"/>
        <v>0</v>
      </c>
      <c r="Y1171" s="1012"/>
      <c r="Z1171" s="941"/>
      <c r="AA1171" s="941"/>
      <c r="AB1171" s="941"/>
      <c r="AC1171" s="941"/>
      <c r="AD1171" s="941"/>
      <c r="AE1171" s="941"/>
      <c r="AF1171" s="941"/>
      <c r="AG1171" s="941"/>
      <c r="AH1171" s="941"/>
      <c r="AI1171" s="941"/>
      <c r="AJ1171" s="941"/>
      <c r="AK1171" s="941"/>
      <c r="AL1171" s="941"/>
      <c r="AM1171" s="941"/>
    </row>
    <row r="1172" spans="1:39" s="969" customFormat="1" ht="63" customHeight="1">
      <c r="A1172" s="1034">
        <v>1054</v>
      </c>
      <c r="B1172" s="1007" t="s">
        <v>3371</v>
      </c>
      <c r="C1172" s="1008"/>
      <c r="D1172" s="1008"/>
      <c r="E1172" s="1027" t="s">
        <v>3348</v>
      </c>
      <c r="F1172" s="1012" t="s">
        <v>585</v>
      </c>
      <c r="G1172" s="989">
        <v>45200</v>
      </c>
      <c r="H1172" s="937"/>
      <c r="I1172" s="1046"/>
      <c r="J1172" s="1046"/>
      <c r="K1172" s="1047"/>
      <c r="L1172" s="1046"/>
      <c r="M1172" s="1094">
        <v>-300</v>
      </c>
      <c r="N1172" s="989">
        <f>45200+M1172</f>
        <v>44900</v>
      </c>
      <c r="O1172" s="989">
        <v>0</v>
      </c>
      <c r="P1172" s="989">
        <v>44900</v>
      </c>
      <c r="Q1172" s="989">
        <f t="shared" si="123"/>
        <v>44900</v>
      </c>
      <c r="R1172" s="989">
        <f t="shared" si="125"/>
        <v>100</v>
      </c>
      <c r="S1172" s="1011">
        <v>0</v>
      </c>
      <c r="T1172" s="989">
        <f t="shared" si="121"/>
        <v>0</v>
      </c>
      <c r="U1172" s="989">
        <f t="shared" si="124"/>
        <v>44900</v>
      </c>
      <c r="V1172" s="989">
        <f t="shared" si="126"/>
        <v>100</v>
      </c>
      <c r="W1172" s="989"/>
      <c r="X1172" s="989">
        <f t="shared" si="122"/>
        <v>0</v>
      </c>
      <c r="Y1172" s="1012"/>
      <c r="Z1172" s="941"/>
      <c r="AA1172" s="941"/>
      <c r="AB1172" s="941"/>
      <c r="AC1172" s="941"/>
      <c r="AD1172" s="941"/>
      <c r="AE1172" s="941"/>
      <c r="AF1172" s="941"/>
      <c r="AG1172" s="941"/>
      <c r="AH1172" s="941"/>
      <c r="AI1172" s="941"/>
      <c r="AJ1172" s="941"/>
      <c r="AK1172" s="941"/>
      <c r="AL1172" s="941"/>
      <c r="AM1172" s="941"/>
    </row>
    <row r="1173" spans="1:39" s="969" customFormat="1" ht="63" customHeight="1">
      <c r="A1173" s="1034">
        <v>1055</v>
      </c>
      <c r="B1173" s="1007" t="s">
        <v>3372</v>
      </c>
      <c r="C1173" s="1008"/>
      <c r="D1173" s="1008"/>
      <c r="E1173" s="1027" t="s">
        <v>4327</v>
      </c>
      <c r="F1173" s="1012" t="s">
        <v>585</v>
      </c>
      <c r="G1173" s="989">
        <v>45200</v>
      </c>
      <c r="H1173" s="937"/>
      <c r="I1173" s="1046"/>
      <c r="J1173" s="1046"/>
      <c r="K1173" s="1047">
        <v>-4200</v>
      </c>
      <c r="L1173" s="1046"/>
      <c r="M1173" s="1094"/>
      <c r="N1173" s="989">
        <v>41000</v>
      </c>
      <c r="O1173" s="989">
        <v>0</v>
      </c>
      <c r="P1173" s="989">
        <v>41000</v>
      </c>
      <c r="Q1173" s="989">
        <f t="shared" si="123"/>
        <v>41000</v>
      </c>
      <c r="R1173" s="989">
        <f t="shared" si="125"/>
        <v>100</v>
      </c>
      <c r="S1173" s="1011">
        <v>0</v>
      </c>
      <c r="T1173" s="989">
        <f t="shared" si="121"/>
        <v>0</v>
      </c>
      <c r="U1173" s="989">
        <f t="shared" si="124"/>
        <v>41000</v>
      </c>
      <c r="V1173" s="989">
        <f t="shared" si="126"/>
        <v>100</v>
      </c>
      <c r="W1173" s="989"/>
      <c r="X1173" s="989">
        <f t="shared" si="122"/>
        <v>0</v>
      </c>
      <c r="Y1173" s="1012"/>
      <c r="Z1173" s="941"/>
      <c r="AA1173" s="941"/>
      <c r="AB1173" s="941"/>
      <c r="AC1173" s="941"/>
      <c r="AD1173" s="941"/>
      <c r="AE1173" s="941"/>
      <c r="AF1173" s="941"/>
      <c r="AG1173" s="941"/>
      <c r="AH1173" s="941"/>
      <c r="AI1173" s="941"/>
      <c r="AJ1173" s="941"/>
      <c r="AK1173" s="941"/>
      <c r="AL1173" s="941"/>
      <c r="AM1173" s="941"/>
    </row>
    <row r="1174" spans="1:39" s="969" customFormat="1" ht="63" customHeight="1">
      <c r="A1174" s="1034">
        <v>1056</v>
      </c>
      <c r="B1174" s="1007" t="s">
        <v>3373</v>
      </c>
      <c r="C1174" s="1008"/>
      <c r="D1174" s="1008"/>
      <c r="E1174" s="1027" t="s">
        <v>3349</v>
      </c>
      <c r="F1174" s="1012" t="s">
        <v>585</v>
      </c>
      <c r="G1174" s="989">
        <v>45200</v>
      </c>
      <c r="H1174" s="937"/>
      <c r="I1174" s="1046"/>
      <c r="J1174" s="1046"/>
      <c r="K1174" s="1047">
        <v>-9000</v>
      </c>
      <c r="L1174" s="1046"/>
      <c r="M1174" s="1094">
        <v>-18300</v>
      </c>
      <c r="N1174" s="989">
        <f>36200+M1174</f>
        <v>17900</v>
      </c>
      <c r="O1174" s="989">
        <v>0</v>
      </c>
      <c r="P1174" s="989">
        <v>17900</v>
      </c>
      <c r="Q1174" s="989">
        <f t="shared" si="123"/>
        <v>17900</v>
      </c>
      <c r="R1174" s="989">
        <f t="shared" si="125"/>
        <v>100</v>
      </c>
      <c r="S1174" s="1011">
        <v>0</v>
      </c>
      <c r="T1174" s="989">
        <f t="shared" si="121"/>
        <v>0</v>
      </c>
      <c r="U1174" s="989">
        <f t="shared" si="124"/>
        <v>17900</v>
      </c>
      <c r="V1174" s="989">
        <f t="shared" si="126"/>
        <v>100</v>
      </c>
      <c r="W1174" s="989"/>
      <c r="X1174" s="989">
        <f t="shared" si="122"/>
        <v>0</v>
      </c>
      <c r="Y1174" s="1012"/>
      <c r="Z1174" s="941"/>
      <c r="AA1174" s="941"/>
      <c r="AB1174" s="941"/>
      <c r="AC1174" s="941"/>
      <c r="AD1174" s="941"/>
      <c r="AE1174" s="941"/>
      <c r="AF1174" s="941"/>
      <c r="AG1174" s="941"/>
      <c r="AH1174" s="941"/>
      <c r="AI1174" s="941"/>
      <c r="AJ1174" s="941"/>
      <c r="AK1174" s="941"/>
      <c r="AL1174" s="941"/>
      <c r="AM1174" s="941"/>
    </row>
    <row r="1175" spans="1:39" s="969" customFormat="1" ht="63" customHeight="1">
      <c r="A1175" s="1034">
        <v>1057</v>
      </c>
      <c r="B1175" s="1007" t="s">
        <v>3374</v>
      </c>
      <c r="C1175" s="1008"/>
      <c r="D1175" s="1008"/>
      <c r="E1175" s="1027" t="s">
        <v>3350</v>
      </c>
      <c r="F1175" s="1012" t="s">
        <v>585</v>
      </c>
      <c r="G1175" s="989">
        <v>45200</v>
      </c>
      <c r="H1175" s="937"/>
      <c r="I1175" s="1046"/>
      <c r="J1175" s="1046"/>
      <c r="K1175" s="1047">
        <v>-3500</v>
      </c>
      <c r="L1175" s="1046"/>
      <c r="M1175" s="1094"/>
      <c r="N1175" s="989">
        <v>41700</v>
      </c>
      <c r="O1175" s="989">
        <v>0</v>
      </c>
      <c r="P1175" s="989">
        <v>41700</v>
      </c>
      <c r="Q1175" s="989">
        <f t="shared" si="123"/>
        <v>41700</v>
      </c>
      <c r="R1175" s="989">
        <f t="shared" si="125"/>
        <v>100</v>
      </c>
      <c r="S1175" s="1011">
        <v>0</v>
      </c>
      <c r="T1175" s="989">
        <f t="shared" si="121"/>
        <v>0</v>
      </c>
      <c r="U1175" s="989">
        <f t="shared" si="124"/>
        <v>41700</v>
      </c>
      <c r="V1175" s="989">
        <f t="shared" si="126"/>
        <v>100</v>
      </c>
      <c r="W1175" s="989"/>
      <c r="X1175" s="989">
        <f t="shared" si="122"/>
        <v>0</v>
      </c>
      <c r="Y1175" s="1012"/>
      <c r="Z1175" s="941"/>
      <c r="AA1175" s="941"/>
      <c r="AB1175" s="941"/>
      <c r="AC1175" s="941"/>
      <c r="AD1175" s="941"/>
      <c r="AE1175" s="941"/>
      <c r="AF1175" s="941"/>
      <c r="AG1175" s="941"/>
      <c r="AH1175" s="941"/>
      <c r="AI1175" s="941"/>
      <c r="AJ1175" s="941"/>
      <c r="AK1175" s="941"/>
      <c r="AL1175" s="941"/>
      <c r="AM1175" s="941"/>
    </row>
    <row r="1176" spans="1:39" s="969" customFormat="1" ht="63" customHeight="1">
      <c r="A1176" s="1034">
        <v>1058</v>
      </c>
      <c r="B1176" s="1007" t="s">
        <v>3375</v>
      </c>
      <c r="C1176" s="1008"/>
      <c r="D1176" s="1008"/>
      <c r="E1176" s="1027" t="s">
        <v>3351</v>
      </c>
      <c r="F1176" s="1012" t="s">
        <v>585</v>
      </c>
      <c r="G1176" s="989">
        <v>45200</v>
      </c>
      <c r="H1176" s="937"/>
      <c r="I1176" s="1046"/>
      <c r="J1176" s="1046"/>
      <c r="K1176" s="1047">
        <v>-9000</v>
      </c>
      <c r="L1176" s="1046"/>
      <c r="M1176" s="1094">
        <f>-300-4555.52</f>
        <v>-4855.5200000000004</v>
      </c>
      <c r="N1176" s="989">
        <f>36200+M1176</f>
        <v>31344.48</v>
      </c>
      <c r="O1176" s="989">
        <v>0</v>
      </c>
      <c r="P1176" s="989">
        <v>31344.48</v>
      </c>
      <c r="Q1176" s="989">
        <f t="shared" si="123"/>
        <v>31344.48</v>
      </c>
      <c r="R1176" s="989">
        <f t="shared" si="125"/>
        <v>100</v>
      </c>
      <c r="S1176" s="1011">
        <v>0</v>
      </c>
      <c r="T1176" s="989">
        <f t="shared" si="121"/>
        <v>0</v>
      </c>
      <c r="U1176" s="989">
        <f t="shared" si="124"/>
        <v>31344.48</v>
      </c>
      <c r="V1176" s="989">
        <f t="shared" si="126"/>
        <v>100</v>
      </c>
      <c r="W1176" s="989"/>
      <c r="X1176" s="989">
        <f t="shared" si="122"/>
        <v>0</v>
      </c>
      <c r="Y1176" s="1012"/>
      <c r="Z1176" s="941"/>
      <c r="AA1176" s="941"/>
      <c r="AB1176" s="941"/>
      <c r="AC1176" s="941"/>
      <c r="AD1176" s="941"/>
      <c r="AE1176" s="941"/>
      <c r="AF1176" s="941"/>
      <c r="AG1176" s="941"/>
      <c r="AH1176" s="941"/>
      <c r="AI1176" s="941"/>
      <c r="AJ1176" s="941"/>
      <c r="AK1176" s="941"/>
      <c r="AL1176" s="941"/>
      <c r="AM1176" s="941"/>
    </row>
    <row r="1177" spans="1:39" s="969" customFormat="1" ht="63" customHeight="1">
      <c r="A1177" s="1034">
        <v>1059</v>
      </c>
      <c r="B1177" s="1007" t="s">
        <v>3376</v>
      </c>
      <c r="C1177" s="1008"/>
      <c r="D1177" s="1008"/>
      <c r="E1177" s="1027" t="s">
        <v>3352</v>
      </c>
      <c r="F1177" s="1012" t="s">
        <v>585</v>
      </c>
      <c r="G1177" s="989">
        <v>104000</v>
      </c>
      <c r="H1177" s="937"/>
      <c r="I1177" s="1046"/>
      <c r="J1177" s="1046"/>
      <c r="K1177" s="1047">
        <v>-9000</v>
      </c>
      <c r="L1177" s="1046"/>
      <c r="M1177" s="1094">
        <v>-28030</v>
      </c>
      <c r="N1177" s="989">
        <f>95000+M1177</f>
        <v>66970</v>
      </c>
      <c r="O1177" s="989">
        <v>0</v>
      </c>
      <c r="P1177" s="989">
        <v>66970</v>
      </c>
      <c r="Q1177" s="989">
        <f t="shared" si="123"/>
        <v>66970</v>
      </c>
      <c r="R1177" s="989">
        <f t="shared" si="125"/>
        <v>100</v>
      </c>
      <c r="S1177" s="1011">
        <v>0</v>
      </c>
      <c r="T1177" s="989">
        <f t="shared" si="121"/>
        <v>0</v>
      </c>
      <c r="U1177" s="989">
        <f t="shared" si="124"/>
        <v>66970</v>
      </c>
      <c r="V1177" s="989">
        <f t="shared" si="126"/>
        <v>100</v>
      </c>
      <c r="W1177" s="989"/>
      <c r="X1177" s="989">
        <f t="shared" si="122"/>
        <v>0</v>
      </c>
      <c r="Y1177" s="1012"/>
      <c r="Z1177" s="941"/>
      <c r="AA1177" s="941"/>
      <c r="AB1177" s="941"/>
      <c r="AC1177" s="941"/>
      <c r="AD1177" s="941"/>
      <c r="AE1177" s="941"/>
      <c r="AF1177" s="941"/>
      <c r="AG1177" s="941"/>
      <c r="AH1177" s="941"/>
      <c r="AI1177" s="941"/>
      <c r="AJ1177" s="941"/>
      <c r="AK1177" s="941"/>
      <c r="AL1177" s="941"/>
      <c r="AM1177" s="941"/>
    </row>
    <row r="1178" spans="1:39" s="969" customFormat="1" ht="63" customHeight="1">
      <c r="A1178" s="1034">
        <v>1060</v>
      </c>
      <c r="B1178" s="1007" t="s">
        <v>3377</v>
      </c>
      <c r="C1178" s="1008"/>
      <c r="D1178" s="1008"/>
      <c r="E1178" s="1027" t="s">
        <v>3353</v>
      </c>
      <c r="F1178" s="1012" t="s">
        <v>585</v>
      </c>
      <c r="G1178" s="989">
        <v>312000</v>
      </c>
      <c r="H1178" s="937"/>
      <c r="I1178" s="1046"/>
      <c r="J1178" s="1046"/>
      <c r="K1178" s="1047">
        <v>-27000</v>
      </c>
      <c r="L1178" s="1046"/>
      <c r="M1178" s="1094">
        <v>-39440</v>
      </c>
      <c r="N1178" s="989">
        <f>285000+M1178</f>
        <v>245560</v>
      </c>
      <c r="O1178" s="989">
        <v>0</v>
      </c>
      <c r="P1178" s="989">
        <v>245560</v>
      </c>
      <c r="Q1178" s="989">
        <f t="shared" si="123"/>
        <v>245560</v>
      </c>
      <c r="R1178" s="989">
        <f t="shared" si="125"/>
        <v>100</v>
      </c>
      <c r="S1178" s="1011">
        <v>0</v>
      </c>
      <c r="T1178" s="989">
        <f t="shared" si="121"/>
        <v>0</v>
      </c>
      <c r="U1178" s="989">
        <f t="shared" si="124"/>
        <v>245560</v>
      </c>
      <c r="V1178" s="989">
        <f t="shared" si="126"/>
        <v>100</v>
      </c>
      <c r="W1178" s="989"/>
      <c r="X1178" s="989">
        <f t="shared" si="122"/>
        <v>0</v>
      </c>
      <c r="Y1178" s="1012"/>
      <c r="Z1178" s="941"/>
      <c r="AA1178" s="941"/>
      <c r="AB1178" s="941"/>
      <c r="AC1178" s="941"/>
      <c r="AD1178" s="941"/>
      <c r="AE1178" s="941"/>
      <c r="AF1178" s="941"/>
      <c r="AG1178" s="941"/>
      <c r="AH1178" s="941"/>
      <c r="AI1178" s="941"/>
      <c r="AJ1178" s="941"/>
      <c r="AK1178" s="941"/>
      <c r="AL1178" s="941"/>
      <c r="AM1178" s="941"/>
    </row>
    <row r="1179" spans="1:39" s="969" customFormat="1" ht="63" customHeight="1">
      <c r="A1179" s="1034">
        <v>1061</v>
      </c>
      <c r="B1179" s="1007" t="s">
        <v>3378</v>
      </c>
      <c r="C1179" s="1008"/>
      <c r="D1179" s="1008"/>
      <c r="E1179" s="1027" t="s">
        <v>3379</v>
      </c>
      <c r="F1179" s="1012" t="s">
        <v>585</v>
      </c>
      <c r="G1179" s="989">
        <v>104000</v>
      </c>
      <c r="H1179" s="937"/>
      <c r="I1179" s="1046"/>
      <c r="J1179" s="1046"/>
      <c r="K1179" s="1047">
        <v>-9000</v>
      </c>
      <c r="L1179" s="1046"/>
      <c r="M1179" s="1094">
        <v>-21100</v>
      </c>
      <c r="N1179" s="989">
        <f>95000+M1179</f>
        <v>73900</v>
      </c>
      <c r="O1179" s="989">
        <v>0</v>
      </c>
      <c r="P1179" s="989">
        <v>73900</v>
      </c>
      <c r="Q1179" s="989">
        <f t="shared" si="123"/>
        <v>73900</v>
      </c>
      <c r="R1179" s="989">
        <f t="shared" si="125"/>
        <v>100</v>
      </c>
      <c r="S1179" s="1011">
        <v>0</v>
      </c>
      <c r="T1179" s="989">
        <f t="shared" si="121"/>
        <v>0</v>
      </c>
      <c r="U1179" s="989">
        <f t="shared" si="124"/>
        <v>73900</v>
      </c>
      <c r="V1179" s="989">
        <f t="shared" si="126"/>
        <v>100</v>
      </c>
      <c r="W1179" s="989"/>
      <c r="X1179" s="989">
        <f t="shared" si="122"/>
        <v>0</v>
      </c>
      <c r="Y1179" s="1012"/>
      <c r="Z1179" s="941"/>
      <c r="AA1179" s="941"/>
      <c r="AB1179" s="941"/>
      <c r="AC1179" s="941"/>
      <c r="AD1179" s="941"/>
      <c r="AE1179" s="941"/>
      <c r="AF1179" s="941"/>
      <c r="AG1179" s="941"/>
      <c r="AH1179" s="941"/>
      <c r="AI1179" s="941"/>
      <c r="AJ1179" s="941"/>
      <c r="AK1179" s="941"/>
      <c r="AL1179" s="941"/>
      <c r="AM1179" s="941"/>
    </row>
    <row r="1180" spans="1:39" s="969" customFormat="1" ht="63" customHeight="1">
      <c r="A1180" s="1034">
        <v>1062</v>
      </c>
      <c r="B1180" s="1007" t="s">
        <v>3380</v>
      </c>
      <c r="C1180" s="1008"/>
      <c r="D1180" s="1008"/>
      <c r="E1180" s="1027" t="s">
        <v>3381</v>
      </c>
      <c r="F1180" s="1012" t="s">
        <v>585</v>
      </c>
      <c r="G1180" s="989">
        <v>104000</v>
      </c>
      <c r="H1180" s="937"/>
      <c r="I1180" s="1046"/>
      <c r="J1180" s="1046"/>
      <c r="K1180" s="1047">
        <v>-9000</v>
      </c>
      <c r="L1180" s="1046"/>
      <c r="M1180" s="1094"/>
      <c r="N1180" s="989">
        <v>95000</v>
      </c>
      <c r="O1180" s="989">
        <v>0</v>
      </c>
      <c r="P1180" s="989">
        <v>95000</v>
      </c>
      <c r="Q1180" s="989">
        <f t="shared" si="123"/>
        <v>95000</v>
      </c>
      <c r="R1180" s="989">
        <f t="shared" si="125"/>
        <v>100</v>
      </c>
      <c r="S1180" s="1011">
        <v>0</v>
      </c>
      <c r="T1180" s="989">
        <f t="shared" si="121"/>
        <v>0</v>
      </c>
      <c r="U1180" s="989">
        <f t="shared" si="124"/>
        <v>95000</v>
      </c>
      <c r="V1180" s="989">
        <f t="shared" si="126"/>
        <v>100</v>
      </c>
      <c r="W1180" s="989"/>
      <c r="X1180" s="989">
        <f t="shared" si="122"/>
        <v>0</v>
      </c>
      <c r="Y1180" s="1012"/>
      <c r="Z1180" s="941"/>
      <c r="AA1180" s="941"/>
      <c r="AB1180" s="941"/>
      <c r="AC1180" s="941"/>
      <c r="AD1180" s="941"/>
      <c r="AE1180" s="941"/>
      <c r="AF1180" s="941"/>
      <c r="AG1180" s="941"/>
      <c r="AH1180" s="941"/>
      <c r="AI1180" s="941"/>
      <c r="AJ1180" s="941"/>
      <c r="AK1180" s="941"/>
      <c r="AL1180" s="941"/>
      <c r="AM1180" s="941"/>
    </row>
    <row r="1181" spans="1:39" s="969" customFormat="1" ht="63" customHeight="1">
      <c r="A1181" s="1034">
        <v>1063</v>
      </c>
      <c r="B1181" s="1009" t="s">
        <v>4328</v>
      </c>
      <c r="C1181" s="1035"/>
      <c r="D1181" s="1035"/>
      <c r="E1181" s="1027" t="s">
        <v>4329</v>
      </c>
      <c r="F1181" s="1012" t="s">
        <v>1378</v>
      </c>
      <c r="G1181" s="989">
        <v>104000</v>
      </c>
      <c r="H1181" s="937"/>
      <c r="I1181" s="1046"/>
      <c r="J1181" s="1046"/>
      <c r="K1181" s="1047"/>
      <c r="L1181" s="1046"/>
      <c r="M1181" s="1094"/>
      <c r="N1181" s="989">
        <v>104000</v>
      </c>
      <c r="O1181" s="989">
        <v>104000</v>
      </c>
      <c r="P1181" s="989"/>
      <c r="Q1181" s="989">
        <f t="shared" si="123"/>
        <v>104000</v>
      </c>
      <c r="R1181" s="989">
        <f t="shared" si="125"/>
        <v>100</v>
      </c>
      <c r="S1181" s="1011"/>
      <c r="T1181" s="989">
        <f t="shared" si="121"/>
        <v>0</v>
      </c>
      <c r="U1181" s="989">
        <f>S1181+Q1181</f>
        <v>104000</v>
      </c>
      <c r="V1181" s="989">
        <f t="shared" si="126"/>
        <v>100</v>
      </c>
      <c r="W1181" s="989"/>
      <c r="X1181" s="989">
        <f>N1181-U1181</f>
        <v>0</v>
      </c>
      <c r="Y1181" s="1012"/>
      <c r="Z1181" s="941"/>
      <c r="AA1181" s="941"/>
      <c r="AB1181" s="941"/>
      <c r="AC1181" s="941"/>
      <c r="AD1181" s="941"/>
      <c r="AE1181" s="941"/>
      <c r="AF1181" s="941"/>
      <c r="AG1181" s="941"/>
      <c r="AH1181" s="941"/>
      <c r="AI1181" s="941"/>
      <c r="AJ1181" s="941"/>
      <c r="AK1181" s="941"/>
      <c r="AL1181" s="941"/>
      <c r="AM1181" s="941"/>
    </row>
    <row r="1182" spans="1:39" s="969" customFormat="1" ht="62.25" customHeight="1">
      <c r="A1182" s="1034">
        <v>1064</v>
      </c>
      <c r="B1182" s="1009" t="s">
        <v>4444</v>
      </c>
      <c r="C1182" s="1037"/>
      <c r="D1182" s="1037"/>
      <c r="E1182" s="1027" t="s">
        <v>4362</v>
      </c>
      <c r="F1182" s="1012" t="s">
        <v>2959</v>
      </c>
      <c r="G1182" s="989">
        <v>104000</v>
      </c>
      <c r="H1182" s="937"/>
      <c r="I1182" s="1046"/>
      <c r="J1182" s="1046"/>
      <c r="K1182" s="1047">
        <v>-104000</v>
      </c>
      <c r="L1182" s="1046"/>
      <c r="M1182" s="1094"/>
      <c r="N1182" s="989">
        <f>104000+M1182+K1182</f>
        <v>0</v>
      </c>
      <c r="O1182" s="989"/>
      <c r="P1182" s="989">
        <v>0</v>
      </c>
      <c r="Q1182" s="989">
        <f t="shared" si="123"/>
        <v>0</v>
      </c>
      <c r="R1182" s="989" t="e">
        <f t="shared" si="125"/>
        <v>#DIV/0!</v>
      </c>
      <c r="S1182" s="1011">
        <v>0</v>
      </c>
      <c r="T1182" s="989" t="e">
        <f t="shared" si="121"/>
        <v>#DIV/0!</v>
      </c>
      <c r="U1182" s="989">
        <f t="shared" si="124"/>
        <v>0</v>
      </c>
      <c r="V1182" s="989" t="e">
        <f t="shared" si="126"/>
        <v>#DIV/0!</v>
      </c>
      <c r="W1182" s="989"/>
      <c r="X1182" s="989">
        <f>N1182-U1182</f>
        <v>0</v>
      </c>
      <c r="Y1182" s="1012"/>
      <c r="Z1182" s="941"/>
      <c r="AA1182" s="941"/>
      <c r="AB1182" s="941"/>
      <c r="AC1182" s="941"/>
      <c r="AD1182" s="941"/>
      <c r="AE1182" s="941"/>
      <c r="AF1182" s="941"/>
      <c r="AG1182" s="941"/>
      <c r="AH1182" s="941"/>
      <c r="AI1182" s="941"/>
      <c r="AJ1182" s="941"/>
      <c r="AK1182" s="941"/>
      <c r="AL1182" s="941"/>
      <c r="AM1182" s="941"/>
    </row>
    <row r="1183" spans="1:39" s="969" customFormat="1" ht="52.5">
      <c r="A1183" s="1034">
        <v>1065</v>
      </c>
      <c r="B1183" s="1009" t="s">
        <v>4441</v>
      </c>
      <c r="C1183" s="1038"/>
      <c r="D1183" s="1038" t="s">
        <v>4442</v>
      </c>
      <c r="E1183" s="1023"/>
      <c r="F1183" s="1012" t="s">
        <v>1187</v>
      </c>
      <c r="G1183" s="989">
        <v>104001</v>
      </c>
      <c r="H1183" s="937"/>
      <c r="I1183" s="1046"/>
      <c r="J1183" s="1046"/>
      <c r="K1183" s="1047"/>
      <c r="L1183" s="1046"/>
      <c r="M1183" s="1098"/>
      <c r="N1183" s="989">
        <v>104000</v>
      </c>
      <c r="O1183" s="989"/>
      <c r="P1183" s="989">
        <v>0</v>
      </c>
      <c r="Q1183" s="989">
        <f t="shared" si="123"/>
        <v>0</v>
      </c>
      <c r="R1183" s="989">
        <f t="shared" si="125"/>
        <v>0</v>
      </c>
      <c r="S1183" s="1039">
        <v>104000</v>
      </c>
      <c r="T1183" s="989">
        <f t="shared" si="121"/>
        <v>100</v>
      </c>
      <c r="U1183" s="989">
        <f t="shared" si="124"/>
        <v>104000</v>
      </c>
      <c r="V1183" s="989">
        <f t="shared" si="126"/>
        <v>100</v>
      </c>
      <c r="W1183" s="989"/>
      <c r="X1183" s="989">
        <f>N1183-U1183</f>
        <v>0</v>
      </c>
      <c r="Y1183" s="1012"/>
      <c r="Z1183" s="941"/>
      <c r="AA1183" s="941"/>
      <c r="AB1183" s="941"/>
      <c r="AC1183" s="941"/>
      <c r="AD1183" s="941"/>
      <c r="AE1183" s="941"/>
      <c r="AF1183" s="941"/>
      <c r="AG1183" s="941"/>
      <c r="AH1183" s="941"/>
      <c r="AI1183" s="941"/>
      <c r="AJ1183" s="941"/>
      <c r="AK1183" s="941"/>
      <c r="AL1183" s="941"/>
      <c r="AM1183" s="941"/>
    </row>
    <row r="1272" spans="24:24">
      <c r="X1272" s="1043">
        <f>X861+X860+X505</f>
        <v>0</v>
      </c>
    </row>
  </sheetData>
  <autoFilter ref="F1:F1272" xr:uid="{00000000-0009-0000-0000-000009000000}"/>
  <mergeCells count="29">
    <mergeCell ref="Y3:Y5"/>
    <mergeCell ref="P4:P5"/>
    <mergeCell ref="Q4:Q5"/>
    <mergeCell ref="R4:R5"/>
    <mergeCell ref="S4:S5"/>
    <mergeCell ref="O3:R3"/>
    <mergeCell ref="S3:T3"/>
    <mergeCell ref="U3:V3"/>
    <mergeCell ref="W3:W5"/>
    <mergeCell ref="X3:X5"/>
    <mergeCell ref="T4:T5"/>
    <mergeCell ref="U4:U5"/>
    <mergeCell ref="V4:V5"/>
    <mergeCell ref="O4:O5"/>
    <mergeCell ref="A1:X1"/>
    <mergeCell ref="A2:X2"/>
    <mergeCell ref="A3:A5"/>
    <mergeCell ref="B3:B5"/>
    <mergeCell ref="G3:H3"/>
    <mergeCell ref="J3:J5"/>
    <mergeCell ref="K3:K5"/>
    <mergeCell ref="L3:L5"/>
    <mergeCell ref="M3:M5"/>
    <mergeCell ref="N3:N5"/>
    <mergeCell ref="E4:E5"/>
    <mergeCell ref="F4:F5"/>
    <mergeCell ref="G4:G5"/>
    <mergeCell ref="H4:H5"/>
    <mergeCell ref="I4:I5"/>
  </mergeCells>
  <pageMargins left="0" right="0.15748031496062992" top="0.15748031496062992" bottom="0" header="3.937007874015748E-2" footer="0"/>
  <pageSetup paperSize="9" scale="40" orientation="landscape" r:id="rId1"/>
  <headerFooter>
    <oddHeader>&amp;R&amp;P</oddHeader>
  </headerFooter>
  <rowBreaks count="1" manualBreakCount="1">
    <brk id="35" max="2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71B3-158D-4351-8A87-20F5F0253C9B}">
  <dimension ref="A1:V691"/>
  <sheetViews>
    <sheetView topLeftCell="A258" zoomScale="30" zoomScaleNormal="30" zoomScaleSheetLayoutView="40" zoomScalePageLayoutView="60" workbookViewId="0">
      <selection activeCell="K258" sqref="K258"/>
    </sheetView>
  </sheetViews>
  <sheetFormatPr defaultColWidth="9.140625" defaultRowHeight="33"/>
  <cols>
    <col min="1" max="1" width="9.5703125" style="2644" customWidth="1"/>
    <col min="2" max="2" width="91" style="2763" customWidth="1"/>
    <col min="3" max="3" width="43" style="2764" hidden="1" customWidth="1"/>
    <col min="4" max="4" width="39.85546875" style="2750" hidden="1" customWidth="1"/>
    <col min="5" max="5" width="30.42578125" style="2765" customWidth="1"/>
    <col min="6" max="8" width="30.42578125" style="2766" customWidth="1"/>
    <col min="9" max="9" width="27.85546875" style="2766" customWidth="1"/>
    <col min="10" max="10" width="26.140625" style="2752" customWidth="1"/>
    <col min="11" max="11" width="29.28515625" style="2751" customWidth="1"/>
    <col min="12" max="12" width="25.42578125" style="2753" customWidth="1"/>
    <col min="13" max="13" width="30.85546875" style="2766" customWidth="1"/>
    <col min="14" max="14" width="29.85546875" style="2766" customWidth="1"/>
    <col min="15" max="15" width="16.28515625" style="2766" customWidth="1"/>
    <col min="16" max="16" width="29.5703125" style="2767" customWidth="1"/>
    <col min="17" max="17" width="14.5703125" style="2673" customWidth="1"/>
    <col min="18" max="18" width="28.5703125" style="2673" customWidth="1"/>
    <col min="19" max="19" width="14.85546875" style="2673" customWidth="1"/>
    <col min="20" max="20" width="26.28515625" style="2673" hidden="1" customWidth="1"/>
    <col min="21" max="21" width="30.140625" style="2673" customWidth="1"/>
    <col min="22" max="22" width="28.140625" style="2644" customWidth="1"/>
    <col min="23" max="24" width="9.140625" style="941" customWidth="1"/>
    <col min="25" max="16384" width="9.140625" style="941"/>
  </cols>
  <sheetData>
    <row r="1" spans="1:22" s="911" customFormat="1" ht="42.75" customHeight="1">
      <c r="A1" s="2640" t="s">
        <v>5441</v>
      </c>
      <c r="B1" s="2640"/>
      <c r="C1" s="2640"/>
      <c r="D1" s="2640"/>
      <c r="E1" s="2640"/>
      <c r="F1" s="2640"/>
      <c r="G1" s="2640"/>
      <c r="H1" s="2640"/>
      <c r="I1" s="2640"/>
      <c r="J1" s="2641"/>
      <c r="K1" s="2640"/>
      <c r="L1" s="2640"/>
      <c r="M1" s="2640"/>
      <c r="N1" s="2642"/>
      <c r="O1" s="2640"/>
      <c r="P1" s="2643"/>
      <c r="Q1" s="2640"/>
      <c r="R1" s="2640"/>
      <c r="S1" s="2640"/>
      <c r="T1" s="2640"/>
      <c r="U1" s="2640"/>
      <c r="V1" s="2644"/>
    </row>
    <row r="2" spans="1:22" s="911" customFormat="1" ht="42.75" customHeight="1">
      <c r="A2" s="2645" t="s">
        <v>5442</v>
      </c>
      <c r="B2" s="2645"/>
      <c r="C2" s="2645"/>
      <c r="D2" s="2645"/>
      <c r="E2" s="2645"/>
      <c r="F2" s="2645"/>
      <c r="G2" s="2645"/>
      <c r="H2" s="2645"/>
      <c r="I2" s="2645"/>
      <c r="J2" s="2645"/>
      <c r="K2" s="2645"/>
      <c r="L2" s="2645"/>
      <c r="M2" s="2645"/>
      <c r="N2" s="2645"/>
      <c r="O2" s="2645"/>
      <c r="P2" s="2645"/>
      <c r="Q2" s="2645"/>
      <c r="R2" s="2645"/>
      <c r="S2" s="2645"/>
      <c r="T2" s="2645"/>
      <c r="U2" s="2645"/>
      <c r="V2" s="2644"/>
    </row>
    <row r="3" spans="1:22" s="914" customFormat="1" ht="55.5" customHeight="1">
      <c r="A3" s="2646" t="s">
        <v>376</v>
      </c>
      <c r="B3" s="2674" t="s">
        <v>899</v>
      </c>
      <c r="C3" s="2675" t="s">
        <v>42</v>
      </c>
      <c r="D3" s="2676"/>
      <c r="E3" s="2677" t="s">
        <v>724</v>
      </c>
      <c r="F3" s="2678" t="s">
        <v>837</v>
      </c>
      <c r="G3" s="2678"/>
      <c r="H3" s="2679"/>
      <c r="I3" s="2680" t="s">
        <v>1246</v>
      </c>
      <c r="J3" s="2681" t="s">
        <v>4646</v>
      </c>
      <c r="K3" s="2682" t="s">
        <v>1248</v>
      </c>
      <c r="L3" s="2683" t="s">
        <v>1249</v>
      </c>
      <c r="M3" s="2681" t="s">
        <v>4628</v>
      </c>
      <c r="N3" s="2684" t="s">
        <v>1238</v>
      </c>
      <c r="O3" s="2685"/>
      <c r="P3" s="2636" t="s">
        <v>753</v>
      </c>
      <c r="Q3" s="2637"/>
      <c r="R3" s="2647" t="s">
        <v>4363</v>
      </c>
      <c r="S3" s="2647"/>
      <c r="T3" s="2198" t="s">
        <v>404</v>
      </c>
      <c r="U3" s="2638" t="s">
        <v>4</v>
      </c>
      <c r="V3" s="2648" t="s">
        <v>1148</v>
      </c>
    </row>
    <row r="4" spans="1:22" s="914" customFormat="1" ht="3.75" customHeight="1">
      <c r="A4" s="2649"/>
      <c r="B4" s="2686"/>
      <c r="C4" s="2687"/>
      <c r="D4" s="2688"/>
      <c r="E4" s="2689"/>
      <c r="F4" s="2690"/>
      <c r="G4" s="2690"/>
      <c r="H4" s="2691"/>
      <c r="I4" s="2692"/>
      <c r="J4" s="2693"/>
      <c r="K4" s="2694"/>
      <c r="L4" s="2695"/>
      <c r="M4" s="2693"/>
      <c r="N4" s="2696" t="s">
        <v>803</v>
      </c>
      <c r="O4" s="2696" t="s">
        <v>12</v>
      </c>
      <c r="P4" s="2696" t="s">
        <v>803</v>
      </c>
      <c r="Q4" s="2638" t="s">
        <v>12</v>
      </c>
      <c r="R4" s="2638" t="s">
        <v>803</v>
      </c>
      <c r="S4" s="2638" t="s">
        <v>12</v>
      </c>
      <c r="T4" s="2199"/>
      <c r="U4" s="2650"/>
      <c r="V4" s="2651"/>
    </row>
    <row r="5" spans="1:22" s="914" customFormat="1" ht="61.5" customHeight="1">
      <c r="A5" s="2649"/>
      <c r="B5" s="2686"/>
      <c r="C5" s="2687"/>
      <c r="D5" s="2697"/>
      <c r="E5" s="2689"/>
      <c r="F5" s="2698"/>
      <c r="G5" s="2698"/>
      <c r="H5" s="2699"/>
      <c r="I5" s="2692"/>
      <c r="J5" s="2693"/>
      <c r="K5" s="2694"/>
      <c r="L5" s="2695"/>
      <c r="M5" s="2693"/>
      <c r="N5" s="2700"/>
      <c r="O5" s="2700"/>
      <c r="P5" s="2700"/>
      <c r="Q5" s="2650"/>
      <c r="R5" s="2650"/>
      <c r="S5" s="2650"/>
      <c r="T5" s="2200"/>
      <c r="U5" s="2650"/>
      <c r="V5" s="2651"/>
    </row>
    <row r="6" spans="1:22" s="914" customFormat="1" ht="44.25" customHeight="1">
      <c r="A6" s="2652"/>
      <c r="B6" s="2701"/>
      <c r="C6" s="2702"/>
      <c r="D6" s="2688"/>
      <c r="E6" s="2703"/>
      <c r="F6" s="2704" t="s">
        <v>5443</v>
      </c>
      <c r="G6" s="2704" t="s">
        <v>5444</v>
      </c>
      <c r="H6" s="2704" t="s">
        <v>2</v>
      </c>
      <c r="I6" s="2705"/>
      <c r="J6" s="2706"/>
      <c r="K6" s="2707"/>
      <c r="L6" s="2708"/>
      <c r="M6" s="2706"/>
      <c r="N6" s="2709"/>
      <c r="O6" s="2709"/>
      <c r="P6" s="2709"/>
      <c r="Q6" s="2639"/>
      <c r="R6" s="2639"/>
      <c r="S6" s="2639"/>
      <c r="T6" s="1981"/>
      <c r="U6" s="2639"/>
      <c r="V6" s="2653"/>
    </row>
    <row r="7" spans="1:22" s="910" customFormat="1" ht="48" customHeight="1" thickBot="1">
      <c r="A7" s="2654"/>
      <c r="B7" s="2710" t="s">
        <v>1137</v>
      </c>
      <c r="C7" s="2711"/>
      <c r="D7" s="2712"/>
      <c r="E7" s="2713"/>
      <c r="F7" s="2714">
        <f t="shared" ref="F7:L7" si="0">F8+F258</f>
        <v>199003200</v>
      </c>
      <c r="G7" s="2715">
        <f t="shared" si="0"/>
        <v>232393900</v>
      </c>
      <c r="H7" s="2715">
        <f t="shared" si="0"/>
        <v>254276000</v>
      </c>
      <c r="I7" s="2715">
        <f t="shared" si="0"/>
        <v>53500</v>
      </c>
      <c r="J7" s="2716">
        <f t="shared" si="0"/>
        <v>189692</v>
      </c>
      <c r="K7" s="2717">
        <f t="shared" si="0"/>
        <v>2684267</v>
      </c>
      <c r="L7" s="2718">
        <f t="shared" si="0"/>
        <v>6243354.7399999993</v>
      </c>
      <c r="M7" s="2715">
        <f>M8+M258</f>
        <v>431260908</v>
      </c>
      <c r="N7" s="2715">
        <f>+N8+N258</f>
        <v>50460854.650000006</v>
      </c>
      <c r="O7" s="2715">
        <f>N7/M7*100</f>
        <v>11.700771786623426</v>
      </c>
      <c r="P7" s="2715">
        <f>P8+P258</f>
        <v>172142010.15000001</v>
      </c>
      <c r="Q7" s="1714">
        <f>P7/M7*100</f>
        <v>39.915978229587182</v>
      </c>
      <c r="R7" s="1714">
        <f>+R8+R258</f>
        <v>222602864.80000001</v>
      </c>
      <c r="S7" s="1714">
        <f>R7/M7*100</f>
        <v>51.616750016210609</v>
      </c>
      <c r="T7" s="1714" t="e">
        <f>T8+#REF!</f>
        <v>#REF!</v>
      </c>
      <c r="U7" s="1714">
        <f>M7-R7</f>
        <v>208658043.19999999</v>
      </c>
      <c r="V7" s="2654"/>
    </row>
    <row r="8" spans="1:22" s="1002" customFormat="1" ht="63" customHeight="1" thickTop="1">
      <c r="A8" s="2655"/>
      <c r="B8" s="2719" t="s">
        <v>5445</v>
      </c>
      <c r="C8" s="2720"/>
      <c r="D8" s="2721"/>
      <c r="E8" s="2722"/>
      <c r="F8" s="2723">
        <f t="shared" ref="F8:N8" si="1">F9+F176</f>
        <v>194503200</v>
      </c>
      <c r="G8" s="2724">
        <f>G9+G176</f>
        <v>59772800</v>
      </c>
      <c r="H8" s="2724">
        <f>H9+H176</f>
        <v>254276000</v>
      </c>
      <c r="I8" s="2724">
        <f t="shared" si="1"/>
        <v>53500</v>
      </c>
      <c r="J8" s="2724">
        <f t="shared" si="1"/>
        <v>0</v>
      </c>
      <c r="K8" s="2724">
        <f t="shared" si="1"/>
        <v>2684267</v>
      </c>
      <c r="L8" s="2725">
        <f t="shared" si="1"/>
        <v>1727049</v>
      </c>
      <c r="M8" s="2724">
        <f>M9+M176</f>
        <v>254329500</v>
      </c>
      <c r="N8" s="2724">
        <f t="shared" si="1"/>
        <v>15767499</v>
      </c>
      <c r="O8" s="2724">
        <v>0</v>
      </c>
      <c r="P8" s="2726">
        <f>P9+P176</f>
        <v>152700482</v>
      </c>
      <c r="Q8" s="1892">
        <v>0</v>
      </c>
      <c r="R8" s="1892">
        <f>R9+R176</f>
        <v>168467981</v>
      </c>
      <c r="S8" s="1892">
        <f>R8/M8*100</f>
        <v>66.240047261524921</v>
      </c>
      <c r="T8" s="1892">
        <f>SUM(T10:T10)</f>
        <v>0</v>
      </c>
      <c r="U8" s="1892">
        <f>U9+U176+U258</f>
        <v>208408043.19999999</v>
      </c>
      <c r="V8" s="2655"/>
    </row>
    <row r="9" spans="1:22" s="911" customFormat="1" ht="51.75" customHeight="1">
      <c r="A9" s="2656" t="s">
        <v>3354</v>
      </c>
      <c r="B9" s="2727"/>
      <c r="C9" s="2728"/>
      <c r="D9" s="2729"/>
      <c r="E9" s="2730"/>
      <c r="F9" s="2731">
        <f>SUM(F10:F154)</f>
        <v>194503200</v>
      </c>
      <c r="G9" s="2732">
        <f>SUM(G10:G154)</f>
        <v>0</v>
      </c>
      <c r="H9" s="2733">
        <f>SUM(H10:H155)</f>
        <v>194503200</v>
      </c>
      <c r="I9" s="2733">
        <f t="shared" ref="I9:L9" si="2">SUM(I10:I155)</f>
        <v>3095</v>
      </c>
      <c r="J9" s="2733">
        <f t="shared" si="2"/>
        <v>0</v>
      </c>
      <c r="K9" s="2733">
        <f t="shared" si="2"/>
        <v>4583967</v>
      </c>
      <c r="L9" s="2734">
        <f t="shared" si="2"/>
        <v>0</v>
      </c>
      <c r="M9" s="2733">
        <f>SUM(M10:M175)</f>
        <v>194506295</v>
      </c>
      <c r="N9" s="2733">
        <f>SUM(N10:N155)</f>
        <v>3095</v>
      </c>
      <c r="O9" s="2733">
        <f>N9/M9*100</f>
        <v>1.5912081405899999E-3</v>
      </c>
      <c r="P9" s="2732">
        <f>SUM(P10:P175)</f>
        <v>115011141</v>
      </c>
      <c r="Q9" s="2657">
        <f>P9/M9*100</f>
        <v>59.129778293293796</v>
      </c>
      <c r="R9" s="2657">
        <f>SUM(R10:R155)</f>
        <v>115014236</v>
      </c>
      <c r="S9" s="2657">
        <f>R9/M9*100</f>
        <v>59.131369501434385</v>
      </c>
      <c r="T9" s="2657"/>
      <c r="U9" s="2657">
        <f>SUM(U10:U175)</f>
        <v>79492059</v>
      </c>
      <c r="V9" s="2656"/>
    </row>
    <row r="10" spans="1:22" s="1041" customFormat="1" ht="84" customHeight="1">
      <c r="A10" s="2658">
        <v>1</v>
      </c>
      <c r="B10" s="2735" t="s">
        <v>5446</v>
      </c>
      <c r="C10" s="2736" t="s">
        <v>4647</v>
      </c>
      <c r="D10" s="2736" t="s">
        <v>4647</v>
      </c>
      <c r="E10" s="2737" t="s">
        <v>866</v>
      </c>
      <c r="F10" s="2738">
        <v>12360000</v>
      </c>
      <c r="G10" s="2738"/>
      <c r="H10" s="2738">
        <f>G10+F10</f>
        <v>12360000</v>
      </c>
      <c r="I10" s="2738"/>
      <c r="J10" s="2738"/>
      <c r="K10" s="2738">
        <v>4583967</v>
      </c>
      <c r="L10" s="2738"/>
      <c r="M10" s="2738">
        <f>'[10]NFMA46 '!I18</f>
        <v>7776033</v>
      </c>
      <c r="N10" s="2738">
        <f>'[10]NFMA46 '!L18</f>
        <v>0</v>
      </c>
      <c r="O10" s="2738">
        <f>N10/M10*100</f>
        <v>0</v>
      </c>
      <c r="P10" s="2739">
        <f>'[10]NFMA46 '!K18</f>
        <v>7740141</v>
      </c>
      <c r="Q10" s="1715">
        <f>P10/M10*100</f>
        <v>99.538427884758207</v>
      </c>
      <c r="R10" s="1715">
        <f>P10+N10</f>
        <v>7740141</v>
      </c>
      <c r="S10" s="1715">
        <f>R10/M10*100</f>
        <v>99.538427884758207</v>
      </c>
      <c r="T10" s="1715"/>
      <c r="U10" s="1715">
        <f>M10-R10</f>
        <v>35892</v>
      </c>
      <c r="V10" s="2659"/>
    </row>
    <row r="11" spans="1:22" s="2660" customFormat="1" ht="120.75" customHeight="1">
      <c r="A11" s="2658">
        <v>2</v>
      </c>
      <c r="B11" s="2735" t="s">
        <v>5447</v>
      </c>
      <c r="C11" s="2740" t="s">
        <v>4648</v>
      </c>
      <c r="D11" s="2741" t="s">
        <v>4648</v>
      </c>
      <c r="E11" s="2742" t="s">
        <v>866</v>
      </c>
      <c r="F11" s="2738">
        <v>850000</v>
      </c>
      <c r="G11" s="2738"/>
      <c r="H11" s="2738">
        <f t="shared" ref="H11:H74" si="3">G11+F11</f>
        <v>850000</v>
      </c>
      <c r="I11" s="2738"/>
      <c r="J11" s="2738"/>
      <c r="K11" s="2738"/>
      <c r="L11" s="2743"/>
      <c r="M11" s="2738">
        <f>'[10]NFMA46 '!I19</f>
        <v>739800</v>
      </c>
      <c r="N11" s="2738">
        <f>'[10]NFMA46 '!L19</f>
        <v>0</v>
      </c>
      <c r="O11" s="2738">
        <f>N11/M11*100</f>
        <v>0</v>
      </c>
      <c r="P11" s="2739">
        <f>'[10]NFMA46 '!K19</f>
        <v>739800</v>
      </c>
      <c r="Q11" s="1715">
        <f>P11/M11*100</f>
        <v>100</v>
      </c>
      <c r="R11" s="1715">
        <f>P11+N11</f>
        <v>739800</v>
      </c>
      <c r="S11" s="1715">
        <f>R11/M11*100</f>
        <v>100</v>
      </c>
      <c r="T11" s="1715"/>
      <c r="U11" s="1715">
        <f>M11-R11</f>
        <v>0</v>
      </c>
      <c r="V11" s="2658"/>
    </row>
    <row r="12" spans="1:22" s="2662" customFormat="1" ht="120.75" customHeight="1">
      <c r="A12" s="2661">
        <v>3</v>
      </c>
      <c r="B12" s="2735" t="s">
        <v>5448</v>
      </c>
      <c r="C12" s="2740" t="s">
        <v>4675</v>
      </c>
      <c r="D12" s="2741" t="s">
        <v>4675</v>
      </c>
      <c r="E12" s="2742" t="s">
        <v>866</v>
      </c>
      <c r="F12" s="2738">
        <v>850000</v>
      </c>
      <c r="G12" s="2738"/>
      <c r="H12" s="2738">
        <f t="shared" si="3"/>
        <v>850000</v>
      </c>
      <c r="I12" s="2738"/>
      <c r="J12" s="2738"/>
      <c r="K12" s="2738"/>
      <c r="L12" s="2743"/>
      <c r="M12" s="2738">
        <f>'[10]NFMA46 '!I20</f>
        <v>739800</v>
      </c>
      <c r="N12" s="2738">
        <f>'[10]NFMA46 '!L20</f>
        <v>0</v>
      </c>
      <c r="O12" s="2738">
        <f t="shared" ref="O12:O75" si="4">N12/M12*100</f>
        <v>0</v>
      </c>
      <c r="P12" s="2739">
        <f>'[10]NFMA46 '!K20</f>
        <v>739800</v>
      </c>
      <c r="Q12" s="1715">
        <f t="shared" ref="Q12:Q75" si="5">P12/M12*100</f>
        <v>100</v>
      </c>
      <c r="R12" s="1715">
        <f t="shared" ref="R12:R75" si="6">P12+N12</f>
        <v>739800</v>
      </c>
      <c r="S12" s="1715">
        <f t="shared" ref="S12:S75" si="7">R12/M12*100</f>
        <v>100</v>
      </c>
      <c r="T12" s="1715"/>
      <c r="U12" s="1715">
        <f t="shared" ref="U12:U75" si="8">M12-R12</f>
        <v>0</v>
      </c>
      <c r="V12" s="2661"/>
    </row>
    <row r="13" spans="1:22" s="2662" customFormat="1" ht="124.5" customHeight="1">
      <c r="A13" s="2661">
        <v>4</v>
      </c>
      <c r="B13" s="2735" t="s">
        <v>5449</v>
      </c>
      <c r="C13" s="2740" t="s">
        <v>4676</v>
      </c>
      <c r="D13" s="2741" t="s">
        <v>4676</v>
      </c>
      <c r="E13" s="2742" t="s">
        <v>866</v>
      </c>
      <c r="F13" s="2738">
        <v>850000</v>
      </c>
      <c r="G13" s="2738"/>
      <c r="H13" s="2738">
        <f t="shared" si="3"/>
        <v>850000</v>
      </c>
      <c r="I13" s="2738"/>
      <c r="J13" s="2738"/>
      <c r="K13" s="2738"/>
      <c r="L13" s="2743"/>
      <c r="M13" s="2738">
        <f>'[10]NFMA46 '!I21</f>
        <v>739800</v>
      </c>
      <c r="N13" s="2738">
        <f>'[10]NFMA46 '!L21</f>
        <v>0</v>
      </c>
      <c r="O13" s="2738">
        <f t="shared" si="4"/>
        <v>0</v>
      </c>
      <c r="P13" s="2739">
        <f>'[10]NFMA46 '!K21</f>
        <v>739800</v>
      </c>
      <c r="Q13" s="1715">
        <f t="shared" si="5"/>
        <v>100</v>
      </c>
      <c r="R13" s="1715">
        <f t="shared" si="6"/>
        <v>739800</v>
      </c>
      <c r="S13" s="1715">
        <f t="shared" si="7"/>
        <v>100</v>
      </c>
      <c r="T13" s="1715"/>
      <c r="U13" s="1715">
        <f t="shared" si="8"/>
        <v>0</v>
      </c>
      <c r="V13" s="2661"/>
    </row>
    <row r="14" spans="1:22" s="2662" customFormat="1" ht="124.5" customHeight="1">
      <c r="A14" s="2661">
        <v>5</v>
      </c>
      <c r="B14" s="2735" t="s">
        <v>5450</v>
      </c>
      <c r="C14" s="2740" t="s">
        <v>5369</v>
      </c>
      <c r="D14" s="2741" t="s">
        <v>5369</v>
      </c>
      <c r="E14" s="2742" t="s">
        <v>866</v>
      </c>
      <c r="F14" s="2738">
        <v>850000</v>
      </c>
      <c r="G14" s="2738"/>
      <c r="H14" s="2738">
        <f t="shared" si="3"/>
        <v>850000</v>
      </c>
      <c r="I14" s="2738"/>
      <c r="J14" s="2738"/>
      <c r="K14" s="2738"/>
      <c r="L14" s="2743"/>
      <c r="M14" s="2738">
        <f>'[10]NFMA46 '!I22</f>
        <v>739800</v>
      </c>
      <c r="N14" s="2738">
        <f>'[10]NFMA46 '!L22</f>
        <v>0</v>
      </c>
      <c r="O14" s="2738">
        <f t="shared" si="4"/>
        <v>0</v>
      </c>
      <c r="P14" s="2739">
        <f>'[10]NFMA46 '!K22</f>
        <v>739800</v>
      </c>
      <c r="Q14" s="1715">
        <f t="shared" si="5"/>
        <v>100</v>
      </c>
      <c r="R14" s="1715">
        <f t="shared" si="6"/>
        <v>739800</v>
      </c>
      <c r="S14" s="1715">
        <f t="shared" si="7"/>
        <v>100</v>
      </c>
      <c r="T14" s="1715"/>
      <c r="U14" s="1715">
        <f t="shared" si="8"/>
        <v>0</v>
      </c>
      <c r="V14" s="2661"/>
    </row>
    <row r="15" spans="1:22" s="2662" customFormat="1" ht="129.75" customHeight="1">
      <c r="A15" s="2661">
        <v>6</v>
      </c>
      <c r="B15" s="2735" t="s">
        <v>5451</v>
      </c>
      <c r="C15" s="2740" t="s">
        <v>5370</v>
      </c>
      <c r="D15" s="2741" t="s">
        <v>5370</v>
      </c>
      <c r="E15" s="2742" t="s">
        <v>866</v>
      </c>
      <c r="F15" s="2738">
        <v>850000</v>
      </c>
      <c r="G15" s="2738"/>
      <c r="H15" s="2738">
        <f t="shared" si="3"/>
        <v>850000</v>
      </c>
      <c r="I15" s="2738"/>
      <c r="J15" s="2738"/>
      <c r="K15" s="2738"/>
      <c r="L15" s="2743"/>
      <c r="M15" s="2738">
        <f>'[10]NFMA46 '!I23</f>
        <v>739800</v>
      </c>
      <c r="N15" s="2738">
        <f>'[10]NFMA46 '!L23</f>
        <v>0</v>
      </c>
      <c r="O15" s="2738">
        <f t="shared" si="4"/>
        <v>0</v>
      </c>
      <c r="P15" s="2739">
        <f>'[10]NFMA46 '!K23</f>
        <v>739800</v>
      </c>
      <c r="Q15" s="1715">
        <f t="shared" si="5"/>
        <v>100</v>
      </c>
      <c r="R15" s="1715">
        <f t="shared" si="6"/>
        <v>739800</v>
      </c>
      <c r="S15" s="1715">
        <f t="shared" si="7"/>
        <v>100</v>
      </c>
      <c r="T15" s="1715"/>
      <c r="U15" s="1715">
        <f t="shared" si="8"/>
        <v>0</v>
      </c>
      <c r="V15" s="2661"/>
    </row>
    <row r="16" spans="1:22" s="2662" customFormat="1" ht="129.75" customHeight="1">
      <c r="A16" s="2661">
        <v>7</v>
      </c>
      <c r="B16" s="2735" t="s">
        <v>5452</v>
      </c>
      <c r="C16" s="2740" t="s">
        <v>5375</v>
      </c>
      <c r="D16" s="2741" t="s">
        <v>5375</v>
      </c>
      <c r="E16" s="2742" t="s">
        <v>866</v>
      </c>
      <c r="F16" s="2738">
        <v>850000</v>
      </c>
      <c r="G16" s="2738"/>
      <c r="H16" s="2738">
        <f t="shared" si="3"/>
        <v>850000</v>
      </c>
      <c r="I16" s="2738"/>
      <c r="J16" s="2738"/>
      <c r="K16" s="2738"/>
      <c r="L16" s="2743"/>
      <c r="M16" s="2738">
        <f>'[10]NFMA46 '!I24</f>
        <v>739800</v>
      </c>
      <c r="N16" s="2738">
        <f>'[10]NFMA46 '!L24</f>
        <v>0</v>
      </c>
      <c r="O16" s="2738">
        <f t="shared" si="4"/>
        <v>0</v>
      </c>
      <c r="P16" s="2739">
        <f>'[10]NFMA46 '!K24</f>
        <v>739800</v>
      </c>
      <c r="Q16" s="1715">
        <f t="shared" si="5"/>
        <v>100</v>
      </c>
      <c r="R16" s="1715">
        <f t="shared" si="6"/>
        <v>739800</v>
      </c>
      <c r="S16" s="1715">
        <f t="shared" si="7"/>
        <v>100</v>
      </c>
      <c r="T16" s="1715"/>
      <c r="U16" s="1715">
        <f t="shared" si="8"/>
        <v>0</v>
      </c>
      <c r="V16" s="2661"/>
    </row>
    <row r="17" spans="1:22" s="2662" customFormat="1" ht="122.25" customHeight="1">
      <c r="A17" s="2661">
        <v>8</v>
      </c>
      <c r="B17" s="2735" t="s">
        <v>5453</v>
      </c>
      <c r="C17" s="2740" t="s">
        <v>5454</v>
      </c>
      <c r="D17" s="2741" t="s">
        <v>5454</v>
      </c>
      <c r="E17" s="2742" t="s">
        <v>866</v>
      </c>
      <c r="F17" s="2738">
        <v>850000</v>
      </c>
      <c r="G17" s="2738"/>
      <c r="H17" s="2738">
        <f t="shared" si="3"/>
        <v>850000</v>
      </c>
      <c r="I17" s="2738"/>
      <c r="J17" s="2738"/>
      <c r="K17" s="2738"/>
      <c r="L17" s="2743"/>
      <c r="M17" s="2738">
        <f>'[10]NFMA46 '!I25</f>
        <v>739800</v>
      </c>
      <c r="N17" s="2738">
        <f>'[10]NFMA46 '!L25</f>
        <v>0</v>
      </c>
      <c r="O17" s="2738">
        <f t="shared" si="4"/>
        <v>0</v>
      </c>
      <c r="P17" s="2739">
        <f>'[10]NFMA46 '!K25</f>
        <v>739800</v>
      </c>
      <c r="Q17" s="1715">
        <f t="shared" si="5"/>
        <v>100</v>
      </c>
      <c r="R17" s="1715">
        <f t="shared" si="6"/>
        <v>739800</v>
      </c>
      <c r="S17" s="1715">
        <f t="shared" si="7"/>
        <v>100</v>
      </c>
      <c r="T17" s="1715"/>
      <c r="U17" s="1715">
        <f t="shared" si="8"/>
        <v>0</v>
      </c>
      <c r="V17" s="2661"/>
    </row>
    <row r="18" spans="1:22" s="2662" customFormat="1" ht="133.5" customHeight="1">
      <c r="A18" s="2661">
        <v>9</v>
      </c>
      <c r="B18" s="2735" t="s">
        <v>5455</v>
      </c>
      <c r="C18" s="2740" t="s">
        <v>5376</v>
      </c>
      <c r="D18" s="2741" t="s">
        <v>5376</v>
      </c>
      <c r="E18" s="2742" t="s">
        <v>866</v>
      </c>
      <c r="F18" s="2738">
        <v>850000</v>
      </c>
      <c r="G18" s="2738"/>
      <c r="H18" s="2738">
        <f t="shared" si="3"/>
        <v>850000</v>
      </c>
      <c r="I18" s="2738"/>
      <c r="J18" s="2738"/>
      <c r="K18" s="2738"/>
      <c r="L18" s="2743"/>
      <c r="M18" s="2738">
        <f>'[10]NFMA46 '!I26</f>
        <v>739800</v>
      </c>
      <c r="N18" s="2738">
        <f>'[10]NFMA46 '!L26</f>
        <v>0</v>
      </c>
      <c r="O18" s="2738">
        <f t="shared" si="4"/>
        <v>0</v>
      </c>
      <c r="P18" s="2739">
        <f>'[10]NFMA46 '!K26</f>
        <v>739800</v>
      </c>
      <c r="Q18" s="1715">
        <f t="shared" si="5"/>
        <v>100</v>
      </c>
      <c r="R18" s="1715">
        <f t="shared" si="6"/>
        <v>739800</v>
      </c>
      <c r="S18" s="1715">
        <f t="shared" si="7"/>
        <v>100</v>
      </c>
      <c r="T18" s="1715"/>
      <c r="U18" s="1715">
        <f t="shared" si="8"/>
        <v>0</v>
      </c>
      <c r="V18" s="2661"/>
    </row>
    <row r="19" spans="1:22" s="2662" customFormat="1" ht="139.5" customHeight="1">
      <c r="A19" s="2661">
        <v>10</v>
      </c>
      <c r="B19" s="2735" t="s">
        <v>5456</v>
      </c>
      <c r="C19" s="2740" t="s">
        <v>5400</v>
      </c>
      <c r="D19" s="2741" t="s">
        <v>5400</v>
      </c>
      <c r="E19" s="2742" t="s">
        <v>866</v>
      </c>
      <c r="F19" s="2738">
        <v>850000</v>
      </c>
      <c r="G19" s="2738"/>
      <c r="H19" s="2738">
        <f t="shared" si="3"/>
        <v>850000</v>
      </c>
      <c r="I19" s="2738"/>
      <c r="J19" s="2738"/>
      <c r="K19" s="2738"/>
      <c r="L19" s="2743"/>
      <c r="M19" s="2738">
        <f>'[10]NFMA46 '!I27</f>
        <v>739800</v>
      </c>
      <c r="N19" s="2738">
        <f>'[10]NFMA46 '!L27</f>
        <v>0</v>
      </c>
      <c r="O19" s="2738">
        <f t="shared" si="4"/>
        <v>0</v>
      </c>
      <c r="P19" s="2739">
        <f>'[10]NFMA46 '!K27</f>
        <v>739800</v>
      </c>
      <c r="Q19" s="1715">
        <f t="shared" si="5"/>
        <v>100</v>
      </c>
      <c r="R19" s="1715">
        <f t="shared" si="6"/>
        <v>739800</v>
      </c>
      <c r="S19" s="1715">
        <f t="shared" si="7"/>
        <v>100</v>
      </c>
      <c r="T19" s="1715"/>
      <c r="U19" s="1715">
        <f t="shared" si="8"/>
        <v>0</v>
      </c>
      <c r="V19" s="2661"/>
    </row>
    <row r="20" spans="1:22" s="2662" customFormat="1" ht="139.5" customHeight="1">
      <c r="A20" s="2661">
        <v>11</v>
      </c>
      <c r="B20" s="2735" t="s">
        <v>5457</v>
      </c>
      <c r="C20" s="2740" t="s">
        <v>5401</v>
      </c>
      <c r="D20" s="2741" t="s">
        <v>5401</v>
      </c>
      <c r="E20" s="2742" t="s">
        <v>866</v>
      </c>
      <c r="F20" s="2738">
        <v>850000</v>
      </c>
      <c r="G20" s="2738"/>
      <c r="H20" s="2738">
        <f t="shared" si="3"/>
        <v>850000</v>
      </c>
      <c r="I20" s="2738"/>
      <c r="J20" s="2738"/>
      <c r="K20" s="2738"/>
      <c r="L20" s="2743"/>
      <c r="M20" s="2738">
        <f>'[10]NFMA46 '!I28</f>
        <v>739800</v>
      </c>
      <c r="N20" s="2738">
        <f>'[10]NFMA46 '!L28</f>
        <v>0</v>
      </c>
      <c r="O20" s="2738">
        <f t="shared" si="4"/>
        <v>0</v>
      </c>
      <c r="P20" s="2739">
        <f>'[10]NFMA46 '!K28</f>
        <v>739800</v>
      </c>
      <c r="Q20" s="1715">
        <f t="shared" si="5"/>
        <v>100</v>
      </c>
      <c r="R20" s="1715">
        <f t="shared" si="6"/>
        <v>739800</v>
      </c>
      <c r="S20" s="1715">
        <f t="shared" si="7"/>
        <v>100</v>
      </c>
      <c r="T20" s="1715"/>
      <c r="U20" s="1715">
        <f t="shared" si="8"/>
        <v>0</v>
      </c>
      <c r="V20" s="2661"/>
    </row>
    <row r="21" spans="1:22" s="2662" customFormat="1" ht="139.5" customHeight="1">
      <c r="A21" s="2661">
        <v>12</v>
      </c>
      <c r="B21" s="2735" t="s">
        <v>5458</v>
      </c>
      <c r="C21" s="2740" t="s">
        <v>5402</v>
      </c>
      <c r="D21" s="2741" t="s">
        <v>5402</v>
      </c>
      <c r="E21" s="2742" t="s">
        <v>866</v>
      </c>
      <c r="F21" s="2738">
        <v>850000</v>
      </c>
      <c r="G21" s="2738"/>
      <c r="H21" s="2738">
        <f t="shared" si="3"/>
        <v>850000</v>
      </c>
      <c r="I21" s="2738"/>
      <c r="J21" s="2738"/>
      <c r="K21" s="2738"/>
      <c r="L21" s="2743"/>
      <c r="M21" s="2738">
        <f>'[10]NFMA46 '!I29</f>
        <v>739800</v>
      </c>
      <c r="N21" s="2738">
        <f>'[10]NFMA46 '!L29</f>
        <v>0</v>
      </c>
      <c r="O21" s="2738">
        <f t="shared" si="4"/>
        <v>0</v>
      </c>
      <c r="P21" s="2739">
        <f>'[10]NFMA46 '!K29</f>
        <v>739800</v>
      </c>
      <c r="Q21" s="1715">
        <f t="shared" si="5"/>
        <v>100</v>
      </c>
      <c r="R21" s="1715">
        <f t="shared" si="6"/>
        <v>739800</v>
      </c>
      <c r="S21" s="1715">
        <f t="shared" si="7"/>
        <v>100</v>
      </c>
      <c r="T21" s="1715"/>
      <c r="U21" s="1715">
        <f t="shared" si="8"/>
        <v>0</v>
      </c>
      <c r="V21" s="2661"/>
    </row>
    <row r="22" spans="1:22" s="2662" customFormat="1" ht="139.5" customHeight="1">
      <c r="A22" s="2661">
        <v>13</v>
      </c>
      <c r="B22" s="2735" t="s">
        <v>5459</v>
      </c>
      <c r="C22" s="2740" t="s">
        <v>5408</v>
      </c>
      <c r="D22" s="2741" t="s">
        <v>5408</v>
      </c>
      <c r="E22" s="2742" t="s">
        <v>866</v>
      </c>
      <c r="F22" s="2738">
        <v>850000</v>
      </c>
      <c r="G22" s="2738"/>
      <c r="H22" s="2738">
        <f t="shared" si="3"/>
        <v>850000</v>
      </c>
      <c r="I22" s="2738"/>
      <c r="J22" s="2738"/>
      <c r="K22" s="2738"/>
      <c r="L22" s="2743"/>
      <c r="M22" s="2738">
        <f>'[10]NFMA46 '!I30</f>
        <v>739800</v>
      </c>
      <c r="N22" s="2738">
        <f>'[10]NFMA46 '!L30</f>
        <v>0</v>
      </c>
      <c r="O22" s="2738">
        <f t="shared" si="4"/>
        <v>0</v>
      </c>
      <c r="P22" s="2739">
        <f>'[10]NFMA46 '!K30</f>
        <v>739800</v>
      </c>
      <c r="Q22" s="1715">
        <f t="shared" si="5"/>
        <v>100</v>
      </c>
      <c r="R22" s="1715">
        <f t="shared" si="6"/>
        <v>739800</v>
      </c>
      <c r="S22" s="1715">
        <f t="shared" si="7"/>
        <v>100</v>
      </c>
      <c r="T22" s="1715"/>
      <c r="U22" s="1715">
        <f t="shared" si="8"/>
        <v>0</v>
      </c>
      <c r="V22" s="2661"/>
    </row>
    <row r="23" spans="1:22" s="2662" customFormat="1" ht="134.25" customHeight="1">
      <c r="A23" s="2661">
        <v>14</v>
      </c>
      <c r="B23" s="2735" t="s">
        <v>5460</v>
      </c>
      <c r="C23" s="2740" t="s">
        <v>5410</v>
      </c>
      <c r="D23" s="2741" t="s">
        <v>5410</v>
      </c>
      <c r="E23" s="2742" t="s">
        <v>866</v>
      </c>
      <c r="F23" s="2738">
        <v>850000</v>
      </c>
      <c r="G23" s="2738"/>
      <c r="H23" s="2738">
        <f t="shared" si="3"/>
        <v>850000</v>
      </c>
      <c r="I23" s="2738"/>
      <c r="J23" s="2738"/>
      <c r="K23" s="2738"/>
      <c r="L23" s="2743"/>
      <c r="M23" s="2738">
        <f>'[10]NFMA46 '!I31</f>
        <v>739800</v>
      </c>
      <c r="N23" s="2738">
        <f>'[10]NFMA46 '!L31</f>
        <v>0</v>
      </c>
      <c r="O23" s="2738">
        <f t="shared" si="4"/>
        <v>0</v>
      </c>
      <c r="P23" s="2739">
        <f>'[10]NFMA46 '!K31</f>
        <v>739800</v>
      </c>
      <c r="Q23" s="1715">
        <f t="shared" si="5"/>
        <v>100</v>
      </c>
      <c r="R23" s="1715">
        <f t="shared" si="6"/>
        <v>739800</v>
      </c>
      <c r="S23" s="1715">
        <f t="shared" si="7"/>
        <v>100</v>
      </c>
      <c r="T23" s="1715"/>
      <c r="U23" s="1715">
        <f t="shared" si="8"/>
        <v>0</v>
      </c>
      <c r="V23" s="2661"/>
    </row>
    <row r="24" spans="1:22" s="2662" customFormat="1" ht="134.25" customHeight="1">
      <c r="A24" s="2661">
        <v>15</v>
      </c>
      <c r="B24" s="2735" t="s">
        <v>5461</v>
      </c>
      <c r="C24" s="2740" t="s">
        <v>5462</v>
      </c>
      <c r="D24" s="2741" t="s">
        <v>5462</v>
      </c>
      <c r="E24" s="2742" t="s">
        <v>866</v>
      </c>
      <c r="F24" s="2738">
        <v>850000</v>
      </c>
      <c r="G24" s="2738"/>
      <c r="H24" s="2738">
        <f t="shared" si="3"/>
        <v>850000</v>
      </c>
      <c r="I24" s="2738"/>
      <c r="J24" s="2738"/>
      <c r="K24" s="2738"/>
      <c r="L24" s="2743"/>
      <c r="M24" s="2738">
        <f>'[10]NFMA46 '!I32</f>
        <v>739800</v>
      </c>
      <c r="N24" s="2738">
        <f>'[10]NFMA46 '!L32</f>
        <v>0</v>
      </c>
      <c r="O24" s="2738">
        <f t="shared" si="4"/>
        <v>0</v>
      </c>
      <c r="P24" s="2739">
        <f>'[10]NFMA46 '!K32</f>
        <v>739800</v>
      </c>
      <c r="Q24" s="1715">
        <f t="shared" si="5"/>
        <v>100</v>
      </c>
      <c r="R24" s="1715">
        <f t="shared" si="6"/>
        <v>739800</v>
      </c>
      <c r="S24" s="1715">
        <f t="shared" si="7"/>
        <v>100</v>
      </c>
      <c r="T24" s="1715"/>
      <c r="U24" s="1715">
        <f t="shared" si="8"/>
        <v>0</v>
      </c>
      <c r="V24" s="2661"/>
    </row>
    <row r="25" spans="1:22" s="2662" customFormat="1" ht="134.25" customHeight="1">
      <c r="A25" s="2661">
        <v>16</v>
      </c>
      <c r="B25" s="2735" t="s">
        <v>5463</v>
      </c>
      <c r="C25" s="2740" t="s">
        <v>5464</v>
      </c>
      <c r="D25" s="2741" t="s">
        <v>5464</v>
      </c>
      <c r="E25" s="2742" t="s">
        <v>866</v>
      </c>
      <c r="F25" s="2738">
        <v>850000</v>
      </c>
      <c r="G25" s="2738"/>
      <c r="H25" s="2738">
        <f t="shared" si="3"/>
        <v>850000</v>
      </c>
      <c r="I25" s="2738"/>
      <c r="J25" s="2738"/>
      <c r="K25" s="2738"/>
      <c r="L25" s="2743"/>
      <c r="M25" s="2738">
        <f>'[10]NFMA46 '!I33</f>
        <v>739800</v>
      </c>
      <c r="N25" s="2738">
        <f>'[10]NFMA46 '!L33</f>
        <v>0</v>
      </c>
      <c r="O25" s="2738">
        <f t="shared" si="4"/>
        <v>0</v>
      </c>
      <c r="P25" s="2739">
        <f>'[10]NFMA46 '!K33</f>
        <v>739800</v>
      </c>
      <c r="Q25" s="1715">
        <f t="shared" si="5"/>
        <v>100</v>
      </c>
      <c r="R25" s="1715">
        <f t="shared" si="6"/>
        <v>739800</v>
      </c>
      <c r="S25" s="1715">
        <f t="shared" si="7"/>
        <v>100</v>
      </c>
      <c r="T25" s="1715"/>
      <c r="U25" s="1715">
        <f t="shared" si="8"/>
        <v>0</v>
      </c>
      <c r="V25" s="2661"/>
    </row>
    <row r="26" spans="1:22" s="2662" customFormat="1" ht="134.25" customHeight="1">
      <c r="A26" s="2661">
        <v>17</v>
      </c>
      <c r="B26" s="2735" t="s">
        <v>5465</v>
      </c>
      <c r="C26" s="2740" t="s">
        <v>5466</v>
      </c>
      <c r="D26" s="2741" t="s">
        <v>5466</v>
      </c>
      <c r="E26" s="2742" t="s">
        <v>866</v>
      </c>
      <c r="F26" s="2738">
        <v>850000</v>
      </c>
      <c r="G26" s="2738"/>
      <c r="H26" s="2738">
        <f t="shared" si="3"/>
        <v>850000</v>
      </c>
      <c r="I26" s="2738"/>
      <c r="J26" s="2738"/>
      <c r="K26" s="2738"/>
      <c r="L26" s="2743"/>
      <c r="M26" s="2738">
        <f>'[10]NFMA46 '!I34</f>
        <v>739800</v>
      </c>
      <c r="N26" s="2738">
        <f>'[10]NFMA46 '!L34</f>
        <v>0</v>
      </c>
      <c r="O26" s="2738">
        <f t="shared" si="4"/>
        <v>0</v>
      </c>
      <c r="P26" s="2739">
        <f>'[10]NFMA46 '!K34</f>
        <v>739800</v>
      </c>
      <c r="Q26" s="1715">
        <f t="shared" si="5"/>
        <v>100</v>
      </c>
      <c r="R26" s="1715">
        <f t="shared" si="6"/>
        <v>739800</v>
      </c>
      <c r="S26" s="1715">
        <f t="shared" si="7"/>
        <v>100</v>
      </c>
      <c r="T26" s="1715"/>
      <c r="U26" s="1715">
        <f t="shared" si="8"/>
        <v>0</v>
      </c>
      <c r="V26" s="2661"/>
    </row>
    <row r="27" spans="1:22" s="2662" customFormat="1" ht="134.25" customHeight="1">
      <c r="A27" s="2661">
        <v>18</v>
      </c>
      <c r="B27" s="2735" t="s">
        <v>5467</v>
      </c>
      <c r="C27" s="2740" t="s">
        <v>5468</v>
      </c>
      <c r="D27" s="2741" t="s">
        <v>5468</v>
      </c>
      <c r="E27" s="2742" t="s">
        <v>866</v>
      </c>
      <c r="F27" s="2738">
        <v>850000</v>
      </c>
      <c r="G27" s="2738"/>
      <c r="H27" s="2738">
        <f t="shared" si="3"/>
        <v>850000</v>
      </c>
      <c r="I27" s="2738"/>
      <c r="J27" s="2738"/>
      <c r="K27" s="2738"/>
      <c r="L27" s="2743"/>
      <c r="M27" s="2738">
        <f>'[10]NFMA46 '!I35</f>
        <v>739800</v>
      </c>
      <c r="N27" s="2738">
        <f>'[10]NFMA46 '!L35</f>
        <v>0</v>
      </c>
      <c r="O27" s="2738">
        <f t="shared" si="4"/>
        <v>0</v>
      </c>
      <c r="P27" s="2739">
        <f>'[10]NFMA46 '!K35</f>
        <v>739800</v>
      </c>
      <c r="Q27" s="1715">
        <f t="shared" si="5"/>
        <v>100</v>
      </c>
      <c r="R27" s="1715">
        <f t="shared" si="6"/>
        <v>739800</v>
      </c>
      <c r="S27" s="1715">
        <f t="shared" si="7"/>
        <v>100</v>
      </c>
      <c r="T27" s="1715"/>
      <c r="U27" s="1715">
        <f t="shared" si="8"/>
        <v>0</v>
      </c>
      <c r="V27" s="2661"/>
    </row>
    <row r="28" spans="1:22" s="2662" customFormat="1" ht="134.25" customHeight="1">
      <c r="A28" s="2661">
        <v>19</v>
      </c>
      <c r="B28" s="2735" t="s">
        <v>5469</v>
      </c>
      <c r="C28" s="2740" t="s">
        <v>5470</v>
      </c>
      <c r="D28" s="2741" t="s">
        <v>5470</v>
      </c>
      <c r="E28" s="2742" t="s">
        <v>866</v>
      </c>
      <c r="F28" s="2738">
        <v>850000</v>
      </c>
      <c r="G28" s="2738"/>
      <c r="H28" s="2738">
        <f t="shared" si="3"/>
        <v>850000</v>
      </c>
      <c r="I28" s="2738"/>
      <c r="J28" s="2738"/>
      <c r="K28" s="2738"/>
      <c r="L28" s="2743"/>
      <c r="M28" s="2738">
        <f>'[10]NFMA46 '!I36</f>
        <v>739800</v>
      </c>
      <c r="N28" s="2738">
        <f>'[10]NFMA46 '!L36</f>
        <v>0</v>
      </c>
      <c r="O28" s="2738">
        <f t="shared" si="4"/>
        <v>0</v>
      </c>
      <c r="P28" s="2739">
        <f>'[10]NFMA46 '!K36</f>
        <v>739800</v>
      </c>
      <c r="Q28" s="1715">
        <f t="shared" si="5"/>
        <v>100</v>
      </c>
      <c r="R28" s="1715">
        <f t="shared" si="6"/>
        <v>739800</v>
      </c>
      <c r="S28" s="1715">
        <f t="shared" si="7"/>
        <v>100</v>
      </c>
      <c r="T28" s="1715"/>
      <c r="U28" s="1715">
        <f t="shared" si="8"/>
        <v>0</v>
      </c>
      <c r="V28" s="2661"/>
    </row>
    <row r="29" spans="1:22" s="2662" customFormat="1" ht="134.25" customHeight="1">
      <c r="A29" s="2661">
        <v>20</v>
      </c>
      <c r="B29" s="2735" t="s">
        <v>5471</v>
      </c>
      <c r="C29" s="2740" t="s">
        <v>5472</v>
      </c>
      <c r="D29" s="2741" t="s">
        <v>5472</v>
      </c>
      <c r="E29" s="2742" t="s">
        <v>866</v>
      </c>
      <c r="F29" s="2738">
        <v>850000</v>
      </c>
      <c r="G29" s="2738"/>
      <c r="H29" s="2738">
        <f t="shared" si="3"/>
        <v>850000</v>
      </c>
      <c r="I29" s="2738"/>
      <c r="J29" s="2738"/>
      <c r="K29" s="2738"/>
      <c r="L29" s="2743"/>
      <c r="M29" s="2738">
        <f>'[10]NFMA46 '!I37</f>
        <v>739800</v>
      </c>
      <c r="N29" s="2738">
        <f>'[10]NFMA46 '!L37</f>
        <v>0</v>
      </c>
      <c r="O29" s="2738">
        <f t="shared" si="4"/>
        <v>0</v>
      </c>
      <c r="P29" s="2739">
        <f>'[10]NFMA46 '!K37</f>
        <v>739800</v>
      </c>
      <c r="Q29" s="1715">
        <f t="shared" si="5"/>
        <v>100</v>
      </c>
      <c r="R29" s="1715">
        <f t="shared" si="6"/>
        <v>739800</v>
      </c>
      <c r="S29" s="1715">
        <f t="shared" si="7"/>
        <v>100</v>
      </c>
      <c r="T29" s="1715"/>
      <c r="U29" s="1715">
        <f t="shared" si="8"/>
        <v>0</v>
      </c>
      <c r="V29" s="2661"/>
    </row>
    <row r="30" spans="1:22" s="2662" customFormat="1" ht="134.25" customHeight="1">
      <c r="A30" s="2661">
        <v>21</v>
      </c>
      <c r="B30" s="2735" t="s">
        <v>5473</v>
      </c>
      <c r="C30" s="2740" t="s">
        <v>5474</v>
      </c>
      <c r="D30" s="2741" t="s">
        <v>5474</v>
      </c>
      <c r="E30" s="2742" t="s">
        <v>866</v>
      </c>
      <c r="F30" s="2738">
        <v>850000</v>
      </c>
      <c r="G30" s="2738"/>
      <c r="H30" s="2738">
        <f t="shared" si="3"/>
        <v>850000</v>
      </c>
      <c r="I30" s="2738"/>
      <c r="J30" s="2738"/>
      <c r="K30" s="2738"/>
      <c r="L30" s="2743"/>
      <c r="M30" s="2738">
        <f>'[10]NFMA46 '!I38</f>
        <v>739800</v>
      </c>
      <c r="N30" s="2738">
        <f>'[10]NFMA46 '!L38</f>
        <v>0</v>
      </c>
      <c r="O30" s="2738">
        <f t="shared" si="4"/>
        <v>0</v>
      </c>
      <c r="P30" s="2739">
        <f>'[10]NFMA46 '!K38</f>
        <v>739800</v>
      </c>
      <c r="Q30" s="1715">
        <f t="shared" si="5"/>
        <v>100</v>
      </c>
      <c r="R30" s="1715">
        <f t="shared" si="6"/>
        <v>739800</v>
      </c>
      <c r="S30" s="1715">
        <f t="shared" si="7"/>
        <v>100</v>
      </c>
      <c r="T30" s="1715"/>
      <c r="U30" s="1715">
        <f t="shared" si="8"/>
        <v>0</v>
      </c>
      <c r="V30" s="2661"/>
    </row>
    <row r="31" spans="1:22" s="2662" customFormat="1" ht="134.25" customHeight="1">
      <c r="A31" s="2661">
        <v>22</v>
      </c>
      <c r="B31" s="2735" t="s">
        <v>5475</v>
      </c>
      <c r="C31" s="2740" t="s">
        <v>5476</v>
      </c>
      <c r="D31" s="2741" t="s">
        <v>5476</v>
      </c>
      <c r="E31" s="2742" t="s">
        <v>866</v>
      </c>
      <c r="F31" s="2738">
        <v>850000</v>
      </c>
      <c r="G31" s="2738"/>
      <c r="H31" s="2738">
        <f t="shared" si="3"/>
        <v>850000</v>
      </c>
      <c r="I31" s="2738"/>
      <c r="J31" s="2738"/>
      <c r="K31" s="2738"/>
      <c r="L31" s="2743"/>
      <c r="M31" s="2738">
        <f>'[10]NFMA46 '!I39</f>
        <v>739800</v>
      </c>
      <c r="N31" s="2738">
        <f>'[10]NFMA46 '!L39</f>
        <v>0</v>
      </c>
      <c r="O31" s="2738">
        <f t="shared" si="4"/>
        <v>0</v>
      </c>
      <c r="P31" s="2739">
        <f>'[10]NFMA46 '!K39</f>
        <v>739800</v>
      </c>
      <c r="Q31" s="1715">
        <f t="shared" si="5"/>
        <v>100</v>
      </c>
      <c r="R31" s="1715">
        <f t="shared" si="6"/>
        <v>739800</v>
      </c>
      <c r="S31" s="1715">
        <f t="shared" si="7"/>
        <v>100</v>
      </c>
      <c r="T31" s="1715"/>
      <c r="U31" s="1715">
        <f t="shared" si="8"/>
        <v>0</v>
      </c>
      <c r="V31" s="2661"/>
    </row>
    <row r="32" spans="1:22" s="2662" customFormat="1" ht="129.75" customHeight="1">
      <c r="A32" s="2661">
        <v>23</v>
      </c>
      <c r="B32" s="2735" t="s">
        <v>5477</v>
      </c>
      <c r="C32" s="2740" t="s">
        <v>5478</v>
      </c>
      <c r="D32" s="2741" t="s">
        <v>5478</v>
      </c>
      <c r="E32" s="2742" t="s">
        <v>866</v>
      </c>
      <c r="F32" s="2738">
        <v>850000</v>
      </c>
      <c r="G32" s="2738"/>
      <c r="H32" s="2738">
        <f t="shared" si="3"/>
        <v>850000</v>
      </c>
      <c r="I32" s="2738"/>
      <c r="J32" s="2738"/>
      <c r="K32" s="2738"/>
      <c r="L32" s="2743"/>
      <c r="M32" s="2738">
        <f>'[10]NFMA46 '!I40</f>
        <v>739800</v>
      </c>
      <c r="N32" s="2738">
        <f>'[10]NFMA46 '!L40</f>
        <v>0</v>
      </c>
      <c r="O32" s="2738">
        <f t="shared" si="4"/>
        <v>0</v>
      </c>
      <c r="P32" s="2739">
        <f>'[10]NFMA46 '!K40</f>
        <v>739800</v>
      </c>
      <c r="Q32" s="1715">
        <f t="shared" si="5"/>
        <v>100</v>
      </c>
      <c r="R32" s="1715">
        <f t="shared" si="6"/>
        <v>739800</v>
      </c>
      <c r="S32" s="1715">
        <f t="shared" si="7"/>
        <v>100</v>
      </c>
      <c r="T32" s="1715"/>
      <c r="U32" s="1715">
        <f t="shared" si="8"/>
        <v>0</v>
      </c>
      <c r="V32" s="2661"/>
    </row>
    <row r="33" spans="1:22" s="2662" customFormat="1" ht="129.75" customHeight="1">
      <c r="A33" s="2661">
        <v>24</v>
      </c>
      <c r="B33" s="2735" t="s">
        <v>5479</v>
      </c>
      <c r="C33" s="2740" t="s">
        <v>5480</v>
      </c>
      <c r="D33" s="2741" t="s">
        <v>5480</v>
      </c>
      <c r="E33" s="2742" t="s">
        <v>866</v>
      </c>
      <c r="F33" s="2738">
        <v>850000</v>
      </c>
      <c r="G33" s="2738"/>
      <c r="H33" s="2738">
        <f t="shared" si="3"/>
        <v>850000</v>
      </c>
      <c r="I33" s="2738"/>
      <c r="J33" s="2738"/>
      <c r="K33" s="2738"/>
      <c r="L33" s="2743"/>
      <c r="M33" s="2738">
        <f>'[10]NFMA46 '!I41</f>
        <v>739800</v>
      </c>
      <c r="N33" s="2738">
        <f>'[10]NFMA46 '!L41</f>
        <v>0</v>
      </c>
      <c r="O33" s="2738">
        <f t="shared" si="4"/>
        <v>0</v>
      </c>
      <c r="P33" s="2739">
        <f>'[10]NFMA46 '!K41</f>
        <v>739800</v>
      </c>
      <c r="Q33" s="1715">
        <f t="shared" si="5"/>
        <v>100</v>
      </c>
      <c r="R33" s="1715">
        <f t="shared" si="6"/>
        <v>739800</v>
      </c>
      <c r="S33" s="1715">
        <f t="shared" si="7"/>
        <v>100</v>
      </c>
      <c r="T33" s="1715"/>
      <c r="U33" s="1715">
        <f t="shared" si="8"/>
        <v>0</v>
      </c>
      <c r="V33" s="2661"/>
    </row>
    <row r="34" spans="1:22" s="2662" customFormat="1" ht="129.75" customHeight="1">
      <c r="A34" s="2661">
        <v>25</v>
      </c>
      <c r="B34" s="2735" t="s">
        <v>5481</v>
      </c>
      <c r="C34" s="2740" t="s">
        <v>5482</v>
      </c>
      <c r="D34" s="2741" t="s">
        <v>5482</v>
      </c>
      <c r="E34" s="2742" t="s">
        <v>866</v>
      </c>
      <c r="F34" s="2738">
        <v>850000</v>
      </c>
      <c r="G34" s="2738"/>
      <c r="H34" s="2738">
        <f t="shared" si="3"/>
        <v>850000</v>
      </c>
      <c r="I34" s="2738"/>
      <c r="J34" s="2738"/>
      <c r="K34" s="2738"/>
      <c r="L34" s="2743"/>
      <c r="M34" s="2738">
        <f>'[10]NFMA46 '!I42</f>
        <v>739800</v>
      </c>
      <c r="N34" s="2738">
        <f>'[10]NFMA46 '!L42</f>
        <v>0</v>
      </c>
      <c r="O34" s="2738">
        <f t="shared" si="4"/>
        <v>0</v>
      </c>
      <c r="P34" s="2739">
        <f>'[10]NFMA46 '!K42</f>
        <v>739800</v>
      </c>
      <c r="Q34" s="1715">
        <f t="shared" si="5"/>
        <v>100</v>
      </c>
      <c r="R34" s="1715">
        <f t="shared" si="6"/>
        <v>739800</v>
      </c>
      <c r="S34" s="1715">
        <f t="shared" si="7"/>
        <v>100</v>
      </c>
      <c r="T34" s="1715"/>
      <c r="U34" s="1715">
        <f t="shared" si="8"/>
        <v>0</v>
      </c>
      <c r="V34" s="2661"/>
    </row>
    <row r="35" spans="1:22" s="2662" customFormat="1" ht="129.75" customHeight="1">
      <c r="A35" s="2661">
        <v>26</v>
      </c>
      <c r="B35" s="2735" t="s">
        <v>5483</v>
      </c>
      <c r="C35" s="2740" t="s">
        <v>5484</v>
      </c>
      <c r="D35" s="2741" t="s">
        <v>5484</v>
      </c>
      <c r="E35" s="2742" t="s">
        <v>866</v>
      </c>
      <c r="F35" s="2738">
        <v>850000</v>
      </c>
      <c r="G35" s="2738"/>
      <c r="H35" s="2738">
        <f t="shared" si="3"/>
        <v>850000</v>
      </c>
      <c r="I35" s="2738"/>
      <c r="J35" s="2738"/>
      <c r="K35" s="2738"/>
      <c r="L35" s="2743"/>
      <c r="M35" s="2738">
        <f>'[10]NFMA46 '!I43</f>
        <v>739800</v>
      </c>
      <c r="N35" s="2738">
        <f>'[10]NFMA46 '!L43</f>
        <v>0</v>
      </c>
      <c r="O35" s="2738">
        <f t="shared" si="4"/>
        <v>0</v>
      </c>
      <c r="P35" s="2739">
        <f>'[10]NFMA46 '!K43</f>
        <v>739800</v>
      </c>
      <c r="Q35" s="1715">
        <f t="shared" si="5"/>
        <v>100</v>
      </c>
      <c r="R35" s="1715">
        <f t="shared" si="6"/>
        <v>739800</v>
      </c>
      <c r="S35" s="1715">
        <f t="shared" si="7"/>
        <v>100</v>
      </c>
      <c r="T35" s="1715"/>
      <c r="U35" s="1715">
        <f t="shared" si="8"/>
        <v>0</v>
      </c>
      <c r="V35" s="2661"/>
    </row>
    <row r="36" spans="1:22" s="2662" customFormat="1" ht="129.75" customHeight="1">
      <c r="A36" s="2661">
        <v>27</v>
      </c>
      <c r="B36" s="2735" t="s">
        <v>5485</v>
      </c>
      <c r="C36" s="2740" t="s">
        <v>5486</v>
      </c>
      <c r="D36" s="2741" t="s">
        <v>5486</v>
      </c>
      <c r="E36" s="2742" t="s">
        <v>866</v>
      </c>
      <c r="F36" s="2738">
        <v>1700000</v>
      </c>
      <c r="G36" s="2738"/>
      <c r="H36" s="2738">
        <f t="shared" si="3"/>
        <v>1700000</v>
      </c>
      <c r="I36" s="2738"/>
      <c r="J36" s="2738"/>
      <c r="K36" s="2738"/>
      <c r="L36" s="2743"/>
      <c r="M36" s="2738">
        <f>'[10]NFMA46 '!I44</f>
        <v>1479600</v>
      </c>
      <c r="N36" s="2738">
        <f>'[10]NFMA46 '!L44</f>
        <v>0</v>
      </c>
      <c r="O36" s="2738">
        <f t="shared" si="4"/>
        <v>0</v>
      </c>
      <c r="P36" s="2739">
        <f>'[10]NFMA46 '!K44</f>
        <v>1479600</v>
      </c>
      <c r="Q36" s="1715">
        <f t="shared" si="5"/>
        <v>100</v>
      </c>
      <c r="R36" s="1715">
        <f t="shared" si="6"/>
        <v>1479600</v>
      </c>
      <c r="S36" s="1715">
        <f t="shared" si="7"/>
        <v>100</v>
      </c>
      <c r="T36" s="1715"/>
      <c r="U36" s="1715">
        <f t="shared" si="8"/>
        <v>0</v>
      </c>
      <c r="V36" s="2661"/>
    </row>
    <row r="37" spans="1:22" s="2662" customFormat="1" ht="129.75" customHeight="1">
      <c r="A37" s="2661">
        <v>28</v>
      </c>
      <c r="B37" s="2735" t="s">
        <v>5487</v>
      </c>
      <c r="C37" s="2740" t="s">
        <v>5488</v>
      </c>
      <c r="D37" s="2741" t="s">
        <v>5488</v>
      </c>
      <c r="E37" s="2742" t="s">
        <v>866</v>
      </c>
      <c r="F37" s="2738">
        <v>850000</v>
      </c>
      <c r="G37" s="2738"/>
      <c r="H37" s="2738">
        <f t="shared" si="3"/>
        <v>850000</v>
      </c>
      <c r="I37" s="2738"/>
      <c r="J37" s="2738"/>
      <c r="K37" s="2738"/>
      <c r="L37" s="2743"/>
      <c r="M37" s="2738">
        <f>'[10]NFMA46 '!I45</f>
        <v>739800</v>
      </c>
      <c r="N37" s="2738">
        <f>'[10]NFMA46 '!L45</f>
        <v>0</v>
      </c>
      <c r="O37" s="2738">
        <f t="shared" si="4"/>
        <v>0</v>
      </c>
      <c r="P37" s="2739">
        <f>'[10]NFMA46 '!K45</f>
        <v>739800</v>
      </c>
      <c r="Q37" s="1715">
        <f t="shared" si="5"/>
        <v>100</v>
      </c>
      <c r="R37" s="1715">
        <f t="shared" si="6"/>
        <v>739800</v>
      </c>
      <c r="S37" s="1715">
        <f t="shared" si="7"/>
        <v>100</v>
      </c>
      <c r="T37" s="1715"/>
      <c r="U37" s="1715">
        <f t="shared" si="8"/>
        <v>0</v>
      </c>
      <c r="V37" s="2661"/>
    </row>
    <row r="38" spans="1:22" s="2662" customFormat="1" ht="129.75" customHeight="1">
      <c r="A38" s="2661">
        <v>29</v>
      </c>
      <c r="B38" s="2735" t="s">
        <v>5489</v>
      </c>
      <c r="C38" s="2740" t="s">
        <v>5490</v>
      </c>
      <c r="D38" s="2741" t="s">
        <v>5490</v>
      </c>
      <c r="E38" s="2742" t="s">
        <v>866</v>
      </c>
      <c r="F38" s="2738">
        <v>850000</v>
      </c>
      <c r="G38" s="2738"/>
      <c r="H38" s="2738">
        <f t="shared" si="3"/>
        <v>850000</v>
      </c>
      <c r="I38" s="2738"/>
      <c r="J38" s="2738"/>
      <c r="K38" s="2738"/>
      <c r="L38" s="2743"/>
      <c r="M38" s="2738">
        <f>'[10]NFMA46 '!I46</f>
        <v>739800</v>
      </c>
      <c r="N38" s="2738">
        <f>'[10]NFMA46 '!L46</f>
        <v>0</v>
      </c>
      <c r="O38" s="2738">
        <f t="shared" si="4"/>
        <v>0</v>
      </c>
      <c r="P38" s="2739">
        <f>'[10]NFMA46 '!K46</f>
        <v>739800</v>
      </c>
      <c r="Q38" s="1715">
        <f t="shared" si="5"/>
        <v>100</v>
      </c>
      <c r="R38" s="1715">
        <f t="shared" si="6"/>
        <v>739800</v>
      </c>
      <c r="S38" s="1715">
        <f t="shared" si="7"/>
        <v>100</v>
      </c>
      <c r="T38" s="1715"/>
      <c r="U38" s="1715">
        <f t="shared" si="8"/>
        <v>0</v>
      </c>
      <c r="V38" s="2661"/>
    </row>
    <row r="39" spans="1:22" s="2662" customFormat="1" ht="129.75" customHeight="1">
      <c r="A39" s="2661">
        <v>30</v>
      </c>
      <c r="B39" s="2735" t="s">
        <v>5491</v>
      </c>
      <c r="C39" s="2740" t="s">
        <v>5492</v>
      </c>
      <c r="D39" s="2741" t="s">
        <v>5492</v>
      </c>
      <c r="E39" s="2742" t="s">
        <v>866</v>
      </c>
      <c r="F39" s="2738">
        <v>850000</v>
      </c>
      <c r="G39" s="2738"/>
      <c r="H39" s="2738">
        <f t="shared" si="3"/>
        <v>850000</v>
      </c>
      <c r="I39" s="2738"/>
      <c r="J39" s="2738"/>
      <c r="K39" s="2738"/>
      <c r="L39" s="2743"/>
      <c r="M39" s="2738">
        <f>'[10]NFMA46 '!I47</f>
        <v>739800</v>
      </c>
      <c r="N39" s="2738">
        <f>'[10]NFMA46 '!L47</f>
        <v>0</v>
      </c>
      <c r="O39" s="2738">
        <f t="shared" si="4"/>
        <v>0</v>
      </c>
      <c r="P39" s="2739">
        <f>'[10]NFMA46 '!K47</f>
        <v>739800</v>
      </c>
      <c r="Q39" s="1715">
        <f t="shared" si="5"/>
        <v>100</v>
      </c>
      <c r="R39" s="1715">
        <f t="shared" si="6"/>
        <v>739800</v>
      </c>
      <c r="S39" s="1715">
        <f t="shared" si="7"/>
        <v>100</v>
      </c>
      <c r="T39" s="1715"/>
      <c r="U39" s="1715">
        <f t="shared" si="8"/>
        <v>0</v>
      </c>
      <c r="V39" s="2661"/>
    </row>
    <row r="40" spans="1:22" s="2662" customFormat="1" ht="129.75" customHeight="1">
      <c r="A40" s="2661">
        <v>31</v>
      </c>
      <c r="B40" s="2735" t="s">
        <v>5493</v>
      </c>
      <c r="C40" s="2740" t="s">
        <v>5494</v>
      </c>
      <c r="D40" s="2741" t="s">
        <v>5494</v>
      </c>
      <c r="E40" s="2742" t="s">
        <v>866</v>
      </c>
      <c r="F40" s="2738">
        <v>850000</v>
      </c>
      <c r="G40" s="2738"/>
      <c r="H40" s="2738">
        <f t="shared" si="3"/>
        <v>850000</v>
      </c>
      <c r="I40" s="2738"/>
      <c r="J40" s="2738"/>
      <c r="K40" s="2738"/>
      <c r="L40" s="2743"/>
      <c r="M40" s="2738">
        <f>'[10]NFMA46 '!I48</f>
        <v>739800</v>
      </c>
      <c r="N40" s="2738">
        <f>'[10]NFMA46 '!L48</f>
        <v>0</v>
      </c>
      <c r="O40" s="2738">
        <f t="shared" si="4"/>
        <v>0</v>
      </c>
      <c r="P40" s="2739">
        <f>'[10]NFMA46 '!K48</f>
        <v>739800</v>
      </c>
      <c r="Q40" s="1715">
        <f t="shared" si="5"/>
        <v>100</v>
      </c>
      <c r="R40" s="1715">
        <f t="shared" si="6"/>
        <v>739800</v>
      </c>
      <c r="S40" s="1715">
        <f t="shared" si="7"/>
        <v>100</v>
      </c>
      <c r="T40" s="1715"/>
      <c r="U40" s="1715">
        <f t="shared" si="8"/>
        <v>0</v>
      </c>
      <c r="V40" s="2661"/>
    </row>
    <row r="41" spans="1:22" s="2662" customFormat="1" ht="129.75" customHeight="1">
      <c r="A41" s="2661">
        <v>32</v>
      </c>
      <c r="B41" s="2735" t="s">
        <v>5495</v>
      </c>
      <c r="C41" s="2740" t="s">
        <v>5496</v>
      </c>
      <c r="D41" s="2741" t="s">
        <v>5496</v>
      </c>
      <c r="E41" s="2742" t="s">
        <v>866</v>
      </c>
      <c r="F41" s="2738">
        <v>850000</v>
      </c>
      <c r="G41" s="2738"/>
      <c r="H41" s="2738">
        <f t="shared" si="3"/>
        <v>850000</v>
      </c>
      <c r="I41" s="2738"/>
      <c r="J41" s="2738"/>
      <c r="K41" s="2738"/>
      <c r="L41" s="2743"/>
      <c r="M41" s="2738">
        <f>'[10]NFMA46 '!I49</f>
        <v>739800</v>
      </c>
      <c r="N41" s="2738">
        <f>'[10]NFMA46 '!L49</f>
        <v>0</v>
      </c>
      <c r="O41" s="2738">
        <f t="shared" si="4"/>
        <v>0</v>
      </c>
      <c r="P41" s="2739">
        <f>'[10]NFMA46 '!K49</f>
        <v>739800</v>
      </c>
      <c r="Q41" s="1715">
        <f t="shared" si="5"/>
        <v>100</v>
      </c>
      <c r="R41" s="1715">
        <f t="shared" si="6"/>
        <v>739800</v>
      </c>
      <c r="S41" s="1715">
        <f t="shared" si="7"/>
        <v>100</v>
      </c>
      <c r="T41" s="1715"/>
      <c r="U41" s="1715">
        <f t="shared" si="8"/>
        <v>0</v>
      </c>
      <c r="V41" s="2661"/>
    </row>
    <row r="42" spans="1:22" s="2662" customFormat="1" ht="129.75" customHeight="1">
      <c r="A42" s="2661">
        <v>33</v>
      </c>
      <c r="B42" s="2735" t="s">
        <v>5497</v>
      </c>
      <c r="C42" s="2740" t="s">
        <v>5498</v>
      </c>
      <c r="D42" s="2741" t="s">
        <v>5498</v>
      </c>
      <c r="E42" s="2742" t="s">
        <v>866</v>
      </c>
      <c r="F42" s="2738">
        <v>850000</v>
      </c>
      <c r="G42" s="2738"/>
      <c r="H42" s="2738">
        <f t="shared" si="3"/>
        <v>850000</v>
      </c>
      <c r="I42" s="2738"/>
      <c r="J42" s="2738"/>
      <c r="K42" s="2738"/>
      <c r="L42" s="2743"/>
      <c r="M42" s="2738">
        <f>'[10]NFMA46 '!I50</f>
        <v>739800</v>
      </c>
      <c r="N42" s="2738">
        <f>'[10]NFMA46 '!L50</f>
        <v>0</v>
      </c>
      <c r="O42" s="2738">
        <f t="shared" si="4"/>
        <v>0</v>
      </c>
      <c r="P42" s="2739">
        <f>'[10]NFMA46 '!K50</f>
        <v>739800</v>
      </c>
      <c r="Q42" s="1715">
        <f t="shared" si="5"/>
        <v>100</v>
      </c>
      <c r="R42" s="1715">
        <f t="shared" si="6"/>
        <v>739800</v>
      </c>
      <c r="S42" s="1715">
        <f t="shared" si="7"/>
        <v>100</v>
      </c>
      <c r="T42" s="1715"/>
      <c r="U42" s="1715">
        <f t="shared" si="8"/>
        <v>0</v>
      </c>
      <c r="V42" s="2661"/>
    </row>
    <row r="43" spans="1:22" s="2662" customFormat="1" ht="133.5" customHeight="1">
      <c r="A43" s="2661">
        <v>34</v>
      </c>
      <c r="B43" s="2735" t="s">
        <v>5499</v>
      </c>
      <c r="C43" s="2740" t="s">
        <v>5500</v>
      </c>
      <c r="D43" s="2741" t="s">
        <v>5500</v>
      </c>
      <c r="E43" s="2742" t="s">
        <v>866</v>
      </c>
      <c r="F43" s="2738">
        <v>850000</v>
      </c>
      <c r="G43" s="2738"/>
      <c r="H43" s="2738">
        <f t="shared" si="3"/>
        <v>850000</v>
      </c>
      <c r="I43" s="2738"/>
      <c r="J43" s="2738"/>
      <c r="K43" s="2738"/>
      <c r="L43" s="2743"/>
      <c r="M43" s="2738">
        <f>'[10]NFMA46 '!I51</f>
        <v>739800</v>
      </c>
      <c r="N43" s="2738">
        <f>'[10]NFMA46 '!L51</f>
        <v>0</v>
      </c>
      <c r="O43" s="2738">
        <f t="shared" si="4"/>
        <v>0</v>
      </c>
      <c r="P43" s="2739">
        <f>'[10]NFMA46 '!K51</f>
        <v>739800</v>
      </c>
      <c r="Q43" s="1715">
        <f t="shared" si="5"/>
        <v>100</v>
      </c>
      <c r="R43" s="1715">
        <f t="shared" si="6"/>
        <v>739800</v>
      </c>
      <c r="S43" s="1715">
        <f t="shared" si="7"/>
        <v>100</v>
      </c>
      <c r="T43" s="1715"/>
      <c r="U43" s="1715">
        <f t="shared" si="8"/>
        <v>0</v>
      </c>
      <c r="V43" s="2661"/>
    </row>
    <row r="44" spans="1:22" s="2662" customFormat="1" ht="133.5" customHeight="1">
      <c r="A44" s="2661">
        <v>35</v>
      </c>
      <c r="B44" s="2735" t="s">
        <v>5501</v>
      </c>
      <c r="C44" s="2740" t="s">
        <v>5502</v>
      </c>
      <c r="D44" s="2741" t="s">
        <v>5502</v>
      </c>
      <c r="E44" s="2742" t="s">
        <v>866</v>
      </c>
      <c r="F44" s="2738">
        <v>850000</v>
      </c>
      <c r="G44" s="2738"/>
      <c r="H44" s="2738">
        <f t="shared" si="3"/>
        <v>850000</v>
      </c>
      <c r="I44" s="2738"/>
      <c r="J44" s="2738"/>
      <c r="K44" s="2738"/>
      <c r="L44" s="2743"/>
      <c r="M44" s="2738">
        <f>'[10]NFMA46 '!I52</f>
        <v>739800</v>
      </c>
      <c r="N44" s="2738">
        <f>'[10]NFMA46 '!L52</f>
        <v>0</v>
      </c>
      <c r="O44" s="2738">
        <f t="shared" si="4"/>
        <v>0</v>
      </c>
      <c r="P44" s="2739">
        <f>'[10]NFMA46 '!K52</f>
        <v>739800</v>
      </c>
      <c r="Q44" s="1715">
        <f t="shared" si="5"/>
        <v>100</v>
      </c>
      <c r="R44" s="1715">
        <f t="shared" si="6"/>
        <v>739800</v>
      </c>
      <c r="S44" s="1715">
        <f t="shared" si="7"/>
        <v>100</v>
      </c>
      <c r="T44" s="1715"/>
      <c r="U44" s="1715">
        <f t="shared" si="8"/>
        <v>0</v>
      </c>
      <c r="V44" s="2661"/>
    </row>
    <row r="45" spans="1:22" s="2662" customFormat="1" ht="133.5" customHeight="1">
      <c r="A45" s="2661">
        <v>36</v>
      </c>
      <c r="B45" s="2735" t="s">
        <v>5503</v>
      </c>
      <c r="C45" s="2740" t="s">
        <v>5504</v>
      </c>
      <c r="D45" s="2741" t="s">
        <v>5504</v>
      </c>
      <c r="E45" s="2742" t="s">
        <v>866</v>
      </c>
      <c r="F45" s="2738">
        <v>850000</v>
      </c>
      <c r="G45" s="2738"/>
      <c r="H45" s="2738">
        <f t="shared" si="3"/>
        <v>850000</v>
      </c>
      <c r="I45" s="2738"/>
      <c r="J45" s="2738"/>
      <c r="K45" s="2738"/>
      <c r="L45" s="2743"/>
      <c r="M45" s="2738">
        <f>'[10]NFMA46 '!I53</f>
        <v>739800</v>
      </c>
      <c r="N45" s="2738">
        <f>'[10]NFMA46 '!L53</f>
        <v>0</v>
      </c>
      <c r="O45" s="2738">
        <f t="shared" si="4"/>
        <v>0</v>
      </c>
      <c r="P45" s="2739">
        <f>'[10]NFMA46 '!K53</f>
        <v>739800</v>
      </c>
      <c r="Q45" s="1715">
        <f t="shared" si="5"/>
        <v>100</v>
      </c>
      <c r="R45" s="1715">
        <f t="shared" si="6"/>
        <v>739800</v>
      </c>
      <c r="S45" s="1715">
        <f t="shared" si="7"/>
        <v>100</v>
      </c>
      <c r="T45" s="1715"/>
      <c r="U45" s="1715">
        <f t="shared" si="8"/>
        <v>0</v>
      </c>
      <c r="V45" s="2661"/>
    </row>
    <row r="46" spans="1:22" s="2662" customFormat="1" ht="133.5" customHeight="1">
      <c r="A46" s="2661">
        <v>37</v>
      </c>
      <c r="B46" s="2735" t="s">
        <v>5505</v>
      </c>
      <c r="C46" s="2740" t="s">
        <v>5506</v>
      </c>
      <c r="D46" s="2741" t="s">
        <v>5506</v>
      </c>
      <c r="E46" s="2742" t="s">
        <v>866</v>
      </c>
      <c r="F46" s="2738">
        <v>850000</v>
      </c>
      <c r="G46" s="2738"/>
      <c r="H46" s="2738">
        <f t="shared" si="3"/>
        <v>850000</v>
      </c>
      <c r="I46" s="2738"/>
      <c r="J46" s="2738"/>
      <c r="K46" s="2738"/>
      <c r="L46" s="2743"/>
      <c r="M46" s="2738">
        <f>'[10]NFMA46 '!I54</f>
        <v>739800</v>
      </c>
      <c r="N46" s="2738">
        <f>'[10]NFMA46 '!L54</f>
        <v>0</v>
      </c>
      <c r="O46" s="2738">
        <f t="shared" si="4"/>
        <v>0</v>
      </c>
      <c r="P46" s="2739">
        <f>'[10]NFMA46 '!K54</f>
        <v>739800</v>
      </c>
      <c r="Q46" s="1715">
        <f t="shared" si="5"/>
        <v>100</v>
      </c>
      <c r="R46" s="1715">
        <f t="shared" si="6"/>
        <v>739800</v>
      </c>
      <c r="S46" s="1715">
        <f t="shared" si="7"/>
        <v>100</v>
      </c>
      <c r="T46" s="1715"/>
      <c r="U46" s="1715">
        <f t="shared" si="8"/>
        <v>0</v>
      </c>
      <c r="V46" s="2661"/>
    </row>
    <row r="47" spans="1:22" s="2662" customFormat="1" ht="133.5" customHeight="1">
      <c r="A47" s="2661">
        <v>38</v>
      </c>
      <c r="B47" s="2735" t="s">
        <v>5507</v>
      </c>
      <c r="C47" s="2740" t="s">
        <v>5508</v>
      </c>
      <c r="D47" s="2741" t="s">
        <v>5508</v>
      </c>
      <c r="E47" s="2742" t="s">
        <v>866</v>
      </c>
      <c r="F47" s="2738">
        <v>850000</v>
      </c>
      <c r="G47" s="2738"/>
      <c r="H47" s="2738">
        <f t="shared" si="3"/>
        <v>850000</v>
      </c>
      <c r="I47" s="2738"/>
      <c r="J47" s="2738"/>
      <c r="K47" s="2738"/>
      <c r="L47" s="2743"/>
      <c r="M47" s="2738">
        <f>'[10]NFMA46 '!I55</f>
        <v>739800</v>
      </c>
      <c r="N47" s="2738">
        <f>'[10]NFMA46 '!L55</f>
        <v>0</v>
      </c>
      <c r="O47" s="2738">
        <f t="shared" si="4"/>
        <v>0</v>
      </c>
      <c r="P47" s="2739">
        <f>'[10]NFMA46 '!K55</f>
        <v>739800</v>
      </c>
      <c r="Q47" s="1715">
        <f t="shared" si="5"/>
        <v>100</v>
      </c>
      <c r="R47" s="1715">
        <f t="shared" si="6"/>
        <v>739800</v>
      </c>
      <c r="S47" s="1715">
        <f t="shared" si="7"/>
        <v>100</v>
      </c>
      <c r="T47" s="1715"/>
      <c r="U47" s="1715">
        <f t="shared" si="8"/>
        <v>0</v>
      </c>
      <c r="V47" s="2661"/>
    </row>
    <row r="48" spans="1:22" s="2662" customFormat="1" ht="133.5" customHeight="1">
      <c r="A48" s="2661">
        <v>39</v>
      </c>
      <c r="B48" s="2735" t="s">
        <v>5509</v>
      </c>
      <c r="C48" s="2740" t="s">
        <v>5510</v>
      </c>
      <c r="D48" s="2741" t="s">
        <v>5510</v>
      </c>
      <c r="E48" s="2742" t="s">
        <v>866</v>
      </c>
      <c r="F48" s="2738">
        <v>850000</v>
      </c>
      <c r="G48" s="2738"/>
      <c r="H48" s="2738">
        <f t="shared" si="3"/>
        <v>850000</v>
      </c>
      <c r="I48" s="2738"/>
      <c r="J48" s="2738"/>
      <c r="K48" s="2738"/>
      <c r="L48" s="2743"/>
      <c r="M48" s="2738">
        <f>'[10]NFMA46 '!I56</f>
        <v>739800</v>
      </c>
      <c r="N48" s="2738">
        <f>'[10]NFMA46 '!L56</f>
        <v>0</v>
      </c>
      <c r="O48" s="2738">
        <f t="shared" si="4"/>
        <v>0</v>
      </c>
      <c r="P48" s="2739">
        <f>'[10]NFMA46 '!K56</f>
        <v>739800</v>
      </c>
      <c r="Q48" s="1715">
        <f t="shared" si="5"/>
        <v>100</v>
      </c>
      <c r="R48" s="1715">
        <f t="shared" si="6"/>
        <v>739800</v>
      </c>
      <c r="S48" s="1715">
        <f t="shared" si="7"/>
        <v>100</v>
      </c>
      <c r="T48" s="1715"/>
      <c r="U48" s="1715">
        <f t="shared" si="8"/>
        <v>0</v>
      </c>
      <c r="V48" s="2661"/>
    </row>
    <row r="49" spans="1:22" s="2662" customFormat="1" ht="139.5" customHeight="1">
      <c r="A49" s="2661">
        <v>40</v>
      </c>
      <c r="B49" s="2735" t="s">
        <v>5511</v>
      </c>
      <c r="C49" s="2740" t="s">
        <v>5512</v>
      </c>
      <c r="D49" s="2741" t="s">
        <v>5512</v>
      </c>
      <c r="E49" s="2742" t="s">
        <v>866</v>
      </c>
      <c r="F49" s="2738">
        <v>850000</v>
      </c>
      <c r="G49" s="2738"/>
      <c r="H49" s="2738">
        <f t="shared" si="3"/>
        <v>850000</v>
      </c>
      <c r="I49" s="2738"/>
      <c r="J49" s="2738"/>
      <c r="K49" s="2738"/>
      <c r="L49" s="2743"/>
      <c r="M49" s="2738">
        <f>'[10]NFMA46 '!I57</f>
        <v>739800</v>
      </c>
      <c r="N49" s="2738">
        <f>'[10]NFMA46 '!L57</f>
        <v>0</v>
      </c>
      <c r="O49" s="2738">
        <f t="shared" si="4"/>
        <v>0</v>
      </c>
      <c r="P49" s="2739">
        <f>'[10]NFMA46 '!K57</f>
        <v>739800</v>
      </c>
      <c r="Q49" s="1715">
        <f t="shared" si="5"/>
        <v>100</v>
      </c>
      <c r="R49" s="1715">
        <f t="shared" si="6"/>
        <v>739800</v>
      </c>
      <c r="S49" s="1715">
        <f t="shared" si="7"/>
        <v>100</v>
      </c>
      <c r="T49" s="1715"/>
      <c r="U49" s="1715">
        <f t="shared" si="8"/>
        <v>0</v>
      </c>
      <c r="V49" s="2661"/>
    </row>
    <row r="50" spans="1:22" s="2662" customFormat="1" ht="139.5" customHeight="1">
      <c r="A50" s="2661">
        <v>41</v>
      </c>
      <c r="B50" s="2735" t="s">
        <v>5513</v>
      </c>
      <c r="C50" s="2740" t="s">
        <v>5514</v>
      </c>
      <c r="D50" s="2741" t="s">
        <v>5514</v>
      </c>
      <c r="E50" s="2742" t="s">
        <v>866</v>
      </c>
      <c r="F50" s="2738">
        <v>850000</v>
      </c>
      <c r="G50" s="2738"/>
      <c r="H50" s="2738">
        <f t="shared" si="3"/>
        <v>850000</v>
      </c>
      <c r="I50" s="2738"/>
      <c r="J50" s="2738"/>
      <c r="K50" s="2738"/>
      <c r="L50" s="2743"/>
      <c r="M50" s="2738">
        <f>'[10]NFMA46 '!I58</f>
        <v>739800</v>
      </c>
      <c r="N50" s="2738">
        <f>'[10]NFMA46 '!L58</f>
        <v>0</v>
      </c>
      <c r="O50" s="2738">
        <f t="shared" si="4"/>
        <v>0</v>
      </c>
      <c r="P50" s="2739">
        <f>'[10]NFMA46 '!K58</f>
        <v>739800</v>
      </c>
      <c r="Q50" s="1715">
        <f t="shared" si="5"/>
        <v>100</v>
      </c>
      <c r="R50" s="1715">
        <f t="shared" si="6"/>
        <v>739800</v>
      </c>
      <c r="S50" s="1715">
        <f t="shared" si="7"/>
        <v>100</v>
      </c>
      <c r="T50" s="1715"/>
      <c r="U50" s="1715">
        <f t="shared" si="8"/>
        <v>0</v>
      </c>
      <c r="V50" s="2661"/>
    </row>
    <row r="51" spans="1:22" s="2662" customFormat="1" ht="139.5" customHeight="1">
      <c r="A51" s="2661">
        <v>42</v>
      </c>
      <c r="B51" s="2735" t="s">
        <v>5515</v>
      </c>
      <c r="C51" s="2740" t="s">
        <v>5516</v>
      </c>
      <c r="D51" s="2741" t="s">
        <v>5516</v>
      </c>
      <c r="E51" s="2742" t="s">
        <v>866</v>
      </c>
      <c r="F51" s="2738">
        <v>850000</v>
      </c>
      <c r="G51" s="2738"/>
      <c r="H51" s="2738">
        <f t="shared" si="3"/>
        <v>850000</v>
      </c>
      <c r="I51" s="2738"/>
      <c r="J51" s="2738"/>
      <c r="K51" s="2738"/>
      <c r="L51" s="2743"/>
      <c r="M51" s="2738">
        <f>'[10]NFMA46 '!I59</f>
        <v>739800</v>
      </c>
      <c r="N51" s="2738">
        <f>'[10]NFMA46 '!L59</f>
        <v>0</v>
      </c>
      <c r="O51" s="2738">
        <f t="shared" si="4"/>
        <v>0</v>
      </c>
      <c r="P51" s="2739">
        <f>'[10]NFMA46 '!K59</f>
        <v>739800</v>
      </c>
      <c r="Q51" s="1715">
        <f t="shared" si="5"/>
        <v>100</v>
      </c>
      <c r="R51" s="1715">
        <f t="shared" si="6"/>
        <v>739800</v>
      </c>
      <c r="S51" s="1715">
        <f t="shared" si="7"/>
        <v>100</v>
      </c>
      <c r="T51" s="1715"/>
      <c r="U51" s="1715">
        <f t="shared" si="8"/>
        <v>0</v>
      </c>
      <c r="V51" s="2661"/>
    </row>
    <row r="52" spans="1:22" s="2662" customFormat="1" ht="139.5" customHeight="1">
      <c r="A52" s="2661">
        <v>43</v>
      </c>
      <c r="B52" s="2735" t="s">
        <v>5517</v>
      </c>
      <c r="C52" s="2740" t="s">
        <v>5518</v>
      </c>
      <c r="D52" s="2741" t="s">
        <v>5518</v>
      </c>
      <c r="E52" s="2742" t="s">
        <v>866</v>
      </c>
      <c r="F52" s="2738">
        <v>850000</v>
      </c>
      <c r="G52" s="2738"/>
      <c r="H52" s="2738">
        <f t="shared" si="3"/>
        <v>850000</v>
      </c>
      <c r="I52" s="2738"/>
      <c r="J52" s="2738"/>
      <c r="K52" s="2738"/>
      <c r="L52" s="2743"/>
      <c r="M52" s="2738">
        <f>'[10]NFMA46 '!I60</f>
        <v>739800</v>
      </c>
      <c r="N52" s="2738">
        <f>'[10]NFMA46 '!L60</f>
        <v>0</v>
      </c>
      <c r="O52" s="2738">
        <f t="shared" si="4"/>
        <v>0</v>
      </c>
      <c r="P52" s="2739">
        <f>'[10]NFMA46 '!K60</f>
        <v>739800</v>
      </c>
      <c r="Q52" s="1715">
        <f t="shared" si="5"/>
        <v>100</v>
      </c>
      <c r="R52" s="1715">
        <f t="shared" si="6"/>
        <v>739800</v>
      </c>
      <c r="S52" s="1715">
        <f t="shared" si="7"/>
        <v>100</v>
      </c>
      <c r="T52" s="1715"/>
      <c r="U52" s="1715">
        <f t="shared" si="8"/>
        <v>0</v>
      </c>
      <c r="V52" s="2661"/>
    </row>
    <row r="53" spans="1:22" s="2662" customFormat="1" ht="139.5" customHeight="1">
      <c r="A53" s="2661">
        <v>44</v>
      </c>
      <c r="B53" s="2735" t="s">
        <v>5519</v>
      </c>
      <c r="C53" s="2740" t="s">
        <v>5520</v>
      </c>
      <c r="D53" s="2741" t="s">
        <v>5520</v>
      </c>
      <c r="E53" s="2742" t="s">
        <v>866</v>
      </c>
      <c r="F53" s="2738">
        <v>850000</v>
      </c>
      <c r="G53" s="2738"/>
      <c r="H53" s="2738">
        <f t="shared" si="3"/>
        <v>850000</v>
      </c>
      <c r="I53" s="2738"/>
      <c r="J53" s="2738"/>
      <c r="K53" s="2738"/>
      <c r="L53" s="2743"/>
      <c r="M53" s="2738">
        <f>'[10]NFMA46 '!I61</f>
        <v>739800</v>
      </c>
      <c r="N53" s="2738">
        <f>'[10]NFMA46 '!L61</f>
        <v>0</v>
      </c>
      <c r="O53" s="2738">
        <f t="shared" si="4"/>
        <v>0</v>
      </c>
      <c r="P53" s="2739">
        <f>'[10]NFMA46 '!K61</f>
        <v>739800</v>
      </c>
      <c r="Q53" s="1715">
        <f t="shared" si="5"/>
        <v>100</v>
      </c>
      <c r="R53" s="1715">
        <f t="shared" si="6"/>
        <v>739800</v>
      </c>
      <c r="S53" s="1715">
        <f t="shared" si="7"/>
        <v>100</v>
      </c>
      <c r="T53" s="1715"/>
      <c r="U53" s="1715">
        <f t="shared" si="8"/>
        <v>0</v>
      </c>
      <c r="V53" s="2661"/>
    </row>
    <row r="54" spans="1:22" s="2662" customFormat="1" ht="139.5" customHeight="1">
      <c r="A54" s="2661">
        <v>45</v>
      </c>
      <c r="B54" s="2735" t="s">
        <v>5521</v>
      </c>
      <c r="C54" s="2740" t="s">
        <v>5522</v>
      </c>
      <c r="D54" s="2741" t="s">
        <v>5522</v>
      </c>
      <c r="E54" s="2742" t="s">
        <v>866</v>
      </c>
      <c r="F54" s="2738">
        <v>850000</v>
      </c>
      <c r="G54" s="2738"/>
      <c r="H54" s="2738">
        <f t="shared" si="3"/>
        <v>850000</v>
      </c>
      <c r="I54" s="2738"/>
      <c r="J54" s="2738"/>
      <c r="K54" s="2738"/>
      <c r="L54" s="2743"/>
      <c r="M54" s="2738">
        <f>'[10]NFMA46 '!I62</f>
        <v>739800</v>
      </c>
      <c r="N54" s="2738">
        <f>'[10]NFMA46 '!L62</f>
        <v>0</v>
      </c>
      <c r="O54" s="2738">
        <f t="shared" si="4"/>
        <v>0</v>
      </c>
      <c r="P54" s="2739">
        <f>'[10]NFMA46 '!K62</f>
        <v>739800</v>
      </c>
      <c r="Q54" s="1715">
        <f t="shared" si="5"/>
        <v>100</v>
      </c>
      <c r="R54" s="1715">
        <f t="shared" si="6"/>
        <v>739800</v>
      </c>
      <c r="S54" s="1715">
        <f t="shared" si="7"/>
        <v>100</v>
      </c>
      <c r="T54" s="1715"/>
      <c r="U54" s="1715">
        <f t="shared" si="8"/>
        <v>0</v>
      </c>
      <c r="V54" s="2661"/>
    </row>
    <row r="55" spans="1:22" s="2662" customFormat="1" ht="137.25" customHeight="1">
      <c r="A55" s="2661">
        <v>46</v>
      </c>
      <c r="B55" s="2735" t="s">
        <v>5523</v>
      </c>
      <c r="C55" s="2740" t="s">
        <v>5524</v>
      </c>
      <c r="D55" s="2741" t="s">
        <v>5524</v>
      </c>
      <c r="E55" s="2742" t="s">
        <v>866</v>
      </c>
      <c r="F55" s="2738">
        <v>850000</v>
      </c>
      <c r="G55" s="2738"/>
      <c r="H55" s="2738">
        <f t="shared" si="3"/>
        <v>850000</v>
      </c>
      <c r="I55" s="2738"/>
      <c r="J55" s="2738"/>
      <c r="K55" s="2738"/>
      <c r="L55" s="2743"/>
      <c r="M55" s="2738">
        <f>'[10]NFMA46 '!I63</f>
        <v>739800</v>
      </c>
      <c r="N55" s="2738">
        <f>'[10]NFMA46 '!L63</f>
        <v>0</v>
      </c>
      <c r="O55" s="2738">
        <f t="shared" si="4"/>
        <v>0</v>
      </c>
      <c r="P55" s="2739">
        <f>'[10]NFMA46 '!K63</f>
        <v>739800</v>
      </c>
      <c r="Q55" s="1715">
        <f t="shared" si="5"/>
        <v>100</v>
      </c>
      <c r="R55" s="1715">
        <f t="shared" si="6"/>
        <v>739800</v>
      </c>
      <c r="S55" s="1715">
        <f t="shared" si="7"/>
        <v>100</v>
      </c>
      <c r="T55" s="1715"/>
      <c r="U55" s="1715">
        <f t="shared" si="8"/>
        <v>0</v>
      </c>
      <c r="V55" s="2661"/>
    </row>
    <row r="56" spans="1:22" s="2662" customFormat="1" ht="137.25" customHeight="1">
      <c r="A56" s="2661">
        <v>47</v>
      </c>
      <c r="B56" s="2735" t="s">
        <v>5525</v>
      </c>
      <c r="C56" s="2740" t="s">
        <v>5526</v>
      </c>
      <c r="D56" s="2741" t="s">
        <v>5526</v>
      </c>
      <c r="E56" s="2742" t="s">
        <v>866</v>
      </c>
      <c r="F56" s="2738">
        <v>850000</v>
      </c>
      <c r="G56" s="2738"/>
      <c r="H56" s="2738">
        <f t="shared" si="3"/>
        <v>850000</v>
      </c>
      <c r="I56" s="2738"/>
      <c r="J56" s="2738"/>
      <c r="K56" s="2738"/>
      <c r="L56" s="2743"/>
      <c r="M56" s="2738">
        <f>'[10]NFMA46 '!I64</f>
        <v>739800</v>
      </c>
      <c r="N56" s="2738">
        <f>'[10]NFMA46 '!L64</f>
        <v>0</v>
      </c>
      <c r="O56" s="2738">
        <f t="shared" si="4"/>
        <v>0</v>
      </c>
      <c r="P56" s="2739">
        <f>'[10]NFMA46 '!K64</f>
        <v>739800</v>
      </c>
      <c r="Q56" s="1715">
        <f t="shared" si="5"/>
        <v>100</v>
      </c>
      <c r="R56" s="1715">
        <f t="shared" si="6"/>
        <v>739800</v>
      </c>
      <c r="S56" s="1715">
        <f t="shared" si="7"/>
        <v>100</v>
      </c>
      <c r="T56" s="1715"/>
      <c r="U56" s="1715">
        <f t="shared" si="8"/>
        <v>0</v>
      </c>
      <c r="V56" s="2661"/>
    </row>
    <row r="57" spans="1:22" s="2662" customFormat="1" ht="137.25" customHeight="1">
      <c r="A57" s="2661">
        <v>48</v>
      </c>
      <c r="B57" s="2735" t="s">
        <v>5527</v>
      </c>
      <c r="C57" s="2740" t="s">
        <v>5528</v>
      </c>
      <c r="D57" s="2741" t="s">
        <v>5528</v>
      </c>
      <c r="E57" s="2742" t="s">
        <v>866</v>
      </c>
      <c r="F57" s="2738">
        <v>850000</v>
      </c>
      <c r="G57" s="2738"/>
      <c r="H57" s="2738">
        <f t="shared" si="3"/>
        <v>850000</v>
      </c>
      <c r="I57" s="2738"/>
      <c r="J57" s="2738"/>
      <c r="K57" s="2738"/>
      <c r="L57" s="2743"/>
      <c r="M57" s="2738">
        <f>'[10]NFMA46 '!I65</f>
        <v>739800</v>
      </c>
      <c r="N57" s="2738">
        <f>'[10]NFMA46 '!L65</f>
        <v>0</v>
      </c>
      <c r="O57" s="2738">
        <f t="shared" si="4"/>
        <v>0</v>
      </c>
      <c r="P57" s="2739">
        <f>'[10]NFMA46 '!K65</f>
        <v>739800</v>
      </c>
      <c r="Q57" s="1715">
        <f t="shared" si="5"/>
        <v>100</v>
      </c>
      <c r="R57" s="1715">
        <f t="shared" si="6"/>
        <v>739800</v>
      </c>
      <c r="S57" s="1715">
        <f t="shared" si="7"/>
        <v>100</v>
      </c>
      <c r="T57" s="1715"/>
      <c r="U57" s="1715">
        <f t="shared" si="8"/>
        <v>0</v>
      </c>
      <c r="V57" s="2661"/>
    </row>
    <row r="58" spans="1:22" s="2662" customFormat="1" ht="137.25" customHeight="1">
      <c r="A58" s="2661">
        <v>49</v>
      </c>
      <c r="B58" s="2735" t="s">
        <v>5529</v>
      </c>
      <c r="C58" s="2740" t="s">
        <v>5530</v>
      </c>
      <c r="D58" s="2741" t="s">
        <v>5530</v>
      </c>
      <c r="E58" s="2742" t="s">
        <v>866</v>
      </c>
      <c r="F58" s="2738">
        <v>850000</v>
      </c>
      <c r="G58" s="2738"/>
      <c r="H58" s="2738">
        <f t="shared" si="3"/>
        <v>850000</v>
      </c>
      <c r="I58" s="2738"/>
      <c r="J58" s="2738"/>
      <c r="K58" s="2738"/>
      <c r="L58" s="2743"/>
      <c r="M58" s="2738">
        <f>'[10]NFMA46 '!I66</f>
        <v>739800</v>
      </c>
      <c r="N58" s="2738">
        <f>'[10]NFMA46 '!L66</f>
        <v>0</v>
      </c>
      <c r="O58" s="2738">
        <f t="shared" si="4"/>
        <v>0</v>
      </c>
      <c r="P58" s="2739">
        <f>'[10]NFMA46 '!K66</f>
        <v>739800</v>
      </c>
      <c r="Q58" s="1715">
        <f t="shared" si="5"/>
        <v>100</v>
      </c>
      <c r="R58" s="1715">
        <f t="shared" si="6"/>
        <v>739800</v>
      </c>
      <c r="S58" s="1715">
        <f t="shared" si="7"/>
        <v>100</v>
      </c>
      <c r="T58" s="1715"/>
      <c r="U58" s="1715">
        <f t="shared" si="8"/>
        <v>0</v>
      </c>
      <c r="V58" s="2661"/>
    </row>
    <row r="59" spans="1:22" s="2662" customFormat="1" ht="137.25" customHeight="1">
      <c r="A59" s="2661">
        <v>50</v>
      </c>
      <c r="B59" s="2735" t="s">
        <v>5531</v>
      </c>
      <c r="C59" s="2740" t="s">
        <v>5532</v>
      </c>
      <c r="D59" s="2741" t="s">
        <v>5532</v>
      </c>
      <c r="E59" s="2742" t="s">
        <v>866</v>
      </c>
      <c r="F59" s="2738">
        <v>850000</v>
      </c>
      <c r="G59" s="2738"/>
      <c r="H59" s="2738">
        <f t="shared" si="3"/>
        <v>850000</v>
      </c>
      <c r="I59" s="2738"/>
      <c r="J59" s="2738"/>
      <c r="K59" s="2738"/>
      <c r="L59" s="2743"/>
      <c r="M59" s="2738">
        <f>'[10]NFMA46 '!I67</f>
        <v>739800</v>
      </c>
      <c r="N59" s="2738">
        <f>'[10]NFMA46 '!L67</f>
        <v>0</v>
      </c>
      <c r="O59" s="2738">
        <f t="shared" si="4"/>
        <v>0</v>
      </c>
      <c r="P59" s="2739">
        <f>'[10]NFMA46 '!K67</f>
        <v>739800</v>
      </c>
      <c r="Q59" s="1715">
        <f t="shared" si="5"/>
        <v>100</v>
      </c>
      <c r="R59" s="1715">
        <f t="shared" si="6"/>
        <v>739800</v>
      </c>
      <c r="S59" s="1715">
        <f t="shared" si="7"/>
        <v>100</v>
      </c>
      <c r="T59" s="1715"/>
      <c r="U59" s="1715">
        <f t="shared" si="8"/>
        <v>0</v>
      </c>
      <c r="V59" s="2661"/>
    </row>
    <row r="60" spans="1:22" s="2662" customFormat="1" ht="137.25" customHeight="1">
      <c r="A60" s="2661">
        <v>51</v>
      </c>
      <c r="B60" s="2735" t="s">
        <v>5533</v>
      </c>
      <c r="C60" s="2740" t="s">
        <v>5534</v>
      </c>
      <c r="D60" s="2741" t="s">
        <v>5534</v>
      </c>
      <c r="E60" s="2742" t="s">
        <v>866</v>
      </c>
      <c r="F60" s="2738">
        <v>850000</v>
      </c>
      <c r="G60" s="2738"/>
      <c r="H60" s="2738">
        <f t="shared" si="3"/>
        <v>850000</v>
      </c>
      <c r="I60" s="2738"/>
      <c r="J60" s="2738"/>
      <c r="K60" s="2738"/>
      <c r="L60" s="2743"/>
      <c r="M60" s="2738">
        <f>'[10]NFMA46 '!I68</f>
        <v>739800</v>
      </c>
      <c r="N60" s="2738">
        <f>'[10]NFMA46 '!L68</f>
        <v>0</v>
      </c>
      <c r="O60" s="2738">
        <f t="shared" si="4"/>
        <v>0</v>
      </c>
      <c r="P60" s="2739">
        <f>'[10]NFMA46 '!K68</f>
        <v>739800</v>
      </c>
      <c r="Q60" s="1715">
        <f t="shared" si="5"/>
        <v>100</v>
      </c>
      <c r="R60" s="1715">
        <f t="shared" si="6"/>
        <v>739800</v>
      </c>
      <c r="S60" s="1715">
        <f t="shared" si="7"/>
        <v>100</v>
      </c>
      <c r="T60" s="1715"/>
      <c r="U60" s="1715">
        <f t="shared" si="8"/>
        <v>0</v>
      </c>
      <c r="V60" s="2661"/>
    </row>
    <row r="61" spans="1:22" s="2662" customFormat="1" ht="129.75" customHeight="1">
      <c r="A61" s="2661">
        <v>52</v>
      </c>
      <c r="B61" s="2735" t="s">
        <v>5535</v>
      </c>
      <c r="C61" s="2740" t="s">
        <v>5536</v>
      </c>
      <c r="D61" s="2741" t="s">
        <v>5536</v>
      </c>
      <c r="E61" s="2742" t="s">
        <v>866</v>
      </c>
      <c r="F61" s="2738">
        <v>850000</v>
      </c>
      <c r="G61" s="2738"/>
      <c r="H61" s="2738">
        <f t="shared" si="3"/>
        <v>850000</v>
      </c>
      <c r="I61" s="2738"/>
      <c r="J61" s="2738"/>
      <c r="K61" s="2738"/>
      <c r="L61" s="2743"/>
      <c r="M61" s="2738">
        <f>'[10]NFMA46 '!I69</f>
        <v>739800</v>
      </c>
      <c r="N61" s="2738">
        <f>'[10]NFMA46 '!L69</f>
        <v>0</v>
      </c>
      <c r="O61" s="2738">
        <f t="shared" si="4"/>
        <v>0</v>
      </c>
      <c r="P61" s="2739">
        <f>'[10]NFMA46 '!K69</f>
        <v>739800</v>
      </c>
      <c r="Q61" s="1715">
        <f t="shared" si="5"/>
        <v>100</v>
      </c>
      <c r="R61" s="1715">
        <f t="shared" si="6"/>
        <v>739800</v>
      </c>
      <c r="S61" s="1715">
        <f t="shared" si="7"/>
        <v>100</v>
      </c>
      <c r="T61" s="1715"/>
      <c r="U61" s="1715">
        <f t="shared" si="8"/>
        <v>0</v>
      </c>
      <c r="V61" s="2661"/>
    </row>
    <row r="62" spans="1:22" s="2662" customFormat="1" ht="129.75" customHeight="1">
      <c r="A62" s="2661">
        <v>53</v>
      </c>
      <c r="B62" s="2735" t="s">
        <v>5537</v>
      </c>
      <c r="C62" s="2740" t="s">
        <v>5538</v>
      </c>
      <c r="D62" s="2741" t="s">
        <v>5538</v>
      </c>
      <c r="E62" s="2742" t="s">
        <v>866</v>
      </c>
      <c r="F62" s="2738">
        <v>850000</v>
      </c>
      <c r="G62" s="2738"/>
      <c r="H62" s="2738">
        <f t="shared" si="3"/>
        <v>850000</v>
      </c>
      <c r="I62" s="2738"/>
      <c r="J62" s="2738"/>
      <c r="K62" s="2738"/>
      <c r="L62" s="2743"/>
      <c r="M62" s="2738">
        <f>'[10]NFMA46 '!I70</f>
        <v>739800</v>
      </c>
      <c r="N62" s="2738">
        <f>'[10]NFMA46 '!L70</f>
        <v>0</v>
      </c>
      <c r="O62" s="2738">
        <f t="shared" si="4"/>
        <v>0</v>
      </c>
      <c r="P62" s="2739">
        <f>'[10]NFMA46 '!K70</f>
        <v>739800</v>
      </c>
      <c r="Q62" s="1715">
        <f t="shared" si="5"/>
        <v>100</v>
      </c>
      <c r="R62" s="1715">
        <f t="shared" si="6"/>
        <v>739800</v>
      </c>
      <c r="S62" s="1715">
        <f t="shared" si="7"/>
        <v>100</v>
      </c>
      <c r="T62" s="1715"/>
      <c r="U62" s="1715">
        <f t="shared" si="8"/>
        <v>0</v>
      </c>
      <c r="V62" s="2661"/>
    </row>
    <row r="63" spans="1:22" s="2662" customFormat="1" ht="129.75" customHeight="1">
      <c r="A63" s="2661">
        <v>54</v>
      </c>
      <c r="B63" s="2735" t="s">
        <v>5539</v>
      </c>
      <c r="C63" s="2740" t="s">
        <v>5540</v>
      </c>
      <c r="D63" s="2741" t="s">
        <v>5540</v>
      </c>
      <c r="E63" s="2742" t="s">
        <v>866</v>
      </c>
      <c r="F63" s="2738">
        <v>850000</v>
      </c>
      <c r="G63" s="2738"/>
      <c r="H63" s="2738">
        <f t="shared" si="3"/>
        <v>850000</v>
      </c>
      <c r="I63" s="2738"/>
      <c r="J63" s="2738"/>
      <c r="K63" s="2738"/>
      <c r="L63" s="2743"/>
      <c r="M63" s="2738">
        <f>'[10]NFMA46 '!I71</f>
        <v>739800</v>
      </c>
      <c r="N63" s="2738">
        <f>'[10]NFMA46 '!L71</f>
        <v>0</v>
      </c>
      <c r="O63" s="2738">
        <f t="shared" si="4"/>
        <v>0</v>
      </c>
      <c r="P63" s="2739">
        <f>'[10]NFMA46 '!K71</f>
        <v>739800</v>
      </c>
      <c r="Q63" s="1715">
        <f t="shared" si="5"/>
        <v>100</v>
      </c>
      <c r="R63" s="1715">
        <f t="shared" si="6"/>
        <v>739800</v>
      </c>
      <c r="S63" s="1715">
        <f t="shared" si="7"/>
        <v>100</v>
      </c>
      <c r="T63" s="1715"/>
      <c r="U63" s="1715">
        <f t="shared" si="8"/>
        <v>0</v>
      </c>
      <c r="V63" s="2661"/>
    </row>
    <row r="64" spans="1:22" s="2662" customFormat="1" ht="129.75" customHeight="1">
      <c r="A64" s="2661">
        <v>55</v>
      </c>
      <c r="B64" s="2735" t="s">
        <v>5541</v>
      </c>
      <c r="C64" s="2740" t="s">
        <v>5542</v>
      </c>
      <c r="D64" s="2741" t="s">
        <v>5542</v>
      </c>
      <c r="E64" s="2742" t="s">
        <v>866</v>
      </c>
      <c r="F64" s="2738">
        <v>850000</v>
      </c>
      <c r="G64" s="2738"/>
      <c r="H64" s="2738">
        <f t="shared" si="3"/>
        <v>850000</v>
      </c>
      <c r="I64" s="2738"/>
      <c r="J64" s="2738"/>
      <c r="K64" s="2738"/>
      <c r="L64" s="2743"/>
      <c r="M64" s="2738">
        <f>'[10]NFMA46 '!I72</f>
        <v>739800</v>
      </c>
      <c r="N64" s="2738">
        <f>'[10]NFMA46 '!L72</f>
        <v>0</v>
      </c>
      <c r="O64" s="2738">
        <f t="shared" si="4"/>
        <v>0</v>
      </c>
      <c r="P64" s="2739">
        <f>'[10]NFMA46 '!K72</f>
        <v>739800</v>
      </c>
      <c r="Q64" s="1715">
        <f t="shared" si="5"/>
        <v>100</v>
      </c>
      <c r="R64" s="1715">
        <f t="shared" si="6"/>
        <v>739800</v>
      </c>
      <c r="S64" s="1715">
        <f t="shared" si="7"/>
        <v>100</v>
      </c>
      <c r="T64" s="1715"/>
      <c r="U64" s="1715">
        <f t="shared" si="8"/>
        <v>0</v>
      </c>
      <c r="V64" s="2661"/>
    </row>
    <row r="65" spans="1:22" s="2662" customFormat="1" ht="129.75" customHeight="1">
      <c r="A65" s="2661">
        <v>56</v>
      </c>
      <c r="B65" s="2735" t="s">
        <v>5543</v>
      </c>
      <c r="C65" s="2740" t="s">
        <v>5544</v>
      </c>
      <c r="D65" s="2741" t="s">
        <v>5544</v>
      </c>
      <c r="E65" s="2742" t="s">
        <v>866</v>
      </c>
      <c r="F65" s="2738">
        <v>850000</v>
      </c>
      <c r="G65" s="2738"/>
      <c r="H65" s="2738">
        <f t="shared" si="3"/>
        <v>850000</v>
      </c>
      <c r="I65" s="2738"/>
      <c r="J65" s="2738"/>
      <c r="K65" s="2738"/>
      <c r="L65" s="2743"/>
      <c r="M65" s="2738">
        <f>'[10]NFMA46 '!I73</f>
        <v>739800</v>
      </c>
      <c r="N65" s="2738">
        <f>'[10]NFMA46 '!L73</f>
        <v>0</v>
      </c>
      <c r="O65" s="2738">
        <f t="shared" si="4"/>
        <v>0</v>
      </c>
      <c r="P65" s="2739">
        <f>'[10]NFMA46 '!K73</f>
        <v>739800</v>
      </c>
      <c r="Q65" s="1715">
        <f t="shared" si="5"/>
        <v>100</v>
      </c>
      <c r="R65" s="1715">
        <f t="shared" si="6"/>
        <v>739800</v>
      </c>
      <c r="S65" s="1715">
        <f t="shared" si="7"/>
        <v>100</v>
      </c>
      <c r="T65" s="1715"/>
      <c r="U65" s="1715">
        <f t="shared" si="8"/>
        <v>0</v>
      </c>
      <c r="V65" s="2661"/>
    </row>
    <row r="66" spans="1:22" s="2662" customFormat="1" ht="129.75" customHeight="1">
      <c r="A66" s="2661">
        <v>57</v>
      </c>
      <c r="B66" s="2735" t="s">
        <v>5545</v>
      </c>
      <c r="C66" s="2740" t="s">
        <v>5546</v>
      </c>
      <c r="D66" s="2741" t="s">
        <v>5546</v>
      </c>
      <c r="E66" s="2742" t="s">
        <v>866</v>
      </c>
      <c r="F66" s="2738">
        <v>850000</v>
      </c>
      <c r="G66" s="2738"/>
      <c r="H66" s="2738">
        <f t="shared" si="3"/>
        <v>850000</v>
      </c>
      <c r="I66" s="2738"/>
      <c r="J66" s="2738"/>
      <c r="K66" s="2738"/>
      <c r="L66" s="2743"/>
      <c r="M66" s="2738">
        <f>'[10]NFMA46 '!I74</f>
        <v>739800</v>
      </c>
      <c r="N66" s="2738">
        <f>'[10]NFMA46 '!L74</f>
        <v>0</v>
      </c>
      <c r="O66" s="2738">
        <f t="shared" si="4"/>
        <v>0</v>
      </c>
      <c r="P66" s="2739">
        <f>'[10]NFMA46 '!K74</f>
        <v>739800</v>
      </c>
      <c r="Q66" s="1715">
        <f t="shared" si="5"/>
        <v>100</v>
      </c>
      <c r="R66" s="1715">
        <f t="shared" si="6"/>
        <v>739800</v>
      </c>
      <c r="S66" s="1715">
        <f t="shared" si="7"/>
        <v>100</v>
      </c>
      <c r="T66" s="1715"/>
      <c r="U66" s="1715">
        <f t="shared" si="8"/>
        <v>0</v>
      </c>
      <c r="V66" s="2661"/>
    </row>
    <row r="67" spans="1:22" s="2662" customFormat="1" ht="137.25" customHeight="1">
      <c r="A67" s="2661">
        <v>58</v>
      </c>
      <c r="B67" s="2735" t="s">
        <v>5547</v>
      </c>
      <c r="C67" s="2740" t="s">
        <v>5548</v>
      </c>
      <c r="D67" s="2741" t="s">
        <v>5548</v>
      </c>
      <c r="E67" s="2742" t="s">
        <v>866</v>
      </c>
      <c r="F67" s="2738">
        <v>850000</v>
      </c>
      <c r="G67" s="2738"/>
      <c r="H67" s="2738">
        <f t="shared" si="3"/>
        <v>850000</v>
      </c>
      <c r="I67" s="2738"/>
      <c r="J67" s="2738"/>
      <c r="K67" s="2738"/>
      <c r="L67" s="2743"/>
      <c r="M67" s="2738">
        <f>'[10]NFMA46 '!I75</f>
        <v>739800</v>
      </c>
      <c r="N67" s="2738">
        <f>'[10]NFMA46 '!L75</f>
        <v>0</v>
      </c>
      <c r="O67" s="2738">
        <f t="shared" si="4"/>
        <v>0</v>
      </c>
      <c r="P67" s="2739">
        <f>'[10]NFMA46 '!K75</f>
        <v>739800</v>
      </c>
      <c r="Q67" s="1715">
        <f t="shared" si="5"/>
        <v>100</v>
      </c>
      <c r="R67" s="1715">
        <f t="shared" si="6"/>
        <v>739800</v>
      </c>
      <c r="S67" s="1715">
        <f t="shared" si="7"/>
        <v>100</v>
      </c>
      <c r="T67" s="1715"/>
      <c r="U67" s="1715">
        <f t="shared" si="8"/>
        <v>0</v>
      </c>
      <c r="V67" s="2661"/>
    </row>
    <row r="68" spans="1:22" s="2662" customFormat="1" ht="137.25" customHeight="1">
      <c r="A68" s="2661">
        <v>59</v>
      </c>
      <c r="B68" s="2735" t="s">
        <v>5549</v>
      </c>
      <c r="C68" s="2740" t="s">
        <v>5550</v>
      </c>
      <c r="D68" s="2741" t="s">
        <v>5550</v>
      </c>
      <c r="E68" s="2742" t="s">
        <v>866</v>
      </c>
      <c r="F68" s="2738">
        <v>850000</v>
      </c>
      <c r="G68" s="2738"/>
      <c r="H68" s="2738">
        <f t="shared" si="3"/>
        <v>850000</v>
      </c>
      <c r="I68" s="2738"/>
      <c r="J68" s="2738"/>
      <c r="K68" s="2738"/>
      <c r="L68" s="2743"/>
      <c r="M68" s="2738">
        <f>'[10]NFMA46 '!I76</f>
        <v>739800</v>
      </c>
      <c r="N68" s="2738">
        <f>'[10]NFMA46 '!L76</f>
        <v>0</v>
      </c>
      <c r="O68" s="2738">
        <f t="shared" si="4"/>
        <v>0</v>
      </c>
      <c r="P68" s="2739">
        <f>'[10]NFMA46 '!K76</f>
        <v>739800</v>
      </c>
      <c r="Q68" s="1715">
        <f t="shared" si="5"/>
        <v>100</v>
      </c>
      <c r="R68" s="1715">
        <f t="shared" si="6"/>
        <v>739800</v>
      </c>
      <c r="S68" s="1715">
        <f t="shared" si="7"/>
        <v>100</v>
      </c>
      <c r="T68" s="1715"/>
      <c r="U68" s="1715">
        <f t="shared" si="8"/>
        <v>0</v>
      </c>
      <c r="V68" s="2661"/>
    </row>
    <row r="69" spans="1:22" s="2662" customFormat="1" ht="137.25" customHeight="1">
      <c r="A69" s="2661">
        <v>60</v>
      </c>
      <c r="B69" s="2735" t="s">
        <v>5551</v>
      </c>
      <c r="C69" s="2740" t="s">
        <v>5552</v>
      </c>
      <c r="D69" s="2741" t="s">
        <v>5552</v>
      </c>
      <c r="E69" s="2742" t="s">
        <v>866</v>
      </c>
      <c r="F69" s="2738">
        <v>850000</v>
      </c>
      <c r="G69" s="2738"/>
      <c r="H69" s="2738">
        <f t="shared" si="3"/>
        <v>850000</v>
      </c>
      <c r="I69" s="2738"/>
      <c r="J69" s="2738"/>
      <c r="K69" s="2738"/>
      <c r="L69" s="2743"/>
      <c r="M69" s="2738">
        <f>'[10]NFMA46 '!I77</f>
        <v>739800</v>
      </c>
      <c r="N69" s="2738">
        <f>'[10]NFMA46 '!L77</f>
        <v>0</v>
      </c>
      <c r="O69" s="2738">
        <f t="shared" si="4"/>
        <v>0</v>
      </c>
      <c r="P69" s="2739">
        <f>'[10]NFMA46 '!K77</f>
        <v>739800</v>
      </c>
      <c r="Q69" s="1715">
        <f t="shared" si="5"/>
        <v>100</v>
      </c>
      <c r="R69" s="1715">
        <f t="shared" si="6"/>
        <v>739800</v>
      </c>
      <c r="S69" s="1715">
        <f t="shared" si="7"/>
        <v>100</v>
      </c>
      <c r="T69" s="1715"/>
      <c r="U69" s="1715">
        <f t="shared" si="8"/>
        <v>0</v>
      </c>
      <c r="V69" s="2661"/>
    </row>
    <row r="70" spans="1:22" s="2662" customFormat="1" ht="137.25" customHeight="1">
      <c r="A70" s="2661">
        <v>61</v>
      </c>
      <c r="B70" s="2735" t="s">
        <v>5553</v>
      </c>
      <c r="C70" s="2740" t="s">
        <v>5554</v>
      </c>
      <c r="D70" s="2741" t="s">
        <v>5554</v>
      </c>
      <c r="E70" s="2742" t="s">
        <v>866</v>
      </c>
      <c r="F70" s="2738">
        <v>850000</v>
      </c>
      <c r="G70" s="2738"/>
      <c r="H70" s="2738">
        <f t="shared" si="3"/>
        <v>850000</v>
      </c>
      <c r="I70" s="2738"/>
      <c r="J70" s="2738"/>
      <c r="K70" s="2738"/>
      <c r="L70" s="2743"/>
      <c r="M70" s="2738">
        <f>'[10]NFMA46 '!I78</f>
        <v>739800</v>
      </c>
      <c r="N70" s="2738">
        <f>'[10]NFMA46 '!L78</f>
        <v>0</v>
      </c>
      <c r="O70" s="2738">
        <f t="shared" si="4"/>
        <v>0</v>
      </c>
      <c r="P70" s="2739">
        <f>'[10]NFMA46 '!K78</f>
        <v>739800</v>
      </c>
      <c r="Q70" s="1715">
        <f t="shared" si="5"/>
        <v>100</v>
      </c>
      <c r="R70" s="1715">
        <f t="shared" si="6"/>
        <v>739800</v>
      </c>
      <c r="S70" s="1715">
        <f t="shared" si="7"/>
        <v>100</v>
      </c>
      <c r="T70" s="1715"/>
      <c r="U70" s="1715">
        <f t="shared" si="8"/>
        <v>0</v>
      </c>
      <c r="V70" s="2661"/>
    </row>
    <row r="71" spans="1:22" s="2662" customFormat="1" ht="137.25" customHeight="1">
      <c r="A71" s="2661">
        <v>62</v>
      </c>
      <c r="B71" s="2735" t="s">
        <v>5555</v>
      </c>
      <c r="C71" s="2740" t="s">
        <v>5556</v>
      </c>
      <c r="D71" s="2741" t="s">
        <v>5556</v>
      </c>
      <c r="E71" s="2742" t="s">
        <v>866</v>
      </c>
      <c r="F71" s="2738">
        <v>850000</v>
      </c>
      <c r="G71" s="2738"/>
      <c r="H71" s="2738">
        <f t="shared" si="3"/>
        <v>850000</v>
      </c>
      <c r="I71" s="2738"/>
      <c r="J71" s="2738"/>
      <c r="K71" s="2738"/>
      <c r="L71" s="2743"/>
      <c r="M71" s="2738">
        <f>'[10]NFMA46 '!I79</f>
        <v>739800</v>
      </c>
      <c r="N71" s="2738">
        <f>'[10]NFMA46 '!L79</f>
        <v>0</v>
      </c>
      <c r="O71" s="2738">
        <f t="shared" si="4"/>
        <v>0</v>
      </c>
      <c r="P71" s="2739">
        <f>'[10]NFMA46 '!K79</f>
        <v>739800</v>
      </c>
      <c r="Q71" s="1715">
        <f t="shared" si="5"/>
        <v>100</v>
      </c>
      <c r="R71" s="1715">
        <f t="shared" si="6"/>
        <v>739800</v>
      </c>
      <c r="S71" s="1715">
        <f t="shared" si="7"/>
        <v>100</v>
      </c>
      <c r="T71" s="1715"/>
      <c r="U71" s="1715">
        <f t="shared" si="8"/>
        <v>0</v>
      </c>
      <c r="V71" s="2661"/>
    </row>
    <row r="72" spans="1:22" s="2662" customFormat="1" ht="137.25" customHeight="1">
      <c r="A72" s="2661">
        <v>63</v>
      </c>
      <c r="B72" s="2735" t="s">
        <v>5557</v>
      </c>
      <c r="C72" s="2740" t="s">
        <v>5558</v>
      </c>
      <c r="D72" s="2741" t="s">
        <v>5558</v>
      </c>
      <c r="E72" s="2742" t="s">
        <v>866</v>
      </c>
      <c r="F72" s="2738">
        <v>850000</v>
      </c>
      <c r="G72" s="2738"/>
      <c r="H72" s="2738">
        <f t="shared" si="3"/>
        <v>850000</v>
      </c>
      <c r="I72" s="2738"/>
      <c r="J72" s="2738"/>
      <c r="K72" s="2738"/>
      <c r="L72" s="2743"/>
      <c r="M72" s="2738">
        <f>'[10]NFMA46 '!I80</f>
        <v>739800</v>
      </c>
      <c r="N72" s="2738">
        <f>'[10]NFMA46 '!L80</f>
        <v>0</v>
      </c>
      <c r="O72" s="2738">
        <f t="shared" si="4"/>
        <v>0</v>
      </c>
      <c r="P72" s="2739">
        <f>'[10]NFMA46 '!K80</f>
        <v>739800</v>
      </c>
      <c r="Q72" s="1715">
        <f t="shared" si="5"/>
        <v>100</v>
      </c>
      <c r="R72" s="1715">
        <f t="shared" si="6"/>
        <v>739800</v>
      </c>
      <c r="S72" s="1715">
        <f t="shared" si="7"/>
        <v>100</v>
      </c>
      <c r="T72" s="1715"/>
      <c r="U72" s="1715">
        <f t="shared" si="8"/>
        <v>0</v>
      </c>
      <c r="V72" s="2661"/>
    </row>
    <row r="73" spans="1:22" s="2662" customFormat="1" ht="137.25" customHeight="1">
      <c r="A73" s="2661">
        <v>64</v>
      </c>
      <c r="B73" s="2735" t="s">
        <v>5559</v>
      </c>
      <c r="C73" s="2740" t="s">
        <v>5560</v>
      </c>
      <c r="D73" s="2741" t="s">
        <v>5560</v>
      </c>
      <c r="E73" s="2742" t="s">
        <v>866</v>
      </c>
      <c r="F73" s="2738">
        <v>850000</v>
      </c>
      <c r="G73" s="2738"/>
      <c r="H73" s="2738">
        <f t="shared" si="3"/>
        <v>850000</v>
      </c>
      <c r="I73" s="2738"/>
      <c r="J73" s="2738"/>
      <c r="K73" s="2738"/>
      <c r="L73" s="2743"/>
      <c r="M73" s="2738">
        <f>'[10]NFMA46 '!I81</f>
        <v>739800</v>
      </c>
      <c r="N73" s="2738">
        <f>'[10]NFMA46 '!L81</f>
        <v>0</v>
      </c>
      <c r="O73" s="2738">
        <f t="shared" si="4"/>
        <v>0</v>
      </c>
      <c r="P73" s="2739">
        <f>'[10]NFMA46 '!K81</f>
        <v>739800</v>
      </c>
      <c r="Q73" s="1715">
        <f t="shared" si="5"/>
        <v>100</v>
      </c>
      <c r="R73" s="1715">
        <f t="shared" si="6"/>
        <v>739800</v>
      </c>
      <c r="S73" s="1715">
        <f t="shared" si="7"/>
        <v>100</v>
      </c>
      <c r="T73" s="1715"/>
      <c r="U73" s="1715">
        <f t="shared" si="8"/>
        <v>0</v>
      </c>
      <c r="V73" s="2661"/>
    </row>
    <row r="74" spans="1:22" s="2662" customFormat="1" ht="137.25" customHeight="1">
      <c r="A74" s="2661">
        <v>65</v>
      </c>
      <c r="B74" s="2735" t="s">
        <v>5561</v>
      </c>
      <c r="C74" s="2740" t="s">
        <v>5562</v>
      </c>
      <c r="D74" s="2741" t="s">
        <v>5562</v>
      </c>
      <c r="E74" s="2742" t="s">
        <v>866</v>
      </c>
      <c r="F74" s="2738">
        <v>850000</v>
      </c>
      <c r="G74" s="2738"/>
      <c r="H74" s="2738">
        <f t="shared" si="3"/>
        <v>850000</v>
      </c>
      <c r="I74" s="2738"/>
      <c r="J74" s="2738"/>
      <c r="K74" s="2738"/>
      <c r="L74" s="2743"/>
      <c r="M74" s="2738">
        <f>'[10]NFMA46 '!I82</f>
        <v>739800</v>
      </c>
      <c r="N74" s="2738">
        <f>'[10]NFMA46 '!L82</f>
        <v>0</v>
      </c>
      <c r="O74" s="2738">
        <f t="shared" si="4"/>
        <v>0</v>
      </c>
      <c r="P74" s="2739">
        <f>'[10]NFMA46 '!K82</f>
        <v>739800</v>
      </c>
      <c r="Q74" s="1715">
        <f t="shared" si="5"/>
        <v>100</v>
      </c>
      <c r="R74" s="1715">
        <f t="shared" si="6"/>
        <v>739800</v>
      </c>
      <c r="S74" s="1715">
        <f t="shared" si="7"/>
        <v>100</v>
      </c>
      <c r="T74" s="1715"/>
      <c r="U74" s="1715">
        <f t="shared" si="8"/>
        <v>0</v>
      </c>
      <c r="V74" s="2661"/>
    </row>
    <row r="75" spans="1:22" s="2662" customFormat="1" ht="137.25" customHeight="1">
      <c r="A75" s="2661">
        <v>66</v>
      </c>
      <c r="B75" s="2735" t="s">
        <v>5563</v>
      </c>
      <c r="C75" s="2740" t="s">
        <v>5564</v>
      </c>
      <c r="D75" s="2741" t="s">
        <v>5564</v>
      </c>
      <c r="E75" s="2742" t="s">
        <v>866</v>
      </c>
      <c r="F75" s="2738">
        <v>850000</v>
      </c>
      <c r="G75" s="2738"/>
      <c r="H75" s="2738">
        <f t="shared" ref="H75:H138" si="9">G75+F75</f>
        <v>850000</v>
      </c>
      <c r="I75" s="2738"/>
      <c r="J75" s="2738"/>
      <c r="K75" s="2738"/>
      <c r="L75" s="2743"/>
      <c r="M75" s="2738">
        <f>'[10]NFMA46 '!I83</f>
        <v>739800</v>
      </c>
      <c r="N75" s="2738">
        <f>'[10]NFMA46 '!L83</f>
        <v>0</v>
      </c>
      <c r="O75" s="2738">
        <f t="shared" si="4"/>
        <v>0</v>
      </c>
      <c r="P75" s="2739">
        <f>'[10]NFMA46 '!K83</f>
        <v>739800</v>
      </c>
      <c r="Q75" s="1715">
        <f t="shared" si="5"/>
        <v>100</v>
      </c>
      <c r="R75" s="1715">
        <f t="shared" si="6"/>
        <v>739800</v>
      </c>
      <c r="S75" s="1715">
        <f t="shared" si="7"/>
        <v>100</v>
      </c>
      <c r="T75" s="1715"/>
      <c r="U75" s="1715">
        <f t="shared" si="8"/>
        <v>0</v>
      </c>
      <c r="V75" s="2661"/>
    </row>
    <row r="76" spans="1:22" s="2662" customFormat="1" ht="137.25" customHeight="1">
      <c r="A76" s="2661">
        <v>67</v>
      </c>
      <c r="B76" s="2735" t="s">
        <v>5565</v>
      </c>
      <c r="C76" s="2740" t="s">
        <v>5566</v>
      </c>
      <c r="D76" s="2741" t="s">
        <v>5566</v>
      </c>
      <c r="E76" s="2742" t="s">
        <v>866</v>
      </c>
      <c r="F76" s="2738">
        <v>850000</v>
      </c>
      <c r="G76" s="2738"/>
      <c r="H76" s="2738">
        <f t="shared" si="9"/>
        <v>850000</v>
      </c>
      <c r="I76" s="2738"/>
      <c r="J76" s="2738"/>
      <c r="K76" s="2738"/>
      <c r="L76" s="2743"/>
      <c r="M76" s="2738">
        <f>'[10]NFMA46 '!I84</f>
        <v>739800</v>
      </c>
      <c r="N76" s="2738">
        <f>'[10]NFMA46 '!L84</f>
        <v>0</v>
      </c>
      <c r="O76" s="2738">
        <f t="shared" ref="O76:O139" si="10">N76/M76*100</f>
        <v>0</v>
      </c>
      <c r="P76" s="2739">
        <f>'[10]NFMA46 '!K84</f>
        <v>739800</v>
      </c>
      <c r="Q76" s="1715">
        <f t="shared" ref="Q76:Q139" si="11">P76/M76*100</f>
        <v>100</v>
      </c>
      <c r="R76" s="1715">
        <f t="shared" ref="R76:R139" si="12">P76+N76</f>
        <v>739800</v>
      </c>
      <c r="S76" s="1715">
        <f t="shared" ref="S76:S139" si="13">R76/M76*100</f>
        <v>100</v>
      </c>
      <c r="T76" s="1715"/>
      <c r="U76" s="1715">
        <f t="shared" ref="U76:U139" si="14">M76-R76</f>
        <v>0</v>
      </c>
      <c r="V76" s="2661"/>
    </row>
    <row r="77" spans="1:22" s="2662" customFormat="1" ht="137.25" customHeight="1">
      <c r="A77" s="2661">
        <v>68</v>
      </c>
      <c r="B77" s="2735" t="s">
        <v>5567</v>
      </c>
      <c r="C77" s="2740" t="s">
        <v>5568</v>
      </c>
      <c r="D77" s="2741" t="s">
        <v>5568</v>
      </c>
      <c r="E77" s="2742" t="s">
        <v>866</v>
      </c>
      <c r="F77" s="2738">
        <v>850000</v>
      </c>
      <c r="G77" s="2738"/>
      <c r="H77" s="2738">
        <f t="shared" si="9"/>
        <v>850000</v>
      </c>
      <c r="I77" s="2738"/>
      <c r="J77" s="2738"/>
      <c r="K77" s="2738"/>
      <c r="L77" s="2743"/>
      <c r="M77" s="2738">
        <f>'[10]NFMA46 '!I85</f>
        <v>739800</v>
      </c>
      <c r="N77" s="2738">
        <f>'[10]NFMA46 '!L85</f>
        <v>0</v>
      </c>
      <c r="O77" s="2738">
        <f t="shared" si="10"/>
        <v>0</v>
      </c>
      <c r="P77" s="2739">
        <f>'[10]NFMA46 '!K85</f>
        <v>739800</v>
      </c>
      <c r="Q77" s="1715">
        <f t="shared" si="11"/>
        <v>100</v>
      </c>
      <c r="R77" s="1715">
        <f t="shared" si="12"/>
        <v>739800</v>
      </c>
      <c r="S77" s="1715">
        <f t="shared" si="13"/>
        <v>100</v>
      </c>
      <c r="T77" s="1715"/>
      <c r="U77" s="1715">
        <f t="shared" si="14"/>
        <v>0</v>
      </c>
      <c r="V77" s="2661"/>
    </row>
    <row r="78" spans="1:22" s="2662" customFormat="1" ht="137.25" customHeight="1">
      <c r="A78" s="2661">
        <v>69</v>
      </c>
      <c r="B78" s="2735" t="s">
        <v>5569</v>
      </c>
      <c r="C78" s="2740" t="s">
        <v>5570</v>
      </c>
      <c r="D78" s="2741" t="s">
        <v>5570</v>
      </c>
      <c r="E78" s="2742" t="s">
        <v>866</v>
      </c>
      <c r="F78" s="2738">
        <v>850000</v>
      </c>
      <c r="G78" s="2738"/>
      <c r="H78" s="2738">
        <f t="shared" si="9"/>
        <v>850000</v>
      </c>
      <c r="I78" s="2738"/>
      <c r="J78" s="2738"/>
      <c r="K78" s="2738"/>
      <c r="L78" s="2743"/>
      <c r="M78" s="2738">
        <f>'[10]NFMA46 '!I86</f>
        <v>739800</v>
      </c>
      <c r="N78" s="2738">
        <f>'[10]NFMA46 '!L86</f>
        <v>0</v>
      </c>
      <c r="O78" s="2738">
        <f t="shared" si="10"/>
        <v>0</v>
      </c>
      <c r="P78" s="2739">
        <f>'[10]NFMA46 '!K86</f>
        <v>739800</v>
      </c>
      <c r="Q78" s="1715">
        <f t="shared" si="11"/>
        <v>100</v>
      </c>
      <c r="R78" s="1715">
        <f t="shared" si="12"/>
        <v>739800</v>
      </c>
      <c r="S78" s="1715">
        <f t="shared" si="13"/>
        <v>100</v>
      </c>
      <c r="T78" s="1715"/>
      <c r="U78" s="1715">
        <f t="shared" si="14"/>
        <v>0</v>
      </c>
      <c r="V78" s="2661"/>
    </row>
    <row r="79" spans="1:22" s="2662" customFormat="1" ht="137.25" customHeight="1">
      <c r="A79" s="2661">
        <v>70</v>
      </c>
      <c r="B79" s="2735" t="s">
        <v>5571</v>
      </c>
      <c r="C79" s="2740" t="s">
        <v>5572</v>
      </c>
      <c r="D79" s="2741" t="s">
        <v>5572</v>
      </c>
      <c r="E79" s="2742" t="s">
        <v>866</v>
      </c>
      <c r="F79" s="2738">
        <v>850000</v>
      </c>
      <c r="G79" s="2738"/>
      <c r="H79" s="2738">
        <f t="shared" si="9"/>
        <v>850000</v>
      </c>
      <c r="I79" s="2738"/>
      <c r="J79" s="2738"/>
      <c r="K79" s="2738"/>
      <c r="L79" s="2743"/>
      <c r="M79" s="2738">
        <f>'[10]NFMA46 '!I87</f>
        <v>739800</v>
      </c>
      <c r="N79" s="2738">
        <f>'[10]NFMA46 '!L87</f>
        <v>0</v>
      </c>
      <c r="O79" s="2738">
        <f t="shared" si="10"/>
        <v>0</v>
      </c>
      <c r="P79" s="2739">
        <f>'[10]NFMA46 '!K87</f>
        <v>739800</v>
      </c>
      <c r="Q79" s="1715">
        <f t="shared" si="11"/>
        <v>100</v>
      </c>
      <c r="R79" s="1715">
        <f t="shared" si="12"/>
        <v>739800</v>
      </c>
      <c r="S79" s="1715">
        <f t="shared" si="13"/>
        <v>100</v>
      </c>
      <c r="T79" s="1715"/>
      <c r="U79" s="1715">
        <f t="shared" si="14"/>
        <v>0</v>
      </c>
      <c r="V79" s="2661"/>
    </row>
    <row r="80" spans="1:22" s="2662" customFormat="1" ht="137.25" customHeight="1">
      <c r="A80" s="2661">
        <v>71</v>
      </c>
      <c r="B80" s="2735" t="s">
        <v>5573</v>
      </c>
      <c r="C80" s="2740" t="s">
        <v>5574</v>
      </c>
      <c r="D80" s="2741" t="s">
        <v>5574</v>
      </c>
      <c r="E80" s="2742" t="s">
        <v>866</v>
      </c>
      <c r="F80" s="2738">
        <v>850000</v>
      </c>
      <c r="G80" s="2738"/>
      <c r="H80" s="2738">
        <f t="shared" si="9"/>
        <v>850000</v>
      </c>
      <c r="I80" s="2738"/>
      <c r="J80" s="2738"/>
      <c r="K80" s="2738"/>
      <c r="L80" s="2743"/>
      <c r="M80" s="2738">
        <f>'[10]NFMA46 '!I88</f>
        <v>739800</v>
      </c>
      <c r="N80" s="2738">
        <f>'[10]NFMA46 '!L88</f>
        <v>0</v>
      </c>
      <c r="O80" s="2738">
        <f t="shared" si="10"/>
        <v>0</v>
      </c>
      <c r="P80" s="2739">
        <f>'[10]NFMA46 '!K88</f>
        <v>739800</v>
      </c>
      <c r="Q80" s="1715">
        <f t="shared" si="11"/>
        <v>100</v>
      </c>
      <c r="R80" s="1715">
        <f t="shared" si="12"/>
        <v>739800</v>
      </c>
      <c r="S80" s="1715">
        <f t="shared" si="13"/>
        <v>100</v>
      </c>
      <c r="T80" s="1715"/>
      <c r="U80" s="1715">
        <f t="shared" si="14"/>
        <v>0</v>
      </c>
      <c r="V80" s="2661"/>
    </row>
    <row r="81" spans="1:22" s="2662" customFormat="1" ht="137.25" customHeight="1">
      <c r="A81" s="2661">
        <v>72</v>
      </c>
      <c r="B81" s="2735" t="s">
        <v>5575</v>
      </c>
      <c r="C81" s="2740" t="s">
        <v>5576</v>
      </c>
      <c r="D81" s="2741" t="s">
        <v>5576</v>
      </c>
      <c r="E81" s="2742" t="s">
        <v>866</v>
      </c>
      <c r="F81" s="2738">
        <v>850000</v>
      </c>
      <c r="G81" s="2738"/>
      <c r="H81" s="2738">
        <f t="shared" si="9"/>
        <v>850000</v>
      </c>
      <c r="I81" s="2738"/>
      <c r="J81" s="2738"/>
      <c r="K81" s="2738"/>
      <c r="L81" s="2743"/>
      <c r="M81" s="2738">
        <f>'[10]NFMA46 '!I89</f>
        <v>739800</v>
      </c>
      <c r="N81" s="2738">
        <f>'[10]NFMA46 '!L89</f>
        <v>0</v>
      </c>
      <c r="O81" s="2738">
        <f t="shared" si="10"/>
        <v>0</v>
      </c>
      <c r="P81" s="2739">
        <f>'[10]NFMA46 '!K89</f>
        <v>739800</v>
      </c>
      <c r="Q81" s="1715">
        <f t="shared" si="11"/>
        <v>100</v>
      </c>
      <c r="R81" s="1715">
        <f t="shared" si="12"/>
        <v>739800</v>
      </c>
      <c r="S81" s="1715">
        <f t="shared" si="13"/>
        <v>100</v>
      </c>
      <c r="T81" s="1715"/>
      <c r="U81" s="1715">
        <f t="shared" si="14"/>
        <v>0</v>
      </c>
      <c r="V81" s="2661"/>
    </row>
    <row r="82" spans="1:22" s="2662" customFormat="1" ht="137.25" customHeight="1">
      <c r="A82" s="2661">
        <v>73</v>
      </c>
      <c r="B82" s="2735" t="s">
        <v>5577</v>
      </c>
      <c r="C82" s="2740" t="s">
        <v>5578</v>
      </c>
      <c r="D82" s="2741" t="s">
        <v>5578</v>
      </c>
      <c r="E82" s="2742" t="s">
        <v>866</v>
      </c>
      <c r="F82" s="2738">
        <v>850000</v>
      </c>
      <c r="G82" s="2738"/>
      <c r="H82" s="2738">
        <f t="shared" si="9"/>
        <v>850000</v>
      </c>
      <c r="I82" s="2738"/>
      <c r="J82" s="2738"/>
      <c r="K82" s="2738"/>
      <c r="L82" s="2743"/>
      <c r="M82" s="2738">
        <f>'[10]NFMA46 '!I90</f>
        <v>739800</v>
      </c>
      <c r="N82" s="2738">
        <f>'[10]NFMA46 '!L90</f>
        <v>0</v>
      </c>
      <c r="O82" s="2738">
        <f t="shared" si="10"/>
        <v>0</v>
      </c>
      <c r="P82" s="2739">
        <f>'[10]NFMA46 '!K90</f>
        <v>739800</v>
      </c>
      <c r="Q82" s="1715">
        <f t="shared" si="11"/>
        <v>100</v>
      </c>
      <c r="R82" s="1715">
        <f t="shared" si="12"/>
        <v>739800</v>
      </c>
      <c r="S82" s="1715">
        <f t="shared" si="13"/>
        <v>100</v>
      </c>
      <c r="T82" s="1715"/>
      <c r="U82" s="1715">
        <f t="shared" si="14"/>
        <v>0</v>
      </c>
      <c r="V82" s="2661"/>
    </row>
    <row r="83" spans="1:22" s="2662" customFormat="1" ht="137.25" customHeight="1">
      <c r="A83" s="2661">
        <v>74</v>
      </c>
      <c r="B83" s="2735" t="s">
        <v>5579</v>
      </c>
      <c r="C83" s="2740" t="s">
        <v>5580</v>
      </c>
      <c r="D83" s="2741" t="s">
        <v>5580</v>
      </c>
      <c r="E83" s="2742" t="s">
        <v>866</v>
      </c>
      <c r="F83" s="2738">
        <v>850000</v>
      </c>
      <c r="G83" s="2738"/>
      <c r="H83" s="2738">
        <f t="shared" si="9"/>
        <v>850000</v>
      </c>
      <c r="I83" s="2738"/>
      <c r="J83" s="2738"/>
      <c r="K83" s="2738"/>
      <c r="L83" s="2743"/>
      <c r="M83" s="2738">
        <f>'[10]NFMA46 '!I91</f>
        <v>739800</v>
      </c>
      <c r="N83" s="2738">
        <f>'[10]NFMA46 '!L91</f>
        <v>0</v>
      </c>
      <c r="O83" s="2738">
        <f t="shared" si="10"/>
        <v>0</v>
      </c>
      <c r="P83" s="2739">
        <f>'[10]NFMA46 '!K91</f>
        <v>739800</v>
      </c>
      <c r="Q83" s="1715">
        <f t="shared" si="11"/>
        <v>100</v>
      </c>
      <c r="R83" s="1715">
        <f t="shared" si="12"/>
        <v>739800</v>
      </c>
      <c r="S83" s="1715">
        <f t="shared" si="13"/>
        <v>100</v>
      </c>
      <c r="T83" s="1715"/>
      <c r="U83" s="1715">
        <f t="shared" si="14"/>
        <v>0</v>
      </c>
      <c r="V83" s="2661"/>
    </row>
    <row r="84" spans="1:22" s="2662" customFormat="1" ht="137.25" customHeight="1">
      <c r="A84" s="2661">
        <v>75</v>
      </c>
      <c r="B84" s="2735" t="s">
        <v>5581</v>
      </c>
      <c r="C84" s="2740" t="s">
        <v>5582</v>
      </c>
      <c r="D84" s="2741" t="s">
        <v>5582</v>
      </c>
      <c r="E84" s="2742" t="s">
        <v>866</v>
      </c>
      <c r="F84" s="2738">
        <v>2550000</v>
      </c>
      <c r="G84" s="2738"/>
      <c r="H84" s="2738">
        <f t="shared" si="9"/>
        <v>2550000</v>
      </c>
      <c r="I84" s="2738"/>
      <c r="J84" s="2738"/>
      <c r="K84" s="2738"/>
      <c r="L84" s="2743"/>
      <c r="M84" s="2738">
        <f>'[10]NFMA46 '!I92</f>
        <v>2219400</v>
      </c>
      <c r="N84" s="2738">
        <f>'[10]NFMA46 '!L92</f>
        <v>0</v>
      </c>
      <c r="O84" s="2738">
        <f t="shared" si="10"/>
        <v>0</v>
      </c>
      <c r="P84" s="2739">
        <f>'[10]NFMA46 '!K92</f>
        <v>2219400</v>
      </c>
      <c r="Q84" s="1715">
        <f t="shared" si="11"/>
        <v>100</v>
      </c>
      <c r="R84" s="1715">
        <f t="shared" si="12"/>
        <v>2219400</v>
      </c>
      <c r="S84" s="1715">
        <f t="shared" si="13"/>
        <v>100</v>
      </c>
      <c r="T84" s="1715"/>
      <c r="U84" s="1715">
        <f t="shared" si="14"/>
        <v>0</v>
      </c>
      <c r="V84" s="2661"/>
    </row>
    <row r="85" spans="1:22" s="2662" customFormat="1" ht="137.25" customHeight="1">
      <c r="A85" s="2661">
        <v>76</v>
      </c>
      <c r="B85" s="2735" t="s">
        <v>5583</v>
      </c>
      <c r="C85" s="2740" t="s">
        <v>5584</v>
      </c>
      <c r="D85" s="2741" t="s">
        <v>5584</v>
      </c>
      <c r="E85" s="2742" t="s">
        <v>866</v>
      </c>
      <c r="F85" s="2738">
        <v>850000</v>
      </c>
      <c r="G85" s="2738"/>
      <c r="H85" s="2738">
        <f t="shared" si="9"/>
        <v>850000</v>
      </c>
      <c r="I85" s="2738"/>
      <c r="J85" s="2738"/>
      <c r="K85" s="2738"/>
      <c r="L85" s="2743"/>
      <c r="M85" s="2738">
        <f>'[10]NFMA46 '!I93</f>
        <v>739800</v>
      </c>
      <c r="N85" s="2738">
        <f>'[10]NFMA46 '!L93</f>
        <v>0</v>
      </c>
      <c r="O85" s="2738">
        <f t="shared" si="10"/>
        <v>0</v>
      </c>
      <c r="P85" s="2739">
        <f>'[10]NFMA46 '!K93</f>
        <v>739800</v>
      </c>
      <c r="Q85" s="1715">
        <f t="shared" si="11"/>
        <v>100</v>
      </c>
      <c r="R85" s="1715">
        <f t="shared" si="12"/>
        <v>739800</v>
      </c>
      <c r="S85" s="1715">
        <f t="shared" si="13"/>
        <v>100</v>
      </c>
      <c r="T85" s="1715"/>
      <c r="U85" s="1715">
        <f t="shared" si="14"/>
        <v>0</v>
      </c>
      <c r="V85" s="2661"/>
    </row>
    <row r="86" spans="1:22" s="2662" customFormat="1" ht="137.25" customHeight="1">
      <c r="A86" s="2661">
        <v>77</v>
      </c>
      <c r="B86" s="2735" t="s">
        <v>5585</v>
      </c>
      <c r="C86" s="2740" t="s">
        <v>5586</v>
      </c>
      <c r="D86" s="2741" t="s">
        <v>5586</v>
      </c>
      <c r="E86" s="2742" t="s">
        <v>866</v>
      </c>
      <c r="F86" s="2738">
        <v>850000</v>
      </c>
      <c r="G86" s="2738"/>
      <c r="H86" s="2738">
        <f t="shared" si="9"/>
        <v>850000</v>
      </c>
      <c r="I86" s="2738"/>
      <c r="J86" s="2738"/>
      <c r="K86" s="2738"/>
      <c r="L86" s="2743"/>
      <c r="M86" s="2738">
        <f>'[10]NFMA46 '!I94</f>
        <v>739800</v>
      </c>
      <c r="N86" s="2738">
        <f>'[10]NFMA46 '!L94</f>
        <v>0</v>
      </c>
      <c r="O86" s="2738">
        <f t="shared" si="10"/>
        <v>0</v>
      </c>
      <c r="P86" s="2739">
        <f>'[10]NFMA46 '!K94</f>
        <v>739800</v>
      </c>
      <c r="Q86" s="1715">
        <f t="shared" si="11"/>
        <v>100</v>
      </c>
      <c r="R86" s="1715">
        <f t="shared" si="12"/>
        <v>739800</v>
      </c>
      <c r="S86" s="1715">
        <f t="shared" si="13"/>
        <v>100</v>
      </c>
      <c r="T86" s="1715"/>
      <c r="U86" s="1715">
        <f t="shared" si="14"/>
        <v>0</v>
      </c>
      <c r="V86" s="2661"/>
    </row>
    <row r="87" spans="1:22" s="2662" customFormat="1" ht="137.25" customHeight="1">
      <c r="A87" s="2661">
        <v>78</v>
      </c>
      <c r="B87" s="2735" t="s">
        <v>5587</v>
      </c>
      <c r="C87" s="2740" t="s">
        <v>5588</v>
      </c>
      <c r="D87" s="2741" t="s">
        <v>5588</v>
      </c>
      <c r="E87" s="2742" t="s">
        <v>866</v>
      </c>
      <c r="F87" s="2738">
        <v>850000</v>
      </c>
      <c r="G87" s="2738"/>
      <c r="H87" s="2738">
        <f t="shared" si="9"/>
        <v>850000</v>
      </c>
      <c r="I87" s="2738"/>
      <c r="J87" s="2738"/>
      <c r="K87" s="2738"/>
      <c r="L87" s="2743"/>
      <c r="M87" s="2738">
        <f>'[10]NFMA46 '!I95</f>
        <v>739800</v>
      </c>
      <c r="N87" s="2738">
        <f>'[10]NFMA46 '!L95</f>
        <v>0</v>
      </c>
      <c r="O87" s="2738">
        <f t="shared" si="10"/>
        <v>0</v>
      </c>
      <c r="P87" s="2739">
        <f>'[10]NFMA46 '!K95</f>
        <v>739800</v>
      </c>
      <c r="Q87" s="1715">
        <f t="shared" si="11"/>
        <v>100</v>
      </c>
      <c r="R87" s="1715">
        <f t="shared" si="12"/>
        <v>739800</v>
      </c>
      <c r="S87" s="1715">
        <f t="shared" si="13"/>
        <v>100</v>
      </c>
      <c r="T87" s="1715"/>
      <c r="U87" s="1715">
        <f t="shared" si="14"/>
        <v>0</v>
      </c>
      <c r="V87" s="2661"/>
    </row>
    <row r="88" spans="1:22" s="2662" customFormat="1" ht="137.25" customHeight="1">
      <c r="A88" s="2661">
        <v>79</v>
      </c>
      <c r="B88" s="2735" t="s">
        <v>5589</v>
      </c>
      <c r="C88" s="2740" t="s">
        <v>5590</v>
      </c>
      <c r="D88" s="2741" t="s">
        <v>5590</v>
      </c>
      <c r="E88" s="2742" t="s">
        <v>866</v>
      </c>
      <c r="F88" s="2738">
        <v>850000</v>
      </c>
      <c r="G88" s="2738"/>
      <c r="H88" s="2738">
        <f t="shared" si="9"/>
        <v>850000</v>
      </c>
      <c r="I88" s="2738"/>
      <c r="J88" s="2738"/>
      <c r="K88" s="2738"/>
      <c r="L88" s="2743"/>
      <c r="M88" s="2738">
        <f>'[10]NFMA46 '!I96</f>
        <v>739800</v>
      </c>
      <c r="N88" s="2738">
        <f>'[10]NFMA46 '!L96</f>
        <v>0</v>
      </c>
      <c r="O88" s="2738">
        <f t="shared" si="10"/>
        <v>0</v>
      </c>
      <c r="P88" s="2739">
        <f>'[10]NFMA46 '!K96</f>
        <v>739800</v>
      </c>
      <c r="Q88" s="1715">
        <f t="shared" si="11"/>
        <v>100</v>
      </c>
      <c r="R88" s="1715">
        <f t="shared" si="12"/>
        <v>739800</v>
      </c>
      <c r="S88" s="1715">
        <f t="shared" si="13"/>
        <v>100</v>
      </c>
      <c r="T88" s="1715"/>
      <c r="U88" s="1715">
        <f t="shared" si="14"/>
        <v>0</v>
      </c>
      <c r="V88" s="2661"/>
    </row>
    <row r="89" spans="1:22" s="2662" customFormat="1" ht="137.25" customHeight="1">
      <c r="A89" s="2661">
        <v>80</v>
      </c>
      <c r="B89" s="2735" t="s">
        <v>5591</v>
      </c>
      <c r="C89" s="2740" t="s">
        <v>5592</v>
      </c>
      <c r="D89" s="2741" t="s">
        <v>5592</v>
      </c>
      <c r="E89" s="2742" t="s">
        <v>866</v>
      </c>
      <c r="F89" s="2738">
        <v>850000</v>
      </c>
      <c r="G89" s="2738"/>
      <c r="H89" s="2738">
        <f t="shared" si="9"/>
        <v>850000</v>
      </c>
      <c r="I89" s="2738"/>
      <c r="J89" s="2738"/>
      <c r="K89" s="2738"/>
      <c r="L89" s="2743"/>
      <c r="M89" s="2738">
        <f>'[10]NFMA46 '!I97</f>
        <v>739800</v>
      </c>
      <c r="N89" s="2738">
        <f>'[10]NFMA46 '!L97</f>
        <v>0</v>
      </c>
      <c r="O89" s="2738">
        <f t="shared" si="10"/>
        <v>0</v>
      </c>
      <c r="P89" s="2739">
        <f>'[10]NFMA46 '!K97</f>
        <v>739800</v>
      </c>
      <c r="Q89" s="1715">
        <f t="shared" si="11"/>
        <v>100</v>
      </c>
      <c r="R89" s="1715">
        <f t="shared" si="12"/>
        <v>739800</v>
      </c>
      <c r="S89" s="1715">
        <f t="shared" si="13"/>
        <v>100</v>
      </c>
      <c r="T89" s="1715"/>
      <c r="U89" s="1715">
        <f t="shared" si="14"/>
        <v>0</v>
      </c>
      <c r="V89" s="2661"/>
    </row>
    <row r="90" spans="1:22" s="2662" customFormat="1" ht="137.25" customHeight="1">
      <c r="A90" s="2661">
        <v>81</v>
      </c>
      <c r="B90" s="2735" t="s">
        <v>5593</v>
      </c>
      <c r="C90" s="2740" t="s">
        <v>5594</v>
      </c>
      <c r="D90" s="2741" t="s">
        <v>5594</v>
      </c>
      <c r="E90" s="2742" t="s">
        <v>866</v>
      </c>
      <c r="F90" s="2738">
        <v>850000</v>
      </c>
      <c r="G90" s="2738"/>
      <c r="H90" s="2738">
        <f t="shared" si="9"/>
        <v>850000</v>
      </c>
      <c r="I90" s="2738"/>
      <c r="J90" s="2738"/>
      <c r="K90" s="2738"/>
      <c r="L90" s="2743"/>
      <c r="M90" s="2738">
        <f>'[10]NFMA46 '!I98</f>
        <v>739800</v>
      </c>
      <c r="N90" s="2738">
        <f>'[10]NFMA46 '!L98</f>
        <v>0</v>
      </c>
      <c r="O90" s="2738">
        <f t="shared" si="10"/>
        <v>0</v>
      </c>
      <c r="P90" s="2739">
        <f>'[10]NFMA46 '!K98</f>
        <v>739800</v>
      </c>
      <c r="Q90" s="1715">
        <f t="shared" si="11"/>
        <v>100</v>
      </c>
      <c r="R90" s="1715">
        <f t="shared" si="12"/>
        <v>739800</v>
      </c>
      <c r="S90" s="1715">
        <f t="shared" si="13"/>
        <v>100</v>
      </c>
      <c r="T90" s="1715"/>
      <c r="U90" s="1715">
        <f t="shared" si="14"/>
        <v>0</v>
      </c>
      <c r="V90" s="2661"/>
    </row>
    <row r="91" spans="1:22" s="2662" customFormat="1" ht="137.25" customHeight="1">
      <c r="A91" s="2661">
        <v>82</v>
      </c>
      <c r="B91" s="2735" t="s">
        <v>5595</v>
      </c>
      <c r="C91" s="2740" t="s">
        <v>5596</v>
      </c>
      <c r="D91" s="2741" t="s">
        <v>5596</v>
      </c>
      <c r="E91" s="2742" t="s">
        <v>866</v>
      </c>
      <c r="F91" s="2738">
        <v>850000</v>
      </c>
      <c r="G91" s="2738"/>
      <c r="H91" s="2738">
        <f t="shared" si="9"/>
        <v>850000</v>
      </c>
      <c r="I91" s="2738"/>
      <c r="J91" s="2738"/>
      <c r="K91" s="2738"/>
      <c r="L91" s="2743"/>
      <c r="M91" s="2738">
        <f>'[10]NFMA46 '!I99</f>
        <v>739800</v>
      </c>
      <c r="N91" s="2738">
        <f>'[10]NFMA46 '!L99</f>
        <v>0</v>
      </c>
      <c r="O91" s="2738">
        <f t="shared" si="10"/>
        <v>0</v>
      </c>
      <c r="P91" s="2739">
        <f>'[10]NFMA46 '!K99</f>
        <v>739800</v>
      </c>
      <c r="Q91" s="1715">
        <f t="shared" si="11"/>
        <v>100</v>
      </c>
      <c r="R91" s="1715">
        <f t="shared" si="12"/>
        <v>739800</v>
      </c>
      <c r="S91" s="1715">
        <f t="shared" si="13"/>
        <v>100</v>
      </c>
      <c r="T91" s="1715"/>
      <c r="U91" s="1715">
        <f t="shared" si="14"/>
        <v>0</v>
      </c>
      <c r="V91" s="2661"/>
    </row>
    <row r="92" spans="1:22" s="2662" customFormat="1" ht="137.25" customHeight="1">
      <c r="A92" s="2661">
        <v>83</v>
      </c>
      <c r="B92" s="2735" t="s">
        <v>5597</v>
      </c>
      <c r="C92" s="2740" t="s">
        <v>5598</v>
      </c>
      <c r="D92" s="2741" t="s">
        <v>5598</v>
      </c>
      <c r="E92" s="2742" t="s">
        <v>866</v>
      </c>
      <c r="F92" s="2738">
        <v>850000</v>
      </c>
      <c r="G92" s="2738"/>
      <c r="H92" s="2738">
        <f t="shared" si="9"/>
        <v>850000</v>
      </c>
      <c r="I92" s="2738"/>
      <c r="J92" s="2738"/>
      <c r="K92" s="2738"/>
      <c r="L92" s="2743"/>
      <c r="M92" s="2738">
        <f>'[10]NFMA46 '!I100</f>
        <v>739800</v>
      </c>
      <c r="N92" s="2738">
        <f>'[10]NFMA46 '!L100</f>
        <v>0</v>
      </c>
      <c r="O92" s="2738">
        <f t="shared" si="10"/>
        <v>0</v>
      </c>
      <c r="P92" s="2739">
        <f>'[10]NFMA46 '!K100</f>
        <v>739800</v>
      </c>
      <c r="Q92" s="1715">
        <f t="shared" si="11"/>
        <v>100</v>
      </c>
      <c r="R92" s="1715">
        <f t="shared" si="12"/>
        <v>739800</v>
      </c>
      <c r="S92" s="1715">
        <f t="shared" si="13"/>
        <v>100</v>
      </c>
      <c r="T92" s="1715"/>
      <c r="U92" s="1715">
        <f t="shared" si="14"/>
        <v>0</v>
      </c>
      <c r="V92" s="2661"/>
    </row>
    <row r="93" spans="1:22" s="2662" customFormat="1" ht="137.25" customHeight="1">
      <c r="A93" s="2661">
        <v>84</v>
      </c>
      <c r="B93" s="2735" t="s">
        <v>5599</v>
      </c>
      <c r="C93" s="2740" t="s">
        <v>5600</v>
      </c>
      <c r="D93" s="2741" t="s">
        <v>5600</v>
      </c>
      <c r="E93" s="2742" t="s">
        <v>866</v>
      </c>
      <c r="F93" s="2738">
        <v>850000</v>
      </c>
      <c r="G93" s="2738"/>
      <c r="H93" s="2738">
        <f t="shared" si="9"/>
        <v>850000</v>
      </c>
      <c r="I93" s="2738"/>
      <c r="J93" s="2738"/>
      <c r="K93" s="2738"/>
      <c r="L93" s="2743"/>
      <c r="M93" s="2738">
        <f>'[10]NFMA46 '!I101</f>
        <v>739800</v>
      </c>
      <c r="N93" s="2738">
        <f>'[10]NFMA46 '!L101</f>
        <v>0</v>
      </c>
      <c r="O93" s="2738">
        <f t="shared" si="10"/>
        <v>0</v>
      </c>
      <c r="P93" s="2739">
        <f>'[10]NFMA46 '!K101</f>
        <v>739800</v>
      </c>
      <c r="Q93" s="1715">
        <f t="shared" si="11"/>
        <v>100</v>
      </c>
      <c r="R93" s="1715">
        <f t="shared" si="12"/>
        <v>739800</v>
      </c>
      <c r="S93" s="1715">
        <f t="shared" si="13"/>
        <v>100</v>
      </c>
      <c r="T93" s="1715"/>
      <c r="U93" s="1715">
        <f t="shared" si="14"/>
        <v>0</v>
      </c>
      <c r="V93" s="2661"/>
    </row>
    <row r="94" spans="1:22" s="2662" customFormat="1" ht="137.25" customHeight="1">
      <c r="A94" s="2661">
        <v>85</v>
      </c>
      <c r="B94" s="2735" t="s">
        <v>5601</v>
      </c>
      <c r="C94" s="2740" t="s">
        <v>5602</v>
      </c>
      <c r="D94" s="2741" t="s">
        <v>5602</v>
      </c>
      <c r="E94" s="2742" t="s">
        <v>866</v>
      </c>
      <c r="F94" s="2738">
        <v>850000</v>
      </c>
      <c r="G94" s="2738"/>
      <c r="H94" s="2738">
        <f t="shared" si="9"/>
        <v>850000</v>
      </c>
      <c r="I94" s="2738"/>
      <c r="J94" s="2738"/>
      <c r="K94" s="2738"/>
      <c r="L94" s="2743"/>
      <c r="M94" s="2738">
        <f>'[10]NFMA46 '!I102</f>
        <v>739800</v>
      </c>
      <c r="N94" s="2738">
        <f>'[10]NFMA46 '!L102</f>
        <v>0</v>
      </c>
      <c r="O94" s="2738">
        <f t="shared" si="10"/>
        <v>0</v>
      </c>
      <c r="P94" s="2739">
        <f>'[10]NFMA46 '!K102</f>
        <v>739800</v>
      </c>
      <c r="Q94" s="1715">
        <f t="shared" si="11"/>
        <v>100</v>
      </c>
      <c r="R94" s="1715">
        <f t="shared" si="12"/>
        <v>739800</v>
      </c>
      <c r="S94" s="1715">
        <f t="shared" si="13"/>
        <v>100</v>
      </c>
      <c r="T94" s="1715"/>
      <c r="U94" s="1715">
        <f t="shared" si="14"/>
        <v>0</v>
      </c>
      <c r="V94" s="2663"/>
    </row>
    <row r="95" spans="1:22" ht="137.25" customHeight="1">
      <c r="A95" s="2661">
        <v>86</v>
      </c>
      <c r="B95" s="2735" t="s">
        <v>5603</v>
      </c>
      <c r="C95" s="2740" t="s">
        <v>5604</v>
      </c>
      <c r="D95" s="2741" t="s">
        <v>5604</v>
      </c>
      <c r="E95" s="2742" t="s">
        <v>866</v>
      </c>
      <c r="F95" s="2738">
        <v>850000</v>
      </c>
      <c r="G95" s="2738"/>
      <c r="H95" s="2738">
        <f t="shared" si="9"/>
        <v>850000</v>
      </c>
      <c r="I95" s="2738"/>
      <c r="J95" s="2738"/>
      <c r="K95" s="2738"/>
      <c r="L95" s="2743"/>
      <c r="M95" s="2738">
        <f>'[10]NFMA46 '!I103</f>
        <v>739800</v>
      </c>
      <c r="N95" s="2738">
        <f>'[10]NFMA46 '!L103</f>
        <v>0</v>
      </c>
      <c r="O95" s="2738">
        <f t="shared" si="10"/>
        <v>0</v>
      </c>
      <c r="P95" s="2739">
        <f>'[10]NFMA46 '!K103</f>
        <v>739800</v>
      </c>
      <c r="Q95" s="1715">
        <f t="shared" si="11"/>
        <v>100</v>
      </c>
      <c r="R95" s="1715">
        <f t="shared" si="12"/>
        <v>739800</v>
      </c>
      <c r="S95" s="1715">
        <f t="shared" si="13"/>
        <v>100</v>
      </c>
      <c r="T95" s="1715"/>
      <c r="U95" s="1715">
        <f t="shared" si="14"/>
        <v>0</v>
      </c>
      <c r="V95" s="2663"/>
    </row>
    <row r="96" spans="1:22" ht="137.25" customHeight="1">
      <c r="A96" s="2661">
        <v>87</v>
      </c>
      <c r="B96" s="2735" t="s">
        <v>5605</v>
      </c>
      <c r="C96" s="2740" t="s">
        <v>5606</v>
      </c>
      <c r="D96" s="2741" t="s">
        <v>5606</v>
      </c>
      <c r="E96" s="2742" t="s">
        <v>866</v>
      </c>
      <c r="F96" s="2738">
        <v>850000</v>
      </c>
      <c r="G96" s="2738"/>
      <c r="H96" s="2738">
        <f t="shared" si="9"/>
        <v>850000</v>
      </c>
      <c r="I96" s="2738"/>
      <c r="J96" s="2738"/>
      <c r="K96" s="2738"/>
      <c r="L96" s="2743"/>
      <c r="M96" s="2738">
        <f>'[10]NFMA46 '!I104</f>
        <v>739800</v>
      </c>
      <c r="N96" s="2738">
        <f>'[10]NFMA46 '!L104</f>
        <v>0</v>
      </c>
      <c r="O96" s="2738">
        <f t="shared" si="10"/>
        <v>0</v>
      </c>
      <c r="P96" s="2739">
        <f>'[10]NFMA46 '!K104</f>
        <v>739800</v>
      </c>
      <c r="Q96" s="1715">
        <f t="shared" si="11"/>
        <v>100</v>
      </c>
      <c r="R96" s="1715">
        <f t="shared" si="12"/>
        <v>739800</v>
      </c>
      <c r="S96" s="1715">
        <f t="shared" si="13"/>
        <v>100</v>
      </c>
      <c r="T96" s="1715"/>
      <c r="U96" s="1715">
        <f t="shared" si="14"/>
        <v>0</v>
      </c>
      <c r="V96" s="2663"/>
    </row>
    <row r="97" spans="1:22" ht="137.25" customHeight="1">
      <c r="A97" s="2661">
        <v>88</v>
      </c>
      <c r="B97" s="2735" t="s">
        <v>5607</v>
      </c>
      <c r="C97" s="2740" t="s">
        <v>5608</v>
      </c>
      <c r="D97" s="2741" t="s">
        <v>5608</v>
      </c>
      <c r="E97" s="2742" t="s">
        <v>866</v>
      </c>
      <c r="F97" s="2738">
        <v>850000</v>
      </c>
      <c r="G97" s="2738"/>
      <c r="H97" s="2738">
        <f t="shared" si="9"/>
        <v>850000</v>
      </c>
      <c r="I97" s="2738"/>
      <c r="J97" s="2738"/>
      <c r="K97" s="2738"/>
      <c r="L97" s="2743"/>
      <c r="M97" s="2738">
        <f>'[10]NFMA46 '!I105</f>
        <v>739800</v>
      </c>
      <c r="N97" s="2738">
        <f>'[10]NFMA46 '!L105</f>
        <v>0</v>
      </c>
      <c r="O97" s="2738">
        <f t="shared" si="10"/>
        <v>0</v>
      </c>
      <c r="P97" s="2739">
        <f>'[10]NFMA46 '!K105</f>
        <v>739800</v>
      </c>
      <c r="Q97" s="1715">
        <f t="shared" si="11"/>
        <v>100</v>
      </c>
      <c r="R97" s="1715">
        <f t="shared" si="12"/>
        <v>739800</v>
      </c>
      <c r="S97" s="1715">
        <f t="shared" si="13"/>
        <v>100</v>
      </c>
      <c r="T97" s="1715"/>
      <c r="U97" s="1715">
        <f t="shared" si="14"/>
        <v>0</v>
      </c>
      <c r="V97" s="2663"/>
    </row>
    <row r="98" spans="1:22" ht="137.25" customHeight="1">
      <c r="A98" s="2661">
        <v>89</v>
      </c>
      <c r="B98" s="2735" t="s">
        <v>5609</v>
      </c>
      <c r="C98" s="2740" t="s">
        <v>5610</v>
      </c>
      <c r="D98" s="2741" t="s">
        <v>5610</v>
      </c>
      <c r="E98" s="2742" t="s">
        <v>866</v>
      </c>
      <c r="F98" s="2738">
        <v>850000</v>
      </c>
      <c r="G98" s="2738"/>
      <c r="H98" s="2738">
        <f t="shared" si="9"/>
        <v>850000</v>
      </c>
      <c r="I98" s="2738"/>
      <c r="J98" s="2738"/>
      <c r="K98" s="2738"/>
      <c r="L98" s="2743"/>
      <c r="M98" s="2738">
        <f>'[10]NFMA46 '!I106</f>
        <v>739800</v>
      </c>
      <c r="N98" s="2738">
        <f>'[10]NFMA46 '!L106</f>
        <v>0</v>
      </c>
      <c r="O98" s="2738">
        <f t="shared" si="10"/>
        <v>0</v>
      </c>
      <c r="P98" s="2739">
        <f>'[10]NFMA46 '!K106</f>
        <v>739800</v>
      </c>
      <c r="Q98" s="1715">
        <f t="shared" si="11"/>
        <v>100</v>
      </c>
      <c r="R98" s="1715">
        <f t="shared" si="12"/>
        <v>739800</v>
      </c>
      <c r="S98" s="1715">
        <f t="shared" si="13"/>
        <v>100</v>
      </c>
      <c r="T98" s="1715"/>
      <c r="U98" s="1715">
        <f t="shared" si="14"/>
        <v>0</v>
      </c>
      <c r="V98" s="2663"/>
    </row>
    <row r="99" spans="1:22" ht="137.25" customHeight="1">
      <c r="A99" s="2661">
        <v>90</v>
      </c>
      <c r="B99" s="2735" t="s">
        <v>5611</v>
      </c>
      <c r="C99" s="2740" t="s">
        <v>5612</v>
      </c>
      <c r="D99" s="2741" t="s">
        <v>5612</v>
      </c>
      <c r="E99" s="2742" t="s">
        <v>866</v>
      </c>
      <c r="F99" s="2738">
        <v>850000</v>
      </c>
      <c r="G99" s="2738"/>
      <c r="H99" s="2738">
        <f t="shared" si="9"/>
        <v>850000</v>
      </c>
      <c r="I99" s="2738"/>
      <c r="J99" s="2738"/>
      <c r="K99" s="2738"/>
      <c r="L99" s="2743"/>
      <c r="M99" s="2738">
        <f>'[10]NFMA46 '!I107</f>
        <v>739800</v>
      </c>
      <c r="N99" s="2738">
        <f>'[10]NFMA46 '!L107</f>
        <v>0</v>
      </c>
      <c r="O99" s="2738">
        <f t="shared" si="10"/>
        <v>0</v>
      </c>
      <c r="P99" s="2739">
        <f>'[10]NFMA46 '!K107</f>
        <v>739800</v>
      </c>
      <c r="Q99" s="1715">
        <f t="shared" si="11"/>
        <v>100</v>
      </c>
      <c r="R99" s="1715">
        <f t="shared" si="12"/>
        <v>739800</v>
      </c>
      <c r="S99" s="1715">
        <f t="shared" si="13"/>
        <v>100</v>
      </c>
      <c r="T99" s="1715"/>
      <c r="U99" s="1715">
        <f t="shared" si="14"/>
        <v>0</v>
      </c>
      <c r="V99" s="2663"/>
    </row>
    <row r="100" spans="1:22" ht="137.25" customHeight="1">
      <c r="A100" s="2661">
        <v>91</v>
      </c>
      <c r="B100" s="2735" t="s">
        <v>5613</v>
      </c>
      <c r="C100" s="2740" t="s">
        <v>5614</v>
      </c>
      <c r="D100" s="2741" t="s">
        <v>5614</v>
      </c>
      <c r="E100" s="2742" t="s">
        <v>866</v>
      </c>
      <c r="F100" s="2738">
        <v>850000</v>
      </c>
      <c r="G100" s="2738"/>
      <c r="H100" s="2738">
        <f t="shared" si="9"/>
        <v>850000</v>
      </c>
      <c r="I100" s="2738"/>
      <c r="J100" s="2738"/>
      <c r="K100" s="2738"/>
      <c r="L100" s="2743"/>
      <c r="M100" s="2738">
        <f>'[10]NFMA46 '!I108</f>
        <v>739800</v>
      </c>
      <c r="N100" s="2738">
        <f>'[10]NFMA46 '!L108</f>
        <v>0</v>
      </c>
      <c r="O100" s="2738">
        <f t="shared" si="10"/>
        <v>0</v>
      </c>
      <c r="P100" s="2739">
        <f>'[10]NFMA46 '!K108</f>
        <v>739800</v>
      </c>
      <c r="Q100" s="1715">
        <f t="shared" si="11"/>
        <v>100</v>
      </c>
      <c r="R100" s="1715">
        <f t="shared" si="12"/>
        <v>739800</v>
      </c>
      <c r="S100" s="1715">
        <f t="shared" si="13"/>
        <v>100</v>
      </c>
      <c r="T100" s="1715"/>
      <c r="U100" s="1715">
        <f t="shared" si="14"/>
        <v>0</v>
      </c>
      <c r="V100" s="2663"/>
    </row>
    <row r="101" spans="1:22" ht="137.25" customHeight="1">
      <c r="A101" s="2661">
        <v>92</v>
      </c>
      <c r="B101" s="2735" t="s">
        <v>5615</v>
      </c>
      <c r="C101" s="2740" t="s">
        <v>5616</v>
      </c>
      <c r="D101" s="2741" t="s">
        <v>5616</v>
      </c>
      <c r="E101" s="2742" t="s">
        <v>866</v>
      </c>
      <c r="F101" s="2738">
        <v>850000</v>
      </c>
      <c r="G101" s="2738"/>
      <c r="H101" s="2738">
        <f t="shared" si="9"/>
        <v>850000</v>
      </c>
      <c r="I101" s="2738"/>
      <c r="J101" s="2738"/>
      <c r="K101" s="2738"/>
      <c r="L101" s="2743"/>
      <c r="M101" s="2738">
        <f>'[10]NFMA46 '!I109</f>
        <v>739800</v>
      </c>
      <c r="N101" s="2738">
        <f>'[10]NFMA46 '!L109</f>
        <v>0</v>
      </c>
      <c r="O101" s="2738">
        <f t="shared" si="10"/>
        <v>0</v>
      </c>
      <c r="P101" s="2739">
        <f>'[10]NFMA46 '!K109</f>
        <v>739800</v>
      </c>
      <c r="Q101" s="1715">
        <f t="shared" si="11"/>
        <v>100</v>
      </c>
      <c r="R101" s="1715">
        <f t="shared" si="12"/>
        <v>739800</v>
      </c>
      <c r="S101" s="1715">
        <f t="shared" si="13"/>
        <v>100</v>
      </c>
      <c r="T101" s="1715"/>
      <c r="U101" s="1715">
        <f t="shared" si="14"/>
        <v>0</v>
      </c>
      <c r="V101" s="2663"/>
    </row>
    <row r="102" spans="1:22" ht="137.25" customHeight="1">
      <c r="A102" s="2661">
        <v>93</v>
      </c>
      <c r="B102" s="2735" t="s">
        <v>5617</v>
      </c>
      <c r="C102" s="2740" t="s">
        <v>5618</v>
      </c>
      <c r="D102" s="2741" t="s">
        <v>5618</v>
      </c>
      <c r="E102" s="2742" t="s">
        <v>866</v>
      </c>
      <c r="F102" s="2738">
        <v>850000</v>
      </c>
      <c r="G102" s="2738"/>
      <c r="H102" s="2738">
        <f t="shared" si="9"/>
        <v>850000</v>
      </c>
      <c r="I102" s="2738"/>
      <c r="J102" s="2738"/>
      <c r="K102" s="2738"/>
      <c r="L102" s="2743"/>
      <c r="M102" s="2738">
        <f>'[10]NFMA46 '!I110</f>
        <v>739800</v>
      </c>
      <c r="N102" s="2738">
        <f>'[10]NFMA46 '!L110</f>
        <v>0</v>
      </c>
      <c r="O102" s="2738">
        <f t="shared" si="10"/>
        <v>0</v>
      </c>
      <c r="P102" s="2739">
        <f>'[10]NFMA46 '!K110</f>
        <v>739800</v>
      </c>
      <c r="Q102" s="1715">
        <f t="shared" si="11"/>
        <v>100</v>
      </c>
      <c r="R102" s="1715">
        <f t="shared" si="12"/>
        <v>739800</v>
      </c>
      <c r="S102" s="1715">
        <f t="shared" si="13"/>
        <v>100</v>
      </c>
      <c r="T102" s="1715"/>
      <c r="U102" s="1715">
        <f t="shared" si="14"/>
        <v>0</v>
      </c>
      <c r="V102" s="2663"/>
    </row>
    <row r="103" spans="1:22" ht="137.25" customHeight="1">
      <c r="A103" s="2661">
        <v>94</v>
      </c>
      <c r="B103" s="2735" t="s">
        <v>5619</v>
      </c>
      <c r="C103" s="2740" t="s">
        <v>5620</v>
      </c>
      <c r="D103" s="2741" t="s">
        <v>5620</v>
      </c>
      <c r="E103" s="2742" t="s">
        <v>866</v>
      </c>
      <c r="F103" s="2738">
        <v>850000</v>
      </c>
      <c r="G103" s="2738"/>
      <c r="H103" s="2738">
        <f t="shared" si="9"/>
        <v>850000</v>
      </c>
      <c r="I103" s="2738"/>
      <c r="J103" s="2738"/>
      <c r="K103" s="2738"/>
      <c r="L103" s="2743"/>
      <c r="M103" s="2738">
        <f>'[10]NFMA46 '!I111</f>
        <v>739800</v>
      </c>
      <c r="N103" s="2738">
        <f>'[10]NFMA46 '!L111</f>
        <v>0</v>
      </c>
      <c r="O103" s="2738">
        <f t="shared" si="10"/>
        <v>0</v>
      </c>
      <c r="P103" s="2739">
        <f>'[10]NFMA46 '!K111</f>
        <v>739800</v>
      </c>
      <c r="Q103" s="1715">
        <f t="shared" si="11"/>
        <v>100</v>
      </c>
      <c r="R103" s="1715">
        <f t="shared" si="12"/>
        <v>739800</v>
      </c>
      <c r="S103" s="1715">
        <f t="shared" si="13"/>
        <v>100</v>
      </c>
      <c r="T103" s="1715"/>
      <c r="U103" s="1715">
        <f t="shared" si="14"/>
        <v>0</v>
      </c>
      <c r="V103" s="2663"/>
    </row>
    <row r="104" spans="1:22" ht="137.25" customHeight="1">
      <c r="A104" s="2661">
        <v>95</v>
      </c>
      <c r="B104" s="2735" t="s">
        <v>5621</v>
      </c>
      <c r="C104" s="2740" t="s">
        <v>5622</v>
      </c>
      <c r="D104" s="2741" t="s">
        <v>5622</v>
      </c>
      <c r="E104" s="2742" t="s">
        <v>866</v>
      </c>
      <c r="F104" s="2738">
        <v>850000</v>
      </c>
      <c r="G104" s="2738"/>
      <c r="H104" s="2738">
        <f t="shared" si="9"/>
        <v>850000</v>
      </c>
      <c r="I104" s="2738"/>
      <c r="J104" s="2738"/>
      <c r="K104" s="2738"/>
      <c r="L104" s="2743"/>
      <c r="M104" s="2738">
        <f>'[10]NFMA46 '!I112</f>
        <v>739800</v>
      </c>
      <c r="N104" s="2738">
        <f>'[10]NFMA46 '!L112</f>
        <v>0</v>
      </c>
      <c r="O104" s="2738">
        <f t="shared" si="10"/>
        <v>0</v>
      </c>
      <c r="P104" s="2739">
        <f>'[10]NFMA46 '!K112</f>
        <v>739800</v>
      </c>
      <c r="Q104" s="1715">
        <f t="shared" si="11"/>
        <v>100</v>
      </c>
      <c r="R104" s="1715">
        <f t="shared" si="12"/>
        <v>739800</v>
      </c>
      <c r="S104" s="1715">
        <f t="shared" si="13"/>
        <v>100</v>
      </c>
      <c r="T104" s="1715"/>
      <c r="U104" s="1715">
        <f t="shared" si="14"/>
        <v>0</v>
      </c>
      <c r="V104" s="2663"/>
    </row>
    <row r="105" spans="1:22" ht="137.25" customHeight="1">
      <c r="A105" s="2661">
        <v>96</v>
      </c>
      <c r="B105" s="2735" t="s">
        <v>5623</v>
      </c>
      <c r="C105" s="2740" t="s">
        <v>5624</v>
      </c>
      <c r="D105" s="2741" t="s">
        <v>5624</v>
      </c>
      <c r="E105" s="2742" t="s">
        <v>866</v>
      </c>
      <c r="F105" s="2738">
        <v>850000</v>
      </c>
      <c r="G105" s="2738"/>
      <c r="H105" s="2738">
        <f t="shared" si="9"/>
        <v>850000</v>
      </c>
      <c r="I105" s="2738"/>
      <c r="J105" s="2738"/>
      <c r="K105" s="2738"/>
      <c r="L105" s="2743"/>
      <c r="M105" s="2738">
        <f>'[10]NFMA46 '!I113</f>
        <v>739800</v>
      </c>
      <c r="N105" s="2738">
        <f>'[10]NFMA46 '!L113</f>
        <v>0</v>
      </c>
      <c r="O105" s="2738">
        <f t="shared" si="10"/>
        <v>0</v>
      </c>
      <c r="P105" s="2739">
        <f>'[10]NFMA46 '!K113</f>
        <v>739800</v>
      </c>
      <c r="Q105" s="1715">
        <f t="shared" si="11"/>
        <v>100</v>
      </c>
      <c r="R105" s="1715">
        <f t="shared" si="12"/>
        <v>739800</v>
      </c>
      <c r="S105" s="1715">
        <f t="shared" si="13"/>
        <v>100</v>
      </c>
      <c r="T105" s="1715"/>
      <c r="U105" s="1715">
        <f t="shared" si="14"/>
        <v>0</v>
      </c>
      <c r="V105" s="2663"/>
    </row>
    <row r="106" spans="1:22" ht="137.25" customHeight="1">
      <c r="A106" s="2661">
        <v>97</v>
      </c>
      <c r="B106" s="2735" t="s">
        <v>5625</v>
      </c>
      <c r="C106" s="2740" t="s">
        <v>5626</v>
      </c>
      <c r="D106" s="2741" t="s">
        <v>5626</v>
      </c>
      <c r="E106" s="2742" t="s">
        <v>866</v>
      </c>
      <c r="F106" s="2738">
        <v>850000</v>
      </c>
      <c r="G106" s="2738"/>
      <c r="H106" s="2738">
        <f t="shared" si="9"/>
        <v>850000</v>
      </c>
      <c r="I106" s="2738"/>
      <c r="J106" s="2738"/>
      <c r="K106" s="2738"/>
      <c r="L106" s="2743"/>
      <c r="M106" s="2738">
        <f>'[10]NFMA46 '!I114</f>
        <v>739800</v>
      </c>
      <c r="N106" s="2738">
        <f>'[10]NFMA46 '!L114</f>
        <v>0</v>
      </c>
      <c r="O106" s="2738">
        <f t="shared" si="10"/>
        <v>0</v>
      </c>
      <c r="P106" s="2739">
        <f>'[10]NFMA46 '!K114</f>
        <v>739800</v>
      </c>
      <c r="Q106" s="1715">
        <f t="shared" si="11"/>
        <v>100</v>
      </c>
      <c r="R106" s="1715">
        <f t="shared" si="12"/>
        <v>739800</v>
      </c>
      <c r="S106" s="1715">
        <f t="shared" si="13"/>
        <v>100</v>
      </c>
      <c r="T106" s="1715"/>
      <c r="U106" s="1715">
        <f t="shared" si="14"/>
        <v>0</v>
      </c>
      <c r="V106" s="2663"/>
    </row>
    <row r="107" spans="1:22" ht="137.25" customHeight="1">
      <c r="A107" s="2661">
        <v>98</v>
      </c>
      <c r="B107" s="2735" t="s">
        <v>5627</v>
      </c>
      <c r="C107" s="2740" t="s">
        <v>5628</v>
      </c>
      <c r="D107" s="2741" t="s">
        <v>5628</v>
      </c>
      <c r="E107" s="2742" t="s">
        <v>866</v>
      </c>
      <c r="F107" s="2738">
        <v>850000</v>
      </c>
      <c r="G107" s="2738"/>
      <c r="H107" s="2738">
        <f t="shared" si="9"/>
        <v>850000</v>
      </c>
      <c r="I107" s="2738"/>
      <c r="J107" s="2738"/>
      <c r="K107" s="2738"/>
      <c r="L107" s="2743"/>
      <c r="M107" s="2738">
        <f>'[10]NFMA46 '!I115</f>
        <v>739800</v>
      </c>
      <c r="N107" s="2738">
        <f>'[10]NFMA46 '!L115</f>
        <v>0</v>
      </c>
      <c r="O107" s="2738">
        <f t="shared" si="10"/>
        <v>0</v>
      </c>
      <c r="P107" s="2739">
        <f>'[10]NFMA46 '!K115</f>
        <v>739800</v>
      </c>
      <c r="Q107" s="1715">
        <f t="shared" si="11"/>
        <v>100</v>
      </c>
      <c r="R107" s="1715">
        <f t="shared" si="12"/>
        <v>739800</v>
      </c>
      <c r="S107" s="1715">
        <f t="shared" si="13"/>
        <v>100</v>
      </c>
      <c r="T107" s="1715"/>
      <c r="U107" s="1715">
        <f t="shared" si="14"/>
        <v>0</v>
      </c>
      <c r="V107" s="2663"/>
    </row>
    <row r="108" spans="1:22" ht="137.25" customHeight="1">
      <c r="A108" s="2661">
        <v>99</v>
      </c>
      <c r="B108" s="2735" t="s">
        <v>5629</v>
      </c>
      <c r="C108" s="2740" t="s">
        <v>5630</v>
      </c>
      <c r="D108" s="2741" t="s">
        <v>5630</v>
      </c>
      <c r="E108" s="2742" t="s">
        <v>866</v>
      </c>
      <c r="F108" s="2738">
        <v>850000</v>
      </c>
      <c r="G108" s="2738"/>
      <c r="H108" s="2738">
        <f t="shared" si="9"/>
        <v>850000</v>
      </c>
      <c r="I108" s="2738"/>
      <c r="J108" s="2738"/>
      <c r="K108" s="2738"/>
      <c r="L108" s="2743"/>
      <c r="M108" s="2738">
        <f>'[10]NFMA46 '!I116</f>
        <v>739800</v>
      </c>
      <c r="N108" s="2738">
        <f>'[10]NFMA46 '!L116</f>
        <v>0</v>
      </c>
      <c r="O108" s="2738">
        <f t="shared" si="10"/>
        <v>0</v>
      </c>
      <c r="P108" s="2739">
        <f>'[10]NFMA46 '!K116</f>
        <v>739800</v>
      </c>
      <c r="Q108" s="1715">
        <f t="shared" si="11"/>
        <v>100</v>
      </c>
      <c r="R108" s="1715">
        <f t="shared" si="12"/>
        <v>739800</v>
      </c>
      <c r="S108" s="1715">
        <f t="shared" si="13"/>
        <v>100</v>
      </c>
      <c r="T108" s="1715"/>
      <c r="U108" s="1715">
        <f t="shared" si="14"/>
        <v>0</v>
      </c>
      <c r="V108" s="2663"/>
    </row>
    <row r="109" spans="1:22" ht="137.25" customHeight="1">
      <c r="A109" s="2661">
        <v>100</v>
      </c>
      <c r="B109" s="2735" t="s">
        <v>5631</v>
      </c>
      <c r="C109" s="2740" t="s">
        <v>5632</v>
      </c>
      <c r="D109" s="2741" t="s">
        <v>5632</v>
      </c>
      <c r="E109" s="2742" t="s">
        <v>866</v>
      </c>
      <c r="F109" s="2738">
        <v>850000</v>
      </c>
      <c r="G109" s="2738"/>
      <c r="H109" s="2738">
        <f t="shared" si="9"/>
        <v>850000</v>
      </c>
      <c r="I109" s="2738"/>
      <c r="J109" s="2738"/>
      <c r="K109" s="2738"/>
      <c r="L109" s="2743"/>
      <c r="M109" s="2738">
        <f>'[10]NFMA46 '!I117</f>
        <v>739800</v>
      </c>
      <c r="N109" s="2738">
        <f>'[10]NFMA46 '!L117</f>
        <v>0</v>
      </c>
      <c r="O109" s="2738">
        <f t="shared" si="10"/>
        <v>0</v>
      </c>
      <c r="P109" s="2739">
        <f>'[10]NFMA46 '!K117</f>
        <v>739800</v>
      </c>
      <c r="Q109" s="1715">
        <f t="shared" si="11"/>
        <v>100</v>
      </c>
      <c r="R109" s="1715">
        <f t="shared" si="12"/>
        <v>739800</v>
      </c>
      <c r="S109" s="1715">
        <f t="shared" si="13"/>
        <v>100</v>
      </c>
      <c r="T109" s="1715"/>
      <c r="U109" s="1715">
        <f t="shared" si="14"/>
        <v>0</v>
      </c>
      <c r="V109" s="2663"/>
    </row>
    <row r="110" spans="1:22" ht="137.25" customHeight="1">
      <c r="A110" s="2661">
        <v>101</v>
      </c>
      <c r="B110" s="2735" t="s">
        <v>5633</v>
      </c>
      <c r="C110" s="2740" t="s">
        <v>5634</v>
      </c>
      <c r="D110" s="2741" t="s">
        <v>5634</v>
      </c>
      <c r="E110" s="2742" t="s">
        <v>866</v>
      </c>
      <c r="F110" s="2738">
        <v>850000</v>
      </c>
      <c r="G110" s="2738"/>
      <c r="H110" s="2738">
        <f t="shared" si="9"/>
        <v>850000</v>
      </c>
      <c r="I110" s="2738"/>
      <c r="J110" s="2738"/>
      <c r="K110" s="2738"/>
      <c r="L110" s="2743"/>
      <c r="M110" s="2738">
        <f>'[10]NFMA46 '!I118</f>
        <v>739800</v>
      </c>
      <c r="N110" s="2738">
        <f>'[10]NFMA46 '!L118</f>
        <v>0</v>
      </c>
      <c r="O110" s="2738">
        <f t="shared" si="10"/>
        <v>0</v>
      </c>
      <c r="P110" s="2739">
        <f>'[10]NFMA46 '!K118</f>
        <v>739800</v>
      </c>
      <c r="Q110" s="1715">
        <f t="shared" si="11"/>
        <v>100</v>
      </c>
      <c r="R110" s="1715">
        <f t="shared" si="12"/>
        <v>739800</v>
      </c>
      <c r="S110" s="1715">
        <f t="shared" si="13"/>
        <v>100</v>
      </c>
      <c r="T110" s="1715"/>
      <c r="U110" s="1715">
        <f t="shared" si="14"/>
        <v>0</v>
      </c>
      <c r="V110" s="2663"/>
    </row>
    <row r="111" spans="1:22" ht="137.25" customHeight="1">
      <c r="A111" s="2661">
        <v>102</v>
      </c>
      <c r="B111" s="2735" t="s">
        <v>5635</v>
      </c>
      <c r="C111" s="2740" t="s">
        <v>5636</v>
      </c>
      <c r="D111" s="2741" t="s">
        <v>5636</v>
      </c>
      <c r="E111" s="2742" t="s">
        <v>866</v>
      </c>
      <c r="F111" s="2738">
        <v>850000</v>
      </c>
      <c r="G111" s="2738"/>
      <c r="H111" s="2738">
        <f t="shared" si="9"/>
        <v>850000</v>
      </c>
      <c r="I111" s="2738"/>
      <c r="J111" s="2738"/>
      <c r="K111" s="2738"/>
      <c r="L111" s="2743"/>
      <c r="M111" s="2738">
        <f>'[10]NFMA46 '!I119</f>
        <v>739800</v>
      </c>
      <c r="N111" s="2738">
        <f>'[10]NFMA46 '!L119</f>
        <v>0</v>
      </c>
      <c r="O111" s="2738">
        <f t="shared" si="10"/>
        <v>0</v>
      </c>
      <c r="P111" s="2739">
        <f>'[10]NFMA46 '!K119</f>
        <v>739800</v>
      </c>
      <c r="Q111" s="1715">
        <f t="shared" si="11"/>
        <v>100</v>
      </c>
      <c r="R111" s="1715">
        <f t="shared" si="12"/>
        <v>739800</v>
      </c>
      <c r="S111" s="1715">
        <f t="shared" si="13"/>
        <v>100</v>
      </c>
      <c r="T111" s="1715"/>
      <c r="U111" s="1715">
        <f t="shared" si="14"/>
        <v>0</v>
      </c>
      <c r="V111" s="2663"/>
    </row>
    <row r="112" spans="1:22" ht="137.25" customHeight="1">
      <c r="A112" s="2661">
        <v>103</v>
      </c>
      <c r="B112" s="2735" t="s">
        <v>5637</v>
      </c>
      <c r="C112" s="2740" t="s">
        <v>5638</v>
      </c>
      <c r="D112" s="2741" t="s">
        <v>5638</v>
      </c>
      <c r="E112" s="2742" t="s">
        <v>866</v>
      </c>
      <c r="F112" s="2738">
        <v>850000</v>
      </c>
      <c r="G112" s="2738"/>
      <c r="H112" s="2738">
        <f t="shared" si="9"/>
        <v>850000</v>
      </c>
      <c r="I112" s="2738"/>
      <c r="J112" s="2738"/>
      <c r="K112" s="2738"/>
      <c r="L112" s="2743"/>
      <c r="M112" s="2738">
        <f>'[10]NFMA46 '!I120</f>
        <v>739800</v>
      </c>
      <c r="N112" s="2738">
        <f>'[10]NFMA46 '!L120</f>
        <v>0</v>
      </c>
      <c r="O112" s="2738">
        <f t="shared" si="10"/>
        <v>0</v>
      </c>
      <c r="P112" s="2739">
        <f>'[10]NFMA46 '!K120</f>
        <v>739800</v>
      </c>
      <c r="Q112" s="1715">
        <f t="shared" si="11"/>
        <v>100</v>
      </c>
      <c r="R112" s="1715">
        <f t="shared" si="12"/>
        <v>739800</v>
      </c>
      <c r="S112" s="1715">
        <f t="shared" si="13"/>
        <v>100</v>
      </c>
      <c r="T112" s="1715"/>
      <c r="U112" s="1715">
        <f t="shared" si="14"/>
        <v>0</v>
      </c>
      <c r="V112" s="2663"/>
    </row>
    <row r="113" spans="1:22" ht="137.25" customHeight="1">
      <c r="A113" s="2661">
        <v>104</v>
      </c>
      <c r="B113" s="2735" t="s">
        <v>5639</v>
      </c>
      <c r="C113" s="2740" t="s">
        <v>5640</v>
      </c>
      <c r="D113" s="2741" t="s">
        <v>5640</v>
      </c>
      <c r="E113" s="2742" t="s">
        <v>866</v>
      </c>
      <c r="F113" s="2738">
        <v>850000</v>
      </c>
      <c r="G113" s="2738"/>
      <c r="H113" s="2738">
        <f t="shared" si="9"/>
        <v>850000</v>
      </c>
      <c r="I113" s="2738"/>
      <c r="J113" s="2738"/>
      <c r="K113" s="2738"/>
      <c r="L113" s="2743"/>
      <c r="M113" s="2738">
        <f>'[10]NFMA46 '!I121</f>
        <v>739800</v>
      </c>
      <c r="N113" s="2738">
        <f>'[10]NFMA46 '!L121</f>
        <v>0</v>
      </c>
      <c r="O113" s="2738">
        <f t="shared" si="10"/>
        <v>0</v>
      </c>
      <c r="P113" s="2739">
        <f>'[10]NFMA46 '!K121</f>
        <v>739800</v>
      </c>
      <c r="Q113" s="1715">
        <f t="shared" si="11"/>
        <v>100</v>
      </c>
      <c r="R113" s="1715">
        <f t="shared" si="12"/>
        <v>739800</v>
      </c>
      <c r="S113" s="1715">
        <f t="shared" si="13"/>
        <v>100</v>
      </c>
      <c r="T113" s="1715"/>
      <c r="U113" s="1715">
        <f t="shared" si="14"/>
        <v>0</v>
      </c>
      <c r="V113" s="2663"/>
    </row>
    <row r="114" spans="1:22" ht="137.25" customHeight="1">
      <c r="A114" s="2661">
        <v>105</v>
      </c>
      <c r="B114" s="2735" t="s">
        <v>5641</v>
      </c>
      <c r="C114" s="2740" t="s">
        <v>5642</v>
      </c>
      <c r="D114" s="2741" t="s">
        <v>5642</v>
      </c>
      <c r="E114" s="2742" t="s">
        <v>866</v>
      </c>
      <c r="F114" s="2738">
        <v>850000</v>
      </c>
      <c r="G114" s="2738"/>
      <c r="H114" s="2738">
        <f t="shared" si="9"/>
        <v>850000</v>
      </c>
      <c r="I114" s="2738"/>
      <c r="J114" s="2738"/>
      <c r="K114" s="2738"/>
      <c r="L114" s="2743"/>
      <c r="M114" s="2738">
        <f>'[10]NFMA46 '!I122</f>
        <v>739800</v>
      </c>
      <c r="N114" s="2738">
        <f>'[10]NFMA46 '!L122</f>
        <v>0</v>
      </c>
      <c r="O114" s="2738">
        <f t="shared" si="10"/>
        <v>0</v>
      </c>
      <c r="P114" s="2739">
        <f>'[10]NFMA46 '!K122</f>
        <v>739800</v>
      </c>
      <c r="Q114" s="1715">
        <f t="shared" si="11"/>
        <v>100</v>
      </c>
      <c r="R114" s="1715">
        <f t="shared" si="12"/>
        <v>739800</v>
      </c>
      <c r="S114" s="1715">
        <f t="shared" si="13"/>
        <v>100</v>
      </c>
      <c r="T114" s="1715"/>
      <c r="U114" s="1715">
        <f t="shared" si="14"/>
        <v>0</v>
      </c>
      <c r="V114" s="2663"/>
    </row>
    <row r="115" spans="1:22" ht="137.25" customHeight="1">
      <c r="A115" s="2661">
        <v>106</v>
      </c>
      <c r="B115" s="2735" t="s">
        <v>5643</v>
      </c>
      <c r="C115" s="2740" t="s">
        <v>5644</v>
      </c>
      <c r="D115" s="2741" t="s">
        <v>5644</v>
      </c>
      <c r="E115" s="2742" t="s">
        <v>866</v>
      </c>
      <c r="F115" s="2738">
        <v>850000</v>
      </c>
      <c r="G115" s="2738"/>
      <c r="H115" s="2738">
        <f t="shared" si="9"/>
        <v>850000</v>
      </c>
      <c r="I115" s="2738"/>
      <c r="J115" s="2738"/>
      <c r="K115" s="2738"/>
      <c r="L115" s="2743"/>
      <c r="M115" s="2738">
        <f>'[10]NFMA46 '!I123</f>
        <v>739800</v>
      </c>
      <c r="N115" s="2738">
        <f>'[10]NFMA46 '!L123</f>
        <v>0</v>
      </c>
      <c r="O115" s="2738">
        <f t="shared" si="10"/>
        <v>0</v>
      </c>
      <c r="P115" s="2739">
        <f>'[10]NFMA46 '!K123</f>
        <v>739800</v>
      </c>
      <c r="Q115" s="1715">
        <f t="shared" si="11"/>
        <v>100</v>
      </c>
      <c r="R115" s="1715">
        <f t="shared" si="12"/>
        <v>739800</v>
      </c>
      <c r="S115" s="1715">
        <f t="shared" si="13"/>
        <v>100</v>
      </c>
      <c r="T115" s="1715"/>
      <c r="U115" s="1715">
        <f t="shared" si="14"/>
        <v>0</v>
      </c>
      <c r="V115" s="2663"/>
    </row>
    <row r="116" spans="1:22" ht="137.25" customHeight="1">
      <c r="A116" s="2661">
        <v>107</v>
      </c>
      <c r="B116" s="2735" t="s">
        <v>5645</v>
      </c>
      <c r="C116" s="2740" t="s">
        <v>5646</v>
      </c>
      <c r="D116" s="2741" t="s">
        <v>5646</v>
      </c>
      <c r="E116" s="2742" t="s">
        <v>866</v>
      </c>
      <c r="F116" s="2738">
        <v>850000</v>
      </c>
      <c r="G116" s="2738"/>
      <c r="H116" s="2738">
        <f t="shared" si="9"/>
        <v>850000</v>
      </c>
      <c r="I116" s="2738"/>
      <c r="J116" s="2738"/>
      <c r="K116" s="2738"/>
      <c r="L116" s="2743"/>
      <c r="M116" s="2738">
        <f>'[10]NFMA46 '!I124</f>
        <v>739800</v>
      </c>
      <c r="N116" s="2738">
        <f>'[10]NFMA46 '!L124</f>
        <v>0</v>
      </c>
      <c r="O116" s="2738">
        <f t="shared" si="10"/>
        <v>0</v>
      </c>
      <c r="P116" s="2739">
        <f>'[10]NFMA46 '!K124</f>
        <v>739800</v>
      </c>
      <c r="Q116" s="1715">
        <f t="shared" si="11"/>
        <v>100</v>
      </c>
      <c r="R116" s="1715">
        <f t="shared" si="12"/>
        <v>739800</v>
      </c>
      <c r="S116" s="1715">
        <f t="shared" si="13"/>
        <v>100</v>
      </c>
      <c r="T116" s="1715"/>
      <c r="U116" s="1715">
        <f t="shared" si="14"/>
        <v>0</v>
      </c>
      <c r="V116" s="2663"/>
    </row>
    <row r="117" spans="1:22" ht="137.25" customHeight="1">
      <c r="A117" s="2661">
        <v>108</v>
      </c>
      <c r="B117" s="2735" t="s">
        <v>5647</v>
      </c>
      <c r="C117" s="2740" t="s">
        <v>5648</v>
      </c>
      <c r="D117" s="2741" t="s">
        <v>5648</v>
      </c>
      <c r="E117" s="2742" t="s">
        <v>866</v>
      </c>
      <c r="F117" s="2738">
        <v>850000</v>
      </c>
      <c r="G117" s="2738"/>
      <c r="H117" s="2738">
        <f t="shared" si="9"/>
        <v>850000</v>
      </c>
      <c r="I117" s="2738"/>
      <c r="J117" s="2738"/>
      <c r="K117" s="2738"/>
      <c r="L117" s="2743"/>
      <c r="M117" s="2738">
        <f>'[10]NFMA46 '!I125</f>
        <v>739800</v>
      </c>
      <c r="N117" s="2738">
        <f>'[10]NFMA46 '!L125</f>
        <v>0</v>
      </c>
      <c r="O117" s="2738">
        <f t="shared" si="10"/>
        <v>0</v>
      </c>
      <c r="P117" s="2739">
        <f>'[10]NFMA46 '!K125</f>
        <v>739800</v>
      </c>
      <c r="Q117" s="1715">
        <f t="shared" si="11"/>
        <v>100</v>
      </c>
      <c r="R117" s="1715">
        <f t="shared" si="12"/>
        <v>739800</v>
      </c>
      <c r="S117" s="1715">
        <f t="shared" si="13"/>
        <v>100</v>
      </c>
      <c r="T117" s="1715"/>
      <c r="U117" s="1715">
        <f t="shared" si="14"/>
        <v>0</v>
      </c>
      <c r="V117" s="2663"/>
    </row>
    <row r="118" spans="1:22" ht="137.25" customHeight="1">
      <c r="A118" s="2661">
        <v>109</v>
      </c>
      <c r="B118" s="2735" t="s">
        <v>5649</v>
      </c>
      <c r="C118" s="2740" t="s">
        <v>5650</v>
      </c>
      <c r="D118" s="2741" t="s">
        <v>5650</v>
      </c>
      <c r="E118" s="2742" t="s">
        <v>866</v>
      </c>
      <c r="F118" s="2738">
        <v>850000</v>
      </c>
      <c r="G118" s="2738"/>
      <c r="H118" s="2738">
        <f t="shared" si="9"/>
        <v>850000</v>
      </c>
      <c r="I118" s="2738"/>
      <c r="J118" s="2738"/>
      <c r="K118" s="2738"/>
      <c r="L118" s="2743"/>
      <c r="M118" s="2738">
        <f>'[10]NFMA46 '!I126</f>
        <v>739800</v>
      </c>
      <c r="N118" s="2738">
        <f>'[10]NFMA46 '!L126</f>
        <v>0</v>
      </c>
      <c r="O118" s="2738">
        <f t="shared" si="10"/>
        <v>0</v>
      </c>
      <c r="P118" s="2739">
        <f>'[10]NFMA46 '!K126</f>
        <v>739800</v>
      </c>
      <c r="Q118" s="1715">
        <f t="shared" si="11"/>
        <v>100</v>
      </c>
      <c r="R118" s="1715">
        <f t="shared" si="12"/>
        <v>739800</v>
      </c>
      <c r="S118" s="1715">
        <f t="shared" si="13"/>
        <v>100</v>
      </c>
      <c r="T118" s="1715"/>
      <c r="U118" s="1715">
        <f t="shared" si="14"/>
        <v>0</v>
      </c>
      <c r="V118" s="2663"/>
    </row>
    <row r="119" spans="1:22" ht="137.25" customHeight="1">
      <c r="A119" s="2661">
        <v>110</v>
      </c>
      <c r="B119" s="2735" t="s">
        <v>5651</v>
      </c>
      <c r="C119" s="2740" t="s">
        <v>5652</v>
      </c>
      <c r="D119" s="2741" t="s">
        <v>5652</v>
      </c>
      <c r="E119" s="2742" t="s">
        <v>866</v>
      </c>
      <c r="F119" s="2738">
        <v>850000</v>
      </c>
      <c r="G119" s="2738"/>
      <c r="H119" s="2738">
        <f t="shared" si="9"/>
        <v>850000</v>
      </c>
      <c r="I119" s="2738"/>
      <c r="J119" s="2738"/>
      <c r="K119" s="2738"/>
      <c r="L119" s="2743"/>
      <c r="M119" s="2738">
        <f>'[10]NFMA46 '!I127</f>
        <v>739800</v>
      </c>
      <c r="N119" s="2738">
        <f>'[10]NFMA46 '!L127</f>
        <v>0</v>
      </c>
      <c r="O119" s="2738">
        <f t="shared" si="10"/>
        <v>0</v>
      </c>
      <c r="P119" s="2739">
        <f>'[10]NFMA46 '!K127</f>
        <v>739800</v>
      </c>
      <c r="Q119" s="1715">
        <f t="shared" si="11"/>
        <v>100</v>
      </c>
      <c r="R119" s="1715">
        <f t="shared" si="12"/>
        <v>739800</v>
      </c>
      <c r="S119" s="1715">
        <f t="shared" si="13"/>
        <v>100</v>
      </c>
      <c r="T119" s="1715"/>
      <c r="U119" s="1715">
        <f t="shared" si="14"/>
        <v>0</v>
      </c>
      <c r="V119" s="2663"/>
    </row>
    <row r="120" spans="1:22" ht="137.25" customHeight="1">
      <c r="A120" s="2661">
        <v>111</v>
      </c>
      <c r="B120" s="2735" t="s">
        <v>5653</v>
      </c>
      <c r="C120" s="2740" t="s">
        <v>5654</v>
      </c>
      <c r="D120" s="2741" t="s">
        <v>5654</v>
      </c>
      <c r="E120" s="2742" t="s">
        <v>866</v>
      </c>
      <c r="F120" s="2738">
        <v>850000</v>
      </c>
      <c r="G120" s="2738"/>
      <c r="H120" s="2738">
        <f t="shared" si="9"/>
        <v>850000</v>
      </c>
      <c r="I120" s="2738"/>
      <c r="J120" s="2738"/>
      <c r="K120" s="2738"/>
      <c r="L120" s="2743"/>
      <c r="M120" s="2738">
        <f>'[10]NFMA46 '!I128</f>
        <v>739800</v>
      </c>
      <c r="N120" s="2738">
        <f>'[10]NFMA46 '!L128</f>
        <v>0</v>
      </c>
      <c r="O120" s="2738">
        <f t="shared" si="10"/>
        <v>0</v>
      </c>
      <c r="P120" s="2739">
        <f>'[10]NFMA46 '!K128</f>
        <v>739800</v>
      </c>
      <c r="Q120" s="1715">
        <f t="shared" si="11"/>
        <v>100</v>
      </c>
      <c r="R120" s="1715">
        <f t="shared" si="12"/>
        <v>739800</v>
      </c>
      <c r="S120" s="1715">
        <f t="shared" si="13"/>
        <v>100</v>
      </c>
      <c r="T120" s="1715"/>
      <c r="U120" s="1715">
        <f t="shared" si="14"/>
        <v>0</v>
      </c>
      <c r="V120" s="2663"/>
    </row>
    <row r="121" spans="1:22" ht="137.25" customHeight="1">
      <c r="A121" s="2661">
        <v>112</v>
      </c>
      <c r="B121" s="2735" t="s">
        <v>5655</v>
      </c>
      <c r="C121" s="2740" t="s">
        <v>5656</v>
      </c>
      <c r="D121" s="2741" t="s">
        <v>5656</v>
      </c>
      <c r="E121" s="2742" t="s">
        <v>866</v>
      </c>
      <c r="F121" s="2738">
        <v>850000</v>
      </c>
      <c r="G121" s="2738"/>
      <c r="H121" s="2738">
        <f t="shared" si="9"/>
        <v>850000</v>
      </c>
      <c r="I121" s="2738"/>
      <c r="J121" s="2738"/>
      <c r="K121" s="2738"/>
      <c r="L121" s="2743"/>
      <c r="M121" s="2738">
        <f>'[10]NFMA46 '!I129</f>
        <v>739800</v>
      </c>
      <c r="N121" s="2738">
        <f>'[10]NFMA46 '!L129</f>
        <v>0</v>
      </c>
      <c r="O121" s="2738">
        <f t="shared" si="10"/>
        <v>0</v>
      </c>
      <c r="P121" s="2739">
        <f>'[10]NFMA46 '!K129</f>
        <v>739800</v>
      </c>
      <c r="Q121" s="1715">
        <f t="shared" si="11"/>
        <v>100</v>
      </c>
      <c r="R121" s="1715">
        <f t="shared" si="12"/>
        <v>739800</v>
      </c>
      <c r="S121" s="1715">
        <f t="shared" si="13"/>
        <v>100</v>
      </c>
      <c r="T121" s="1715"/>
      <c r="U121" s="1715">
        <f t="shared" si="14"/>
        <v>0</v>
      </c>
      <c r="V121" s="2663"/>
    </row>
    <row r="122" spans="1:22" ht="137.25" customHeight="1">
      <c r="A122" s="2661">
        <v>113</v>
      </c>
      <c r="B122" s="2735" t="s">
        <v>5657</v>
      </c>
      <c r="C122" s="2740" t="s">
        <v>5658</v>
      </c>
      <c r="D122" s="2741" t="s">
        <v>5658</v>
      </c>
      <c r="E122" s="2742" t="s">
        <v>866</v>
      </c>
      <c r="F122" s="2738">
        <v>850000</v>
      </c>
      <c r="G122" s="2738"/>
      <c r="H122" s="2738">
        <f t="shared" si="9"/>
        <v>850000</v>
      </c>
      <c r="I122" s="2738"/>
      <c r="J122" s="2738"/>
      <c r="K122" s="2738"/>
      <c r="L122" s="2743"/>
      <c r="M122" s="2738">
        <f>'[10]NFMA46 '!I130</f>
        <v>739800</v>
      </c>
      <c r="N122" s="2738">
        <f>'[10]NFMA46 '!L130</f>
        <v>0</v>
      </c>
      <c r="O122" s="2738">
        <f t="shared" si="10"/>
        <v>0</v>
      </c>
      <c r="P122" s="2739">
        <f>'[10]NFMA46 '!K130</f>
        <v>739800</v>
      </c>
      <c r="Q122" s="1715">
        <f t="shared" si="11"/>
        <v>100</v>
      </c>
      <c r="R122" s="1715">
        <f t="shared" si="12"/>
        <v>739800</v>
      </c>
      <c r="S122" s="1715">
        <f t="shared" si="13"/>
        <v>100</v>
      </c>
      <c r="T122" s="1715"/>
      <c r="U122" s="1715">
        <f t="shared" si="14"/>
        <v>0</v>
      </c>
      <c r="V122" s="2663"/>
    </row>
    <row r="123" spans="1:22" ht="137.25" customHeight="1">
      <c r="A123" s="2661">
        <v>114</v>
      </c>
      <c r="B123" s="2735" t="s">
        <v>5659</v>
      </c>
      <c r="C123" s="2740" t="s">
        <v>5660</v>
      </c>
      <c r="D123" s="2741" t="s">
        <v>5660</v>
      </c>
      <c r="E123" s="2742" t="s">
        <v>866</v>
      </c>
      <c r="F123" s="2738">
        <v>850000</v>
      </c>
      <c r="G123" s="2738"/>
      <c r="H123" s="2738">
        <f t="shared" si="9"/>
        <v>850000</v>
      </c>
      <c r="I123" s="2738"/>
      <c r="J123" s="2738"/>
      <c r="K123" s="2738"/>
      <c r="L123" s="2743"/>
      <c r="M123" s="2738">
        <f>'[10]NFMA46 '!I131</f>
        <v>739800</v>
      </c>
      <c r="N123" s="2738">
        <f>'[10]NFMA46 '!L131</f>
        <v>0</v>
      </c>
      <c r="O123" s="2738">
        <f t="shared" si="10"/>
        <v>0</v>
      </c>
      <c r="P123" s="2739">
        <f>'[10]NFMA46 '!K131</f>
        <v>739800</v>
      </c>
      <c r="Q123" s="1715">
        <f t="shared" si="11"/>
        <v>100</v>
      </c>
      <c r="R123" s="1715">
        <f t="shared" si="12"/>
        <v>739800</v>
      </c>
      <c r="S123" s="1715">
        <f t="shared" si="13"/>
        <v>100</v>
      </c>
      <c r="T123" s="1715"/>
      <c r="U123" s="1715">
        <f t="shared" si="14"/>
        <v>0</v>
      </c>
      <c r="V123" s="2663"/>
    </row>
    <row r="124" spans="1:22" ht="137.25" customHeight="1">
      <c r="A124" s="2661">
        <v>115</v>
      </c>
      <c r="B124" s="2735" t="s">
        <v>5661</v>
      </c>
      <c r="C124" s="2740" t="s">
        <v>5662</v>
      </c>
      <c r="D124" s="2741" t="s">
        <v>5662</v>
      </c>
      <c r="E124" s="2742" t="s">
        <v>866</v>
      </c>
      <c r="F124" s="2738">
        <v>850000</v>
      </c>
      <c r="G124" s="2738"/>
      <c r="H124" s="2738">
        <f t="shared" si="9"/>
        <v>850000</v>
      </c>
      <c r="I124" s="2738"/>
      <c r="J124" s="2738"/>
      <c r="K124" s="2738"/>
      <c r="L124" s="2743"/>
      <c r="M124" s="2738">
        <f>'[10]NFMA46 '!I132</f>
        <v>739800</v>
      </c>
      <c r="N124" s="2738">
        <f>'[10]NFMA46 '!L132</f>
        <v>0</v>
      </c>
      <c r="O124" s="2738">
        <f t="shared" si="10"/>
        <v>0</v>
      </c>
      <c r="P124" s="2739">
        <f>'[10]NFMA46 '!K132</f>
        <v>739800</v>
      </c>
      <c r="Q124" s="1715">
        <f t="shared" si="11"/>
        <v>100</v>
      </c>
      <c r="R124" s="1715">
        <f t="shared" si="12"/>
        <v>739800</v>
      </c>
      <c r="S124" s="1715">
        <f t="shared" si="13"/>
        <v>100</v>
      </c>
      <c r="T124" s="1715"/>
      <c r="U124" s="1715">
        <f t="shared" si="14"/>
        <v>0</v>
      </c>
      <c r="V124" s="2663"/>
    </row>
    <row r="125" spans="1:22" ht="137.25" customHeight="1">
      <c r="A125" s="2661">
        <v>116</v>
      </c>
      <c r="B125" s="2735" t="s">
        <v>5663</v>
      </c>
      <c r="C125" s="2740" t="s">
        <v>5664</v>
      </c>
      <c r="D125" s="2741" t="s">
        <v>5664</v>
      </c>
      <c r="E125" s="2742" t="s">
        <v>866</v>
      </c>
      <c r="F125" s="2738">
        <v>850000</v>
      </c>
      <c r="G125" s="2738"/>
      <c r="H125" s="2738">
        <f t="shared" si="9"/>
        <v>850000</v>
      </c>
      <c r="I125" s="2738"/>
      <c r="J125" s="2738"/>
      <c r="K125" s="2738"/>
      <c r="L125" s="2743"/>
      <c r="M125" s="2738">
        <f>'[10]NFMA46 '!I133</f>
        <v>739800</v>
      </c>
      <c r="N125" s="2738">
        <f>'[10]NFMA46 '!L133</f>
        <v>0</v>
      </c>
      <c r="O125" s="2738">
        <f t="shared" si="10"/>
        <v>0</v>
      </c>
      <c r="P125" s="2739">
        <f>'[10]NFMA46 '!K133</f>
        <v>739800</v>
      </c>
      <c r="Q125" s="1715">
        <f t="shared" si="11"/>
        <v>100</v>
      </c>
      <c r="R125" s="1715">
        <f t="shared" si="12"/>
        <v>739800</v>
      </c>
      <c r="S125" s="1715">
        <f t="shared" si="13"/>
        <v>100</v>
      </c>
      <c r="T125" s="1715"/>
      <c r="U125" s="1715">
        <f t="shared" si="14"/>
        <v>0</v>
      </c>
      <c r="V125" s="2663"/>
    </row>
    <row r="126" spans="1:22" ht="137.25" customHeight="1">
      <c r="A126" s="2661">
        <v>117</v>
      </c>
      <c r="B126" s="2735" t="s">
        <v>5665</v>
      </c>
      <c r="C126" s="2740" t="s">
        <v>5666</v>
      </c>
      <c r="D126" s="2741" t="s">
        <v>5666</v>
      </c>
      <c r="E126" s="2742" t="s">
        <v>866</v>
      </c>
      <c r="F126" s="2738">
        <v>850000</v>
      </c>
      <c r="G126" s="2738"/>
      <c r="H126" s="2738">
        <f t="shared" si="9"/>
        <v>850000</v>
      </c>
      <c r="I126" s="2738"/>
      <c r="J126" s="2738"/>
      <c r="K126" s="2738"/>
      <c r="L126" s="2743"/>
      <c r="M126" s="2738">
        <f>'[10]NFMA46 '!I134</f>
        <v>739800</v>
      </c>
      <c r="N126" s="2738">
        <f>'[10]NFMA46 '!L134</f>
        <v>0</v>
      </c>
      <c r="O126" s="2738">
        <f t="shared" si="10"/>
        <v>0</v>
      </c>
      <c r="P126" s="2739">
        <f>'[10]NFMA46 '!K134</f>
        <v>739800</v>
      </c>
      <c r="Q126" s="1715">
        <f t="shared" si="11"/>
        <v>100</v>
      </c>
      <c r="R126" s="1715">
        <f t="shared" si="12"/>
        <v>739800</v>
      </c>
      <c r="S126" s="1715">
        <f t="shared" si="13"/>
        <v>100</v>
      </c>
      <c r="T126" s="1715"/>
      <c r="U126" s="1715">
        <f t="shared" si="14"/>
        <v>0</v>
      </c>
      <c r="V126" s="2663"/>
    </row>
    <row r="127" spans="1:22" ht="137.25" customHeight="1">
      <c r="A127" s="2661">
        <v>118</v>
      </c>
      <c r="B127" s="2735" t="s">
        <v>5667</v>
      </c>
      <c r="C127" s="2740" t="s">
        <v>5668</v>
      </c>
      <c r="D127" s="2741" t="s">
        <v>5668</v>
      </c>
      <c r="E127" s="2742" t="s">
        <v>866</v>
      </c>
      <c r="F127" s="2738">
        <v>850000</v>
      </c>
      <c r="G127" s="2738"/>
      <c r="H127" s="2738">
        <f t="shared" si="9"/>
        <v>850000</v>
      </c>
      <c r="I127" s="2738"/>
      <c r="J127" s="2738"/>
      <c r="K127" s="2738"/>
      <c r="L127" s="2743"/>
      <c r="M127" s="2738">
        <f>'[10]NFMA46 '!I135</f>
        <v>739800</v>
      </c>
      <c r="N127" s="2738">
        <f>'[10]NFMA46 '!L135</f>
        <v>0</v>
      </c>
      <c r="O127" s="2738">
        <f t="shared" si="10"/>
        <v>0</v>
      </c>
      <c r="P127" s="2739">
        <f>'[10]NFMA46 '!K135</f>
        <v>739800</v>
      </c>
      <c r="Q127" s="1715">
        <f t="shared" si="11"/>
        <v>100</v>
      </c>
      <c r="R127" s="1715">
        <f t="shared" si="12"/>
        <v>739800</v>
      </c>
      <c r="S127" s="1715">
        <f t="shared" si="13"/>
        <v>100</v>
      </c>
      <c r="T127" s="1715"/>
      <c r="U127" s="1715">
        <f t="shared" si="14"/>
        <v>0</v>
      </c>
      <c r="V127" s="2663"/>
    </row>
    <row r="128" spans="1:22" ht="137.25" customHeight="1">
      <c r="A128" s="2661">
        <v>119</v>
      </c>
      <c r="B128" s="2735" t="s">
        <v>5669</v>
      </c>
      <c r="C128" s="2740" t="s">
        <v>5670</v>
      </c>
      <c r="D128" s="2741" t="s">
        <v>5670</v>
      </c>
      <c r="E128" s="2742" t="s">
        <v>866</v>
      </c>
      <c r="F128" s="2738">
        <v>850000</v>
      </c>
      <c r="G128" s="2738"/>
      <c r="H128" s="2738">
        <f t="shared" si="9"/>
        <v>850000</v>
      </c>
      <c r="I128" s="2738"/>
      <c r="J128" s="2738"/>
      <c r="K128" s="2738"/>
      <c r="L128" s="2743"/>
      <c r="M128" s="2738">
        <f>'[10]NFMA46 '!I136</f>
        <v>739800</v>
      </c>
      <c r="N128" s="2738">
        <f>'[10]NFMA46 '!L136</f>
        <v>0</v>
      </c>
      <c r="O128" s="2738">
        <f t="shared" si="10"/>
        <v>0</v>
      </c>
      <c r="P128" s="2739">
        <f>'[10]NFMA46 '!K136</f>
        <v>739800</v>
      </c>
      <c r="Q128" s="1715">
        <f t="shared" si="11"/>
        <v>100</v>
      </c>
      <c r="R128" s="1715">
        <f t="shared" si="12"/>
        <v>739800</v>
      </c>
      <c r="S128" s="1715">
        <f t="shared" si="13"/>
        <v>100</v>
      </c>
      <c r="T128" s="1715"/>
      <c r="U128" s="1715">
        <f t="shared" si="14"/>
        <v>0</v>
      </c>
      <c r="V128" s="2663"/>
    </row>
    <row r="129" spans="1:22" ht="137.25" customHeight="1">
      <c r="A129" s="2661">
        <v>120</v>
      </c>
      <c r="B129" s="2735" t="s">
        <v>5671</v>
      </c>
      <c r="C129" s="2740" t="s">
        <v>5672</v>
      </c>
      <c r="D129" s="2741" t="s">
        <v>5672</v>
      </c>
      <c r="E129" s="2742" t="s">
        <v>866</v>
      </c>
      <c r="F129" s="2738">
        <v>850000</v>
      </c>
      <c r="G129" s="2738"/>
      <c r="H129" s="2738">
        <f t="shared" si="9"/>
        <v>850000</v>
      </c>
      <c r="I129" s="2738"/>
      <c r="J129" s="2738"/>
      <c r="K129" s="2738"/>
      <c r="L129" s="2743"/>
      <c r="M129" s="2738">
        <f>'[10]NFMA46 '!I137</f>
        <v>739800</v>
      </c>
      <c r="N129" s="2738">
        <f>'[10]NFMA46 '!L137</f>
        <v>0</v>
      </c>
      <c r="O129" s="2738">
        <f t="shared" si="10"/>
        <v>0</v>
      </c>
      <c r="P129" s="2739">
        <f>'[10]NFMA46 '!K137</f>
        <v>739800</v>
      </c>
      <c r="Q129" s="1715">
        <f t="shared" si="11"/>
        <v>100</v>
      </c>
      <c r="R129" s="1715">
        <f t="shared" si="12"/>
        <v>739800</v>
      </c>
      <c r="S129" s="1715">
        <f t="shared" si="13"/>
        <v>100</v>
      </c>
      <c r="T129" s="1715"/>
      <c r="U129" s="1715">
        <f t="shared" si="14"/>
        <v>0</v>
      </c>
      <c r="V129" s="2663"/>
    </row>
    <row r="130" spans="1:22" ht="137.25" customHeight="1">
      <c r="A130" s="2661">
        <v>121</v>
      </c>
      <c r="B130" s="2735" t="s">
        <v>5673</v>
      </c>
      <c r="C130" s="2740" t="s">
        <v>5674</v>
      </c>
      <c r="D130" s="2741" t="s">
        <v>5674</v>
      </c>
      <c r="E130" s="2742" t="s">
        <v>866</v>
      </c>
      <c r="F130" s="2738">
        <v>850000</v>
      </c>
      <c r="G130" s="2738"/>
      <c r="H130" s="2738">
        <f t="shared" si="9"/>
        <v>850000</v>
      </c>
      <c r="I130" s="2738"/>
      <c r="J130" s="2738"/>
      <c r="K130" s="2738"/>
      <c r="L130" s="2743"/>
      <c r="M130" s="2738">
        <f>'[10]NFMA46 '!I138</f>
        <v>739800</v>
      </c>
      <c r="N130" s="2738">
        <f>'[10]NFMA46 '!L138</f>
        <v>0</v>
      </c>
      <c r="O130" s="2738">
        <f t="shared" si="10"/>
        <v>0</v>
      </c>
      <c r="P130" s="2739">
        <f>'[10]NFMA46 '!K138</f>
        <v>739800</v>
      </c>
      <c r="Q130" s="1715">
        <f t="shared" si="11"/>
        <v>100</v>
      </c>
      <c r="R130" s="1715">
        <f t="shared" si="12"/>
        <v>739800</v>
      </c>
      <c r="S130" s="1715">
        <f t="shared" si="13"/>
        <v>100</v>
      </c>
      <c r="T130" s="1715"/>
      <c r="U130" s="1715">
        <f t="shared" si="14"/>
        <v>0</v>
      </c>
      <c r="V130" s="2663"/>
    </row>
    <row r="131" spans="1:22" ht="137.25" customHeight="1">
      <c r="A131" s="2661">
        <v>122</v>
      </c>
      <c r="B131" s="2735" t="s">
        <v>5675</v>
      </c>
      <c r="C131" s="2740" t="s">
        <v>5676</v>
      </c>
      <c r="D131" s="2741" t="s">
        <v>5676</v>
      </c>
      <c r="E131" s="2742" t="s">
        <v>866</v>
      </c>
      <c r="F131" s="2738">
        <v>850000</v>
      </c>
      <c r="G131" s="2738"/>
      <c r="H131" s="2738">
        <f t="shared" si="9"/>
        <v>850000</v>
      </c>
      <c r="I131" s="2738"/>
      <c r="J131" s="2738"/>
      <c r="K131" s="2738"/>
      <c r="L131" s="2743"/>
      <c r="M131" s="2738">
        <f>'[10]NFMA46 '!I139</f>
        <v>739800</v>
      </c>
      <c r="N131" s="2738">
        <f>'[10]NFMA46 '!L139</f>
        <v>0</v>
      </c>
      <c r="O131" s="2738">
        <f t="shared" si="10"/>
        <v>0</v>
      </c>
      <c r="P131" s="2739">
        <f>'[10]NFMA46 '!K139</f>
        <v>739800</v>
      </c>
      <c r="Q131" s="1715">
        <f t="shared" si="11"/>
        <v>100</v>
      </c>
      <c r="R131" s="1715">
        <f t="shared" si="12"/>
        <v>739800</v>
      </c>
      <c r="S131" s="1715">
        <f t="shared" si="13"/>
        <v>100</v>
      </c>
      <c r="T131" s="1715"/>
      <c r="U131" s="1715">
        <f t="shared" si="14"/>
        <v>0</v>
      </c>
      <c r="V131" s="2663"/>
    </row>
    <row r="132" spans="1:22" ht="137.25" customHeight="1">
      <c r="A132" s="2661">
        <v>123</v>
      </c>
      <c r="B132" s="2735" t="s">
        <v>5677</v>
      </c>
      <c r="C132" s="2740" t="s">
        <v>5678</v>
      </c>
      <c r="D132" s="2741" t="s">
        <v>5678</v>
      </c>
      <c r="E132" s="2742" t="s">
        <v>866</v>
      </c>
      <c r="F132" s="2738">
        <v>850000</v>
      </c>
      <c r="G132" s="2738"/>
      <c r="H132" s="2738">
        <f t="shared" si="9"/>
        <v>850000</v>
      </c>
      <c r="I132" s="2738"/>
      <c r="J132" s="2738"/>
      <c r="K132" s="2738"/>
      <c r="L132" s="2743"/>
      <c r="M132" s="2738">
        <f>'[10]NFMA46 '!I140</f>
        <v>739800</v>
      </c>
      <c r="N132" s="2738">
        <f>'[10]NFMA46 '!L140</f>
        <v>0</v>
      </c>
      <c r="O132" s="2738">
        <f t="shared" si="10"/>
        <v>0</v>
      </c>
      <c r="P132" s="2739">
        <f>'[10]NFMA46 '!K140</f>
        <v>739800</v>
      </c>
      <c r="Q132" s="1715">
        <f t="shared" si="11"/>
        <v>100</v>
      </c>
      <c r="R132" s="1715">
        <f t="shared" si="12"/>
        <v>739800</v>
      </c>
      <c r="S132" s="1715">
        <f t="shared" si="13"/>
        <v>100</v>
      </c>
      <c r="T132" s="1715"/>
      <c r="U132" s="1715">
        <f t="shared" si="14"/>
        <v>0</v>
      </c>
      <c r="V132" s="2663"/>
    </row>
    <row r="133" spans="1:22" ht="137.25" customHeight="1">
      <c r="A133" s="2661">
        <v>124</v>
      </c>
      <c r="B133" s="2735" t="s">
        <v>5679</v>
      </c>
      <c r="C133" s="2740" t="s">
        <v>5680</v>
      </c>
      <c r="D133" s="2741" t="s">
        <v>5680</v>
      </c>
      <c r="E133" s="2742" t="s">
        <v>866</v>
      </c>
      <c r="F133" s="2738">
        <v>850000</v>
      </c>
      <c r="G133" s="2738"/>
      <c r="H133" s="2738">
        <f t="shared" si="9"/>
        <v>850000</v>
      </c>
      <c r="I133" s="2738"/>
      <c r="J133" s="2738"/>
      <c r="K133" s="2738"/>
      <c r="L133" s="2743"/>
      <c r="M133" s="2738">
        <f>'[10]NFMA46 '!I141</f>
        <v>739800</v>
      </c>
      <c r="N133" s="2738">
        <f>'[10]NFMA46 '!L141</f>
        <v>0</v>
      </c>
      <c r="O133" s="2738">
        <f t="shared" si="10"/>
        <v>0</v>
      </c>
      <c r="P133" s="2739">
        <f>'[10]NFMA46 '!K141</f>
        <v>739800</v>
      </c>
      <c r="Q133" s="1715">
        <f t="shared" si="11"/>
        <v>100</v>
      </c>
      <c r="R133" s="1715">
        <f t="shared" si="12"/>
        <v>739800</v>
      </c>
      <c r="S133" s="1715">
        <f t="shared" si="13"/>
        <v>100</v>
      </c>
      <c r="T133" s="1715"/>
      <c r="U133" s="1715">
        <f t="shared" si="14"/>
        <v>0</v>
      </c>
      <c r="V133" s="2663"/>
    </row>
    <row r="134" spans="1:22" ht="137.25" customHeight="1">
      <c r="A134" s="2661">
        <v>125</v>
      </c>
      <c r="B134" s="2735" t="s">
        <v>5681</v>
      </c>
      <c r="C134" s="2740" t="s">
        <v>5682</v>
      </c>
      <c r="D134" s="2741" t="s">
        <v>5682</v>
      </c>
      <c r="E134" s="2742" t="s">
        <v>866</v>
      </c>
      <c r="F134" s="2738">
        <v>850000</v>
      </c>
      <c r="G134" s="2738"/>
      <c r="H134" s="2738">
        <f t="shared" si="9"/>
        <v>850000</v>
      </c>
      <c r="I134" s="2738"/>
      <c r="J134" s="2738"/>
      <c r="K134" s="2738"/>
      <c r="L134" s="2743"/>
      <c r="M134" s="2738">
        <f>'[10]NFMA46 '!I142</f>
        <v>739800</v>
      </c>
      <c r="N134" s="2738">
        <f>'[10]NFMA46 '!L142</f>
        <v>0</v>
      </c>
      <c r="O134" s="2738">
        <f t="shared" si="10"/>
        <v>0</v>
      </c>
      <c r="P134" s="2739">
        <f>'[10]NFMA46 '!K142</f>
        <v>739800</v>
      </c>
      <c r="Q134" s="1715">
        <f t="shared" si="11"/>
        <v>100</v>
      </c>
      <c r="R134" s="1715">
        <f t="shared" si="12"/>
        <v>739800</v>
      </c>
      <c r="S134" s="1715">
        <f t="shared" si="13"/>
        <v>100</v>
      </c>
      <c r="T134" s="1715"/>
      <c r="U134" s="1715">
        <f t="shared" si="14"/>
        <v>0</v>
      </c>
      <c r="V134" s="2663"/>
    </row>
    <row r="135" spans="1:22" ht="137.25" customHeight="1">
      <c r="A135" s="2661">
        <v>126</v>
      </c>
      <c r="B135" s="2735" t="s">
        <v>5683</v>
      </c>
      <c r="C135" s="2740" t="s">
        <v>5684</v>
      </c>
      <c r="D135" s="2741" t="s">
        <v>5684</v>
      </c>
      <c r="E135" s="2742" t="s">
        <v>866</v>
      </c>
      <c r="F135" s="2738">
        <v>850000</v>
      </c>
      <c r="G135" s="2738"/>
      <c r="H135" s="2738">
        <f t="shared" si="9"/>
        <v>850000</v>
      </c>
      <c r="I135" s="2738"/>
      <c r="J135" s="2738"/>
      <c r="K135" s="2738"/>
      <c r="L135" s="2743"/>
      <c r="M135" s="2738">
        <f>'[10]NFMA46 '!I143</f>
        <v>739800</v>
      </c>
      <c r="N135" s="2738">
        <f>'[10]NFMA46 '!L143</f>
        <v>0</v>
      </c>
      <c r="O135" s="2738">
        <f t="shared" si="10"/>
        <v>0</v>
      </c>
      <c r="P135" s="2739">
        <f>'[10]NFMA46 '!K143</f>
        <v>739800</v>
      </c>
      <c r="Q135" s="1715">
        <f t="shared" si="11"/>
        <v>100</v>
      </c>
      <c r="R135" s="1715">
        <f t="shared" si="12"/>
        <v>739800</v>
      </c>
      <c r="S135" s="1715">
        <f t="shared" si="13"/>
        <v>100</v>
      </c>
      <c r="T135" s="1715"/>
      <c r="U135" s="1715">
        <f t="shared" si="14"/>
        <v>0</v>
      </c>
      <c r="V135" s="2663"/>
    </row>
    <row r="136" spans="1:22" ht="137.25" customHeight="1">
      <c r="A136" s="2661">
        <v>127</v>
      </c>
      <c r="B136" s="2735" t="s">
        <v>5685</v>
      </c>
      <c r="C136" s="2740" t="s">
        <v>5686</v>
      </c>
      <c r="D136" s="2741" t="s">
        <v>5686</v>
      </c>
      <c r="E136" s="2742" t="s">
        <v>866</v>
      </c>
      <c r="F136" s="2738">
        <v>850000</v>
      </c>
      <c r="G136" s="2738"/>
      <c r="H136" s="2738">
        <f t="shared" si="9"/>
        <v>850000</v>
      </c>
      <c r="I136" s="2738"/>
      <c r="J136" s="2738"/>
      <c r="K136" s="2738"/>
      <c r="L136" s="2743"/>
      <c r="M136" s="2738">
        <f>'[10]NFMA46 '!I144</f>
        <v>739800</v>
      </c>
      <c r="N136" s="2738">
        <f>'[10]NFMA46 '!L144</f>
        <v>0</v>
      </c>
      <c r="O136" s="2738">
        <f t="shared" si="10"/>
        <v>0</v>
      </c>
      <c r="P136" s="2739">
        <f>'[10]NFMA46 '!K144</f>
        <v>739800</v>
      </c>
      <c r="Q136" s="1715">
        <f t="shared" si="11"/>
        <v>100</v>
      </c>
      <c r="R136" s="1715">
        <f t="shared" si="12"/>
        <v>739800</v>
      </c>
      <c r="S136" s="1715">
        <f t="shared" si="13"/>
        <v>100</v>
      </c>
      <c r="T136" s="1715"/>
      <c r="U136" s="1715">
        <f t="shared" si="14"/>
        <v>0</v>
      </c>
      <c r="V136" s="2663"/>
    </row>
    <row r="137" spans="1:22" ht="137.25" customHeight="1">
      <c r="A137" s="2661">
        <v>128</v>
      </c>
      <c r="B137" s="2735" t="s">
        <v>5687</v>
      </c>
      <c r="C137" s="2740" t="s">
        <v>5688</v>
      </c>
      <c r="D137" s="2741" t="s">
        <v>5688</v>
      </c>
      <c r="E137" s="2742" t="s">
        <v>866</v>
      </c>
      <c r="F137" s="2738">
        <v>850000</v>
      </c>
      <c r="G137" s="2738"/>
      <c r="H137" s="2738">
        <f t="shared" si="9"/>
        <v>850000</v>
      </c>
      <c r="I137" s="2738"/>
      <c r="J137" s="2738"/>
      <c r="K137" s="2738"/>
      <c r="L137" s="2743"/>
      <c r="M137" s="2738">
        <f>'[10]NFMA46 '!I145</f>
        <v>739800</v>
      </c>
      <c r="N137" s="2738">
        <f>'[10]NFMA46 '!L145</f>
        <v>0</v>
      </c>
      <c r="O137" s="2738">
        <f t="shared" si="10"/>
        <v>0</v>
      </c>
      <c r="P137" s="2739">
        <f>'[10]NFMA46 '!K145</f>
        <v>739800</v>
      </c>
      <c r="Q137" s="1715">
        <f t="shared" si="11"/>
        <v>100</v>
      </c>
      <c r="R137" s="1715">
        <f t="shared" si="12"/>
        <v>739800</v>
      </c>
      <c r="S137" s="1715">
        <f t="shared" si="13"/>
        <v>100</v>
      </c>
      <c r="T137" s="1715"/>
      <c r="U137" s="1715">
        <f t="shared" si="14"/>
        <v>0</v>
      </c>
      <c r="V137" s="2663"/>
    </row>
    <row r="138" spans="1:22" ht="137.25" customHeight="1">
      <c r="A138" s="2661">
        <v>129</v>
      </c>
      <c r="B138" s="2735" t="s">
        <v>5689</v>
      </c>
      <c r="C138" s="2740" t="s">
        <v>5690</v>
      </c>
      <c r="D138" s="2741" t="s">
        <v>5690</v>
      </c>
      <c r="E138" s="2742" t="s">
        <v>866</v>
      </c>
      <c r="F138" s="2738">
        <v>850000</v>
      </c>
      <c r="G138" s="2738"/>
      <c r="H138" s="2738">
        <f t="shared" si="9"/>
        <v>850000</v>
      </c>
      <c r="I138" s="2738"/>
      <c r="J138" s="2738"/>
      <c r="K138" s="2738"/>
      <c r="L138" s="2743"/>
      <c r="M138" s="2738">
        <f>'[10]NFMA46 '!I146</f>
        <v>739800</v>
      </c>
      <c r="N138" s="2738">
        <f>'[10]NFMA46 '!L146</f>
        <v>0</v>
      </c>
      <c r="O138" s="2738">
        <f t="shared" si="10"/>
        <v>0</v>
      </c>
      <c r="P138" s="2739">
        <f>'[10]NFMA46 '!K146</f>
        <v>739800</v>
      </c>
      <c r="Q138" s="1715">
        <f t="shared" si="11"/>
        <v>100</v>
      </c>
      <c r="R138" s="1715">
        <f t="shared" si="12"/>
        <v>739800</v>
      </c>
      <c r="S138" s="1715">
        <f t="shared" si="13"/>
        <v>100</v>
      </c>
      <c r="T138" s="1715"/>
      <c r="U138" s="1715">
        <f t="shared" si="14"/>
        <v>0</v>
      </c>
      <c r="V138" s="2663"/>
    </row>
    <row r="139" spans="1:22" ht="137.25" customHeight="1">
      <c r="A139" s="2661">
        <v>130</v>
      </c>
      <c r="B139" s="2735" t="s">
        <v>5691</v>
      </c>
      <c r="C139" s="2740" t="s">
        <v>5692</v>
      </c>
      <c r="D139" s="2741" t="s">
        <v>5692</v>
      </c>
      <c r="E139" s="2742" t="s">
        <v>866</v>
      </c>
      <c r="F139" s="2738">
        <v>850000</v>
      </c>
      <c r="G139" s="2738"/>
      <c r="H139" s="2738">
        <f t="shared" ref="H139:H154" si="15">G139+F139</f>
        <v>850000</v>
      </c>
      <c r="I139" s="2738"/>
      <c r="J139" s="2738"/>
      <c r="K139" s="2738"/>
      <c r="L139" s="2743"/>
      <c r="M139" s="2738">
        <f>'[10]NFMA46 '!I147</f>
        <v>739800</v>
      </c>
      <c r="N139" s="2738">
        <f>'[10]NFMA46 '!L147</f>
        <v>0</v>
      </c>
      <c r="O139" s="2738">
        <f t="shared" si="10"/>
        <v>0</v>
      </c>
      <c r="P139" s="2739">
        <f>'[10]NFMA46 '!K147</f>
        <v>739800</v>
      </c>
      <c r="Q139" s="1715">
        <f t="shared" si="11"/>
        <v>100</v>
      </c>
      <c r="R139" s="1715">
        <f t="shared" si="12"/>
        <v>739800</v>
      </c>
      <c r="S139" s="1715">
        <f t="shared" si="13"/>
        <v>100</v>
      </c>
      <c r="T139" s="1715"/>
      <c r="U139" s="1715">
        <f t="shared" si="14"/>
        <v>0</v>
      </c>
      <c r="V139" s="2663"/>
    </row>
    <row r="140" spans="1:22" ht="137.25" customHeight="1">
      <c r="A140" s="2661">
        <v>131</v>
      </c>
      <c r="B140" s="2735" t="s">
        <v>5693</v>
      </c>
      <c r="C140" s="2740" t="s">
        <v>5694</v>
      </c>
      <c r="D140" s="2741" t="s">
        <v>5694</v>
      </c>
      <c r="E140" s="2742" t="s">
        <v>866</v>
      </c>
      <c r="F140" s="2738">
        <v>850000</v>
      </c>
      <c r="G140" s="2738"/>
      <c r="H140" s="2738">
        <f t="shared" si="15"/>
        <v>850000</v>
      </c>
      <c r="I140" s="2738"/>
      <c r="J140" s="2738"/>
      <c r="K140" s="2738"/>
      <c r="L140" s="2743"/>
      <c r="M140" s="2738">
        <f>'[10]NFMA46 '!I148</f>
        <v>739800</v>
      </c>
      <c r="N140" s="2738">
        <f>'[10]NFMA46 '!L148</f>
        <v>0</v>
      </c>
      <c r="O140" s="2738">
        <f t="shared" ref="O140:O174" si="16">N140/M140*100</f>
        <v>0</v>
      </c>
      <c r="P140" s="2739">
        <f>'[10]NFMA46 '!K148</f>
        <v>739800</v>
      </c>
      <c r="Q140" s="1715">
        <f t="shared" ref="Q140:Q174" si="17">P140/M140*100</f>
        <v>100</v>
      </c>
      <c r="R140" s="1715">
        <f t="shared" ref="R140:R174" si="18">P140+N140</f>
        <v>739800</v>
      </c>
      <c r="S140" s="1715">
        <f t="shared" ref="S140:S174" si="19">R140/M140*100</f>
        <v>100</v>
      </c>
      <c r="T140" s="1715"/>
      <c r="U140" s="1715">
        <f t="shared" ref="U140:U174" si="20">M140-R140</f>
        <v>0</v>
      </c>
      <c r="V140" s="2663"/>
    </row>
    <row r="141" spans="1:22" ht="137.25" customHeight="1">
      <c r="A141" s="2661">
        <v>132</v>
      </c>
      <c r="B141" s="2735" t="s">
        <v>5695</v>
      </c>
      <c r="C141" s="2740" t="s">
        <v>5696</v>
      </c>
      <c r="D141" s="2741" t="s">
        <v>5696</v>
      </c>
      <c r="E141" s="2742" t="s">
        <v>866</v>
      </c>
      <c r="F141" s="2738">
        <v>850000</v>
      </c>
      <c r="G141" s="2738"/>
      <c r="H141" s="2738">
        <f t="shared" si="15"/>
        <v>850000</v>
      </c>
      <c r="I141" s="2738"/>
      <c r="J141" s="2738"/>
      <c r="K141" s="2738"/>
      <c r="L141" s="2743"/>
      <c r="M141" s="2738">
        <f>'[10]NFMA46 '!I149</f>
        <v>739800</v>
      </c>
      <c r="N141" s="2738">
        <f>'[10]NFMA46 '!L149</f>
        <v>0</v>
      </c>
      <c r="O141" s="2738">
        <f t="shared" si="16"/>
        <v>0</v>
      </c>
      <c r="P141" s="2739">
        <f>'[10]NFMA46 '!K149</f>
        <v>739800</v>
      </c>
      <c r="Q141" s="1715">
        <f t="shared" si="17"/>
        <v>100</v>
      </c>
      <c r="R141" s="1715">
        <f t="shared" si="18"/>
        <v>739800</v>
      </c>
      <c r="S141" s="1715">
        <f t="shared" si="19"/>
        <v>100</v>
      </c>
      <c r="T141" s="1715"/>
      <c r="U141" s="1715">
        <f t="shared" si="20"/>
        <v>0</v>
      </c>
      <c r="V141" s="2663"/>
    </row>
    <row r="142" spans="1:22" ht="137.25" customHeight="1">
      <c r="A142" s="2661">
        <v>133</v>
      </c>
      <c r="B142" s="2735" t="s">
        <v>5697</v>
      </c>
      <c r="C142" s="2740" t="s">
        <v>5698</v>
      </c>
      <c r="D142" s="2741" t="s">
        <v>5698</v>
      </c>
      <c r="E142" s="2742" t="s">
        <v>866</v>
      </c>
      <c r="F142" s="2738">
        <v>850000</v>
      </c>
      <c r="G142" s="2738"/>
      <c r="H142" s="2738">
        <f t="shared" si="15"/>
        <v>850000</v>
      </c>
      <c r="I142" s="2738"/>
      <c r="J142" s="2738"/>
      <c r="K142" s="2738"/>
      <c r="L142" s="2743"/>
      <c r="M142" s="2738">
        <f>'[10]NFMA46 '!I150</f>
        <v>739800</v>
      </c>
      <c r="N142" s="2738">
        <f>'[10]NFMA46 '!L150</f>
        <v>0</v>
      </c>
      <c r="O142" s="2738">
        <f t="shared" si="16"/>
        <v>0</v>
      </c>
      <c r="P142" s="2739">
        <f>'[10]NFMA46 '!K150</f>
        <v>739800</v>
      </c>
      <c r="Q142" s="1715">
        <f t="shared" si="17"/>
        <v>100</v>
      </c>
      <c r="R142" s="1715">
        <f t="shared" si="18"/>
        <v>739800</v>
      </c>
      <c r="S142" s="1715">
        <f t="shared" si="19"/>
        <v>100</v>
      </c>
      <c r="T142" s="1715"/>
      <c r="U142" s="1715">
        <f t="shared" si="20"/>
        <v>0</v>
      </c>
      <c r="V142" s="2663"/>
    </row>
    <row r="143" spans="1:22" ht="137.25" customHeight="1">
      <c r="A143" s="2661">
        <v>134</v>
      </c>
      <c r="B143" s="2735" t="s">
        <v>5699</v>
      </c>
      <c r="C143" s="2740" t="s">
        <v>5700</v>
      </c>
      <c r="D143" s="2741" t="s">
        <v>5700</v>
      </c>
      <c r="E143" s="2742" t="s">
        <v>866</v>
      </c>
      <c r="F143" s="2738">
        <v>850000</v>
      </c>
      <c r="G143" s="2738"/>
      <c r="H143" s="2738">
        <f t="shared" si="15"/>
        <v>850000</v>
      </c>
      <c r="I143" s="2738"/>
      <c r="J143" s="2738"/>
      <c r="K143" s="2738"/>
      <c r="L143" s="2743"/>
      <c r="M143" s="2738">
        <f>'[10]NFMA46 '!I151</f>
        <v>739800</v>
      </c>
      <c r="N143" s="2738">
        <f>'[10]NFMA46 '!L151</f>
        <v>0</v>
      </c>
      <c r="O143" s="2738">
        <f t="shared" si="16"/>
        <v>0</v>
      </c>
      <c r="P143" s="2739">
        <f>'[10]NFMA46 '!K151</f>
        <v>739800</v>
      </c>
      <c r="Q143" s="1715">
        <f t="shared" si="17"/>
        <v>100</v>
      </c>
      <c r="R143" s="1715">
        <f t="shared" si="18"/>
        <v>739800</v>
      </c>
      <c r="S143" s="1715">
        <f t="shared" si="19"/>
        <v>100</v>
      </c>
      <c r="T143" s="1715"/>
      <c r="U143" s="1715">
        <f t="shared" si="20"/>
        <v>0</v>
      </c>
      <c r="V143" s="2663"/>
    </row>
    <row r="144" spans="1:22" ht="137.25" customHeight="1">
      <c r="A144" s="2661">
        <v>135</v>
      </c>
      <c r="B144" s="2735" t="s">
        <v>5701</v>
      </c>
      <c r="C144" s="2740" t="s">
        <v>5702</v>
      </c>
      <c r="D144" s="2741" t="s">
        <v>5702</v>
      </c>
      <c r="E144" s="2742" t="s">
        <v>866</v>
      </c>
      <c r="F144" s="2738">
        <v>850000</v>
      </c>
      <c r="G144" s="2738"/>
      <c r="H144" s="2738">
        <f t="shared" si="15"/>
        <v>850000</v>
      </c>
      <c r="I144" s="2738"/>
      <c r="J144" s="2738"/>
      <c r="K144" s="2738"/>
      <c r="L144" s="2743"/>
      <c r="M144" s="2738">
        <f>'[10]NFMA46 '!I152</f>
        <v>739800</v>
      </c>
      <c r="N144" s="2738">
        <f>'[10]NFMA46 '!L152</f>
        <v>0</v>
      </c>
      <c r="O144" s="2738">
        <f t="shared" si="16"/>
        <v>0</v>
      </c>
      <c r="P144" s="2739">
        <f>'[10]NFMA46 '!K152</f>
        <v>739800</v>
      </c>
      <c r="Q144" s="1715">
        <f t="shared" si="17"/>
        <v>100</v>
      </c>
      <c r="R144" s="1715">
        <f t="shared" si="18"/>
        <v>739800</v>
      </c>
      <c r="S144" s="1715">
        <f t="shared" si="19"/>
        <v>100</v>
      </c>
      <c r="T144" s="1715"/>
      <c r="U144" s="1715">
        <f t="shared" si="20"/>
        <v>0</v>
      </c>
      <c r="V144" s="2663"/>
    </row>
    <row r="145" spans="1:22" ht="137.25" customHeight="1">
      <c r="A145" s="2661">
        <v>136</v>
      </c>
      <c r="B145" s="2735" t="s">
        <v>5703</v>
      </c>
      <c r="C145" s="2740" t="s">
        <v>5704</v>
      </c>
      <c r="D145" s="2741" t="s">
        <v>5704</v>
      </c>
      <c r="E145" s="2742" t="s">
        <v>866</v>
      </c>
      <c r="F145" s="2738">
        <v>850000</v>
      </c>
      <c r="G145" s="2738"/>
      <c r="H145" s="2738">
        <f t="shared" si="15"/>
        <v>850000</v>
      </c>
      <c r="I145" s="2738"/>
      <c r="J145" s="2738"/>
      <c r="K145" s="2738"/>
      <c r="L145" s="2743"/>
      <c r="M145" s="2738">
        <f>'[10]NFMA46 '!I153</f>
        <v>739800</v>
      </c>
      <c r="N145" s="2738">
        <f>'[10]NFMA46 '!L153</f>
        <v>0</v>
      </c>
      <c r="O145" s="2738">
        <f t="shared" si="16"/>
        <v>0</v>
      </c>
      <c r="P145" s="2739">
        <f>'[10]NFMA46 '!K153</f>
        <v>739800</v>
      </c>
      <c r="Q145" s="1715">
        <f t="shared" si="17"/>
        <v>100</v>
      </c>
      <c r="R145" s="1715">
        <f t="shared" si="18"/>
        <v>739800</v>
      </c>
      <c r="S145" s="1715">
        <f t="shared" si="19"/>
        <v>100</v>
      </c>
      <c r="T145" s="1715"/>
      <c r="U145" s="1715">
        <f t="shared" si="20"/>
        <v>0</v>
      </c>
      <c r="V145" s="2663"/>
    </row>
    <row r="146" spans="1:22" ht="137.25" customHeight="1">
      <c r="A146" s="2661">
        <v>137</v>
      </c>
      <c r="B146" s="2735" t="s">
        <v>5705</v>
      </c>
      <c r="C146" s="2740" t="s">
        <v>5706</v>
      </c>
      <c r="D146" s="2741" t="s">
        <v>5706</v>
      </c>
      <c r="E146" s="2742" t="s">
        <v>866</v>
      </c>
      <c r="F146" s="2738">
        <v>850000</v>
      </c>
      <c r="G146" s="2738"/>
      <c r="H146" s="2738">
        <f t="shared" si="15"/>
        <v>850000</v>
      </c>
      <c r="I146" s="2738"/>
      <c r="J146" s="2738"/>
      <c r="K146" s="2738"/>
      <c r="L146" s="2743"/>
      <c r="M146" s="2738">
        <f>'[10]NFMA46 '!I154</f>
        <v>757600</v>
      </c>
      <c r="N146" s="2738">
        <f>'[10]NFMA46 '!L154</f>
        <v>0</v>
      </c>
      <c r="O146" s="2738">
        <f t="shared" si="16"/>
        <v>0</v>
      </c>
      <c r="P146" s="2739">
        <f>'[10]NFMA46 '!K154</f>
        <v>739800</v>
      </c>
      <c r="Q146" s="1715">
        <f t="shared" si="17"/>
        <v>97.65047518479409</v>
      </c>
      <c r="R146" s="1715">
        <f t="shared" si="18"/>
        <v>739800</v>
      </c>
      <c r="S146" s="1715">
        <f t="shared" si="19"/>
        <v>97.65047518479409</v>
      </c>
      <c r="T146" s="1715"/>
      <c r="U146" s="1715">
        <f t="shared" si="20"/>
        <v>17800</v>
      </c>
      <c r="V146" s="2663"/>
    </row>
    <row r="147" spans="1:22" ht="137.25" customHeight="1">
      <c r="A147" s="2661">
        <v>138</v>
      </c>
      <c r="B147" s="2735" t="s">
        <v>5707</v>
      </c>
      <c r="C147" s="2740" t="s">
        <v>5708</v>
      </c>
      <c r="D147" s="2741" t="s">
        <v>5708</v>
      </c>
      <c r="E147" s="2742" t="s">
        <v>866</v>
      </c>
      <c r="F147" s="2738">
        <v>850000</v>
      </c>
      <c r="G147" s="2738"/>
      <c r="H147" s="2738">
        <f t="shared" si="15"/>
        <v>850000</v>
      </c>
      <c r="I147" s="2738"/>
      <c r="J147" s="2738"/>
      <c r="K147" s="2738"/>
      <c r="L147" s="2743"/>
      <c r="M147" s="2738">
        <f>'[10]NFMA46 '!I155</f>
        <v>850000</v>
      </c>
      <c r="N147" s="2738">
        <f>'[10]NFMA46 '!L155</f>
        <v>0</v>
      </c>
      <c r="O147" s="2738">
        <f t="shared" si="16"/>
        <v>0</v>
      </c>
      <c r="P147" s="2739">
        <f>'[10]NFMA46 '!K155</f>
        <v>739800</v>
      </c>
      <c r="Q147" s="1715">
        <f t="shared" si="17"/>
        <v>87.035294117647055</v>
      </c>
      <c r="R147" s="1715">
        <f t="shared" si="18"/>
        <v>739800</v>
      </c>
      <c r="S147" s="1715">
        <f t="shared" si="19"/>
        <v>87.035294117647055</v>
      </c>
      <c r="T147" s="1715"/>
      <c r="U147" s="1715">
        <f t="shared" si="20"/>
        <v>110200</v>
      </c>
      <c r="V147" s="2663"/>
    </row>
    <row r="148" spans="1:22" ht="137.25" customHeight="1">
      <c r="A148" s="2661">
        <v>139</v>
      </c>
      <c r="B148" s="2735" t="s">
        <v>5709</v>
      </c>
      <c r="C148" s="2740" t="s">
        <v>5710</v>
      </c>
      <c r="D148" s="2741" t="s">
        <v>5710</v>
      </c>
      <c r="E148" s="2742" t="s">
        <v>866</v>
      </c>
      <c r="F148" s="2738">
        <v>850000</v>
      </c>
      <c r="G148" s="2738"/>
      <c r="H148" s="2738">
        <f t="shared" si="15"/>
        <v>850000</v>
      </c>
      <c r="I148" s="2738"/>
      <c r="J148" s="2738"/>
      <c r="K148" s="2738"/>
      <c r="L148" s="2743"/>
      <c r="M148" s="2738">
        <f>'[10]NFMA46 '!I156</f>
        <v>850000</v>
      </c>
      <c r="N148" s="2738">
        <f>'[10]NFMA46 '!L156</f>
        <v>0</v>
      </c>
      <c r="O148" s="2738">
        <f t="shared" si="16"/>
        <v>0</v>
      </c>
      <c r="P148" s="2739">
        <f>'[10]NFMA46 '!K156</f>
        <v>739800</v>
      </c>
      <c r="Q148" s="1715">
        <f t="shared" si="17"/>
        <v>87.035294117647055</v>
      </c>
      <c r="R148" s="1715">
        <f t="shared" si="18"/>
        <v>739800</v>
      </c>
      <c r="S148" s="1715">
        <f t="shared" si="19"/>
        <v>87.035294117647055</v>
      </c>
      <c r="T148" s="1715"/>
      <c r="U148" s="1715">
        <f t="shared" si="20"/>
        <v>110200</v>
      </c>
      <c r="V148" s="2663"/>
    </row>
    <row r="149" spans="1:22" ht="137.25" customHeight="1">
      <c r="A149" s="2661">
        <v>140</v>
      </c>
      <c r="B149" s="2735" t="s">
        <v>5711</v>
      </c>
      <c r="C149" s="2740" t="s">
        <v>5712</v>
      </c>
      <c r="D149" s="2741" t="s">
        <v>5712</v>
      </c>
      <c r="E149" s="2742" t="s">
        <v>866</v>
      </c>
      <c r="F149" s="2738">
        <v>850000</v>
      </c>
      <c r="G149" s="2738"/>
      <c r="H149" s="2738">
        <f t="shared" si="15"/>
        <v>850000</v>
      </c>
      <c r="I149" s="2738"/>
      <c r="J149" s="2738"/>
      <c r="K149" s="2738"/>
      <c r="L149" s="2743"/>
      <c r="M149" s="2738">
        <f>'[10]NFMA46 '!I157</f>
        <v>850000</v>
      </c>
      <c r="N149" s="2738">
        <f>'[10]NFMA46 '!L157</f>
        <v>0</v>
      </c>
      <c r="O149" s="2738">
        <f t="shared" si="16"/>
        <v>0</v>
      </c>
      <c r="P149" s="2739">
        <f>'[10]NFMA46 '!K157</f>
        <v>739800</v>
      </c>
      <c r="Q149" s="1715">
        <f t="shared" si="17"/>
        <v>87.035294117647055</v>
      </c>
      <c r="R149" s="1715">
        <f t="shared" si="18"/>
        <v>739800</v>
      </c>
      <c r="S149" s="1715">
        <f t="shared" si="19"/>
        <v>87.035294117647055</v>
      </c>
      <c r="T149" s="1715"/>
      <c r="U149" s="1715">
        <f t="shared" si="20"/>
        <v>110200</v>
      </c>
      <c r="V149" s="2663"/>
    </row>
    <row r="150" spans="1:22" ht="137.25" customHeight="1">
      <c r="A150" s="2661">
        <v>141</v>
      </c>
      <c r="B150" s="2735" t="s">
        <v>5713</v>
      </c>
      <c r="C150" s="2740" t="s">
        <v>5714</v>
      </c>
      <c r="D150" s="2741" t="s">
        <v>5714</v>
      </c>
      <c r="E150" s="2742" t="s">
        <v>866</v>
      </c>
      <c r="F150" s="2738">
        <v>850000</v>
      </c>
      <c r="G150" s="2738"/>
      <c r="H150" s="2738">
        <f t="shared" si="15"/>
        <v>850000</v>
      </c>
      <c r="I150" s="2738"/>
      <c r="J150" s="2738"/>
      <c r="K150" s="2738"/>
      <c r="L150" s="2743"/>
      <c r="M150" s="2738">
        <f>'[10]NFMA46 '!I158</f>
        <v>850000</v>
      </c>
      <c r="N150" s="2738">
        <f>'[10]NFMA46 '!L158</f>
        <v>0</v>
      </c>
      <c r="O150" s="2738">
        <f t="shared" si="16"/>
        <v>0</v>
      </c>
      <c r="P150" s="2739">
        <f>'[10]NFMA46 '!K158</f>
        <v>739800</v>
      </c>
      <c r="Q150" s="1715">
        <f t="shared" si="17"/>
        <v>87.035294117647055</v>
      </c>
      <c r="R150" s="1715">
        <f t="shared" si="18"/>
        <v>739800</v>
      </c>
      <c r="S150" s="1715">
        <f t="shared" si="19"/>
        <v>87.035294117647055</v>
      </c>
      <c r="T150" s="1715"/>
      <c r="U150" s="1715">
        <f t="shared" si="20"/>
        <v>110200</v>
      </c>
      <c r="V150" s="2663"/>
    </row>
    <row r="151" spans="1:22" ht="137.25" customHeight="1">
      <c r="A151" s="2661">
        <v>142</v>
      </c>
      <c r="B151" s="2735" t="s">
        <v>5715</v>
      </c>
      <c r="C151" s="2740" t="s">
        <v>5716</v>
      </c>
      <c r="D151" s="2741" t="s">
        <v>5716</v>
      </c>
      <c r="E151" s="2742" t="s">
        <v>866</v>
      </c>
      <c r="F151" s="2738">
        <v>850000</v>
      </c>
      <c r="G151" s="2738"/>
      <c r="H151" s="2738">
        <f t="shared" si="15"/>
        <v>850000</v>
      </c>
      <c r="I151" s="2738"/>
      <c r="J151" s="2738"/>
      <c r="K151" s="2738"/>
      <c r="L151" s="2743"/>
      <c r="M151" s="2738">
        <f>'[10]NFMA46 '!I159</f>
        <v>850000</v>
      </c>
      <c r="N151" s="2738">
        <f>'[10]NFMA46 '!L159</f>
        <v>0</v>
      </c>
      <c r="O151" s="2738">
        <f t="shared" si="16"/>
        <v>0</v>
      </c>
      <c r="P151" s="2739">
        <f>'[10]NFMA46 '!K159</f>
        <v>739800</v>
      </c>
      <c r="Q151" s="1715">
        <f t="shared" si="17"/>
        <v>87.035294117647055</v>
      </c>
      <c r="R151" s="1715">
        <f t="shared" si="18"/>
        <v>739800</v>
      </c>
      <c r="S151" s="1715">
        <f t="shared" si="19"/>
        <v>87.035294117647055</v>
      </c>
      <c r="T151" s="1715"/>
      <c r="U151" s="1715">
        <f t="shared" si="20"/>
        <v>110200</v>
      </c>
      <c r="V151" s="2663"/>
    </row>
    <row r="152" spans="1:22" ht="150.75" customHeight="1">
      <c r="A152" s="2661">
        <v>143</v>
      </c>
      <c r="B152" s="2735" t="s">
        <v>5717</v>
      </c>
      <c r="C152" s="2740" t="s">
        <v>5718</v>
      </c>
      <c r="D152" s="2741" t="s">
        <v>5718</v>
      </c>
      <c r="E152" s="2742" t="s">
        <v>866</v>
      </c>
      <c r="F152" s="2738">
        <v>50653200</v>
      </c>
      <c r="G152" s="2738"/>
      <c r="H152" s="2738">
        <f t="shared" si="15"/>
        <v>50653200</v>
      </c>
      <c r="I152" s="2738"/>
      <c r="J152" s="2738"/>
      <c r="K152" s="2738"/>
      <c r="L152" s="2743"/>
      <c r="M152" s="2738">
        <f>'[10]NFMA46 '!I160</f>
        <v>50653200</v>
      </c>
      <c r="N152" s="2738">
        <f>'[10]NFMA46 '!L160</f>
        <v>0</v>
      </c>
      <c r="O152" s="2738">
        <f t="shared" si="16"/>
        <v>0</v>
      </c>
      <c r="P152" s="2739">
        <f>'[10]NFMA46 '!K160</f>
        <v>0</v>
      </c>
      <c r="Q152" s="1715">
        <f t="shared" si="17"/>
        <v>0</v>
      </c>
      <c r="R152" s="1715">
        <f t="shared" si="18"/>
        <v>0</v>
      </c>
      <c r="S152" s="1715">
        <f t="shared" si="19"/>
        <v>0</v>
      </c>
      <c r="T152" s="1715"/>
      <c r="U152" s="1715">
        <f t="shared" si="20"/>
        <v>50653200</v>
      </c>
      <c r="V152" s="2663"/>
    </row>
    <row r="153" spans="1:22" ht="126" customHeight="1">
      <c r="A153" s="2661">
        <v>144</v>
      </c>
      <c r="B153" s="2735" t="s">
        <v>5719</v>
      </c>
      <c r="C153" s="2740" t="s">
        <v>5720</v>
      </c>
      <c r="D153" s="2741" t="s">
        <v>5720</v>
      </c>
      <c r="E153" s="2742" t="s">
        <v>866</v>
      </c>
      <c r="F153" s="2738">
        <v>8240000</v>
      </c>
      <c r="G153" s="2738"/>
      <c r="H153" s="2738">
        <f t="shared" si="15"/>
        <v>8240000</v>
      </c>
      <c r="I153" s="2738"/>
      <c r="J153" s="2738"/>
      <c r="K153" s="2738"/>
      <c r="L153" s="2743"/>
      <c r="M153" s="2738">
        <f>'[10]NFMA46 '!I161</f>
        <v>8240000</v>
      </c>
      <c r="N153" s="2738">
        <f>'[10]NFMA46 '!L161</f>
        <v>0</v>
      </c>
      <c r="O153" s="2738">
        <f t="shared" si="16"/>
        <v>0</v>
      </c>
      <c r="P153" s="2739">
        <f>'[10]NFMA46 '!K161</f>
        <v>0</v>
      </c>
      <c r="Q153" s="1715">
        <f t="shared" si="17"/>
        <v>0</v>
      </c>
      <c r="R153" s="1715">
        <f t="shared" si="18"/>
        <v>0</v>
      </c>
      <c r="S153" s="1715">
        <f t="shared" si="19"/>
        <v>0</v>
      </c>
      <c r="T153" s="1715"/>
      <c r="U153" s="1715">
        <f t="shared" si="20"/>
        <v>8240000</v>
      </c>
      <c r="V153" s="2663"/>
    </row>
    <row r="154" spans="1:22" ht="137.25" customHeight="1">
      <c r="A154" s="2661">
        <v>145</v>
      </c>
      <c r="B154" s="2735" t="s">
        <v>5721</v>
      </c>
      <c r="C154" s="2740" t="s">
        <v>5722</v>
      </c>
      <c r="D154" s="2741" t="s">
        <v>5722</v>
      </c>
      <c r="E154" s="2742" t="s">
        <v>866</v>
      </c>
      <c r="F154" s="2738">
        <v>850000</v>
      </c>
      <c r="G154" s="2738"/>
      <c r="H154" s="2738">
        <f t="shared" si="15"/>
        <v>850000</v>
      </c>
      <c r="I154" s="2738"/>
      <c r="J154" s="2738"/>
      <c r="K154" s="2738"/>
      <c r="L154" s="2743"/>
      <c r="M154" s="2738">
        <f>'[10]NFMA46 '!I162</f>
        <v>850000</v>
      </c>
      <c r="N154" s="2738">
        <f>'[10]NFMA46 '!L162</f>
        <v>0</v>
      </c>
      <c r="O154" s="2738">
        <f t="shared" si="16"/>
        <v>0</v>
      </c>
      <c r="P154" s="2739">
        <f>'[10]NFMA46 '!K162</f>
        <v>739800</v>
      </c>
      <c r="Q154" s="1715">
        <f t="shared" si="17"/>
        <v>87.035294117647055</v>
      </c>
      <c r="R154" s="1715">
        <f t="shared" si="18"/>
        <v>739800</v>
      </c>
      <c r="S154" s="1715">
        <f t="shared" si="19"/>
        <v>87.035294117647055</v>
      </c>
      <c r="T154" s="1715"/>
      <c r="U154" s="1715">
        <f t="shared" si="20"/>
        <v>110200</v>
      </c>
      <c r="V154" s="2663"/>
    </row>
    <row r="155" spans="1:22" s="1041" customFormat="1" ht="76.5" customHeight="1">
      <c r="A155" s="2658">
        <v>146</v>
      </c>
      <c r="B155" s="2735" t="s">
        <v>5723</v>
      </c>
      <c r="C155" s="2740" t="s">
        <v>5724</v>
      </c>
      <c r="D155" s="2741"/>
      <c r="E155" s="2742" t="s">
        <v>5725</v>
      </c>
      <c r="F155" s="2738"/>
      <c r="G155" s="2738"/>
      <c r="H155" s="2738"/>
      <c r="I155" s="2738">
        <v>3095</v>
      </c>
      <c r="J155" s="2738"/>
      <c r="K155" s="2738"/>
      <c r="L155" s="2743"/>
      <c r="M155" s="2738">
        <f>F155+G155+H155+I155+J155+K155+L155</f>
        <v>3095</v>
      </c>
      <c r="N155" s="2738">
        <f>'[10]NFMA46 '!L163</f>
        <v>3095</v>
      </c>
      <c r="O155" s="2738">
        <f t="shared" si="16"/>
        <v>100</v>
      </c>
      <c r="P155" s="2739">
        <f>'[10]NFMA46 '!K163</f>
        <v>0</v>
      </c>
      <c r="Q155" s="1715">
        <f t="shared" si="17"/>
        <v>0</v>
      </c>
      <c r="R155" s="1715">
        <f t="shared" si="18"/>
        <v>3095</v>
      </c>
      <c r="S155" s="1715">
        <f t="shared" si="19"/>
        <v>100</v>
      </c>
      <c r="T155" s="1715"/>
      <c r="U155" s="1715">
        <f t="shared" si="20"/>
        <v>0</v>
      </c>
      <c r="V155" s="2658"/>
    </row>
    <row r="156" spans="1:22" s="2665" customFormat="1" ht="105" customHeight="1">
      <c r="A156" s="2664">
        <v>147</v>
      </c>
      <c r="B156" s="2735" t="s">
        <v>5726</v>
      </c>
      <c r="C156" s="2740" t="s">
        <v>5727</v>
      </c>
      <c r="D156" s="2741"/>
      <c r="E156" s="2742" t="s">
        <v>866</v>
      </c>
      <c r="F156" s="2738">
        <v>4583967</v>
      </c>
      <c r="G156" s="2738"/>
      <c r="H156" s="2738"/>
      <c r="I156" s="2738"/>
      <c r="J156" s="2738"/>
      <c r="K156" s="2738"/>
      <c r="L156" s="2743"/>
      <c r="M156" s="2738">
        <f>F156+G156+H156+I156+J156+K156+L156</f>
        <v>4583967</v>
      </c>
      <c r="N156" s="2738">
        <f>'[10]NFMA46 '!L164</f>
        <v>0</v>
      </c>
      <c r="O156" s="2738">
        <f t="shared" si="16"/>
        <v>0</v>
      </c>
      <c r="P156" s="2739">
        <f>'[10]NFMA46 '!K164</f>
        <v>0</v>
      </c>
      <c r="Q156" s="1715">
        <f t="shared" si="17"/>
        <v>0</v>
      </c>
      <c r="R156" s="1715">
        <f t="shared" si="18"/>
        <v>0</v>
      </c>
      <c r="S156" s="1715">
        <f t="shared" si="19"/>
        <v>0</v>
      </c>
      <c r="T156" s="1715"/>
      <c r="U156" s="1715">
        <f t="shared" si="20"/>
        <v>4583967</v>
      </c>
      <c r="V156" s="2658"/>
    </row>
    <row r="157" spans="1:22" s="2665" customFormat="1" ht="105" customHeight="1">
      <c r="A157" s="2664">
        <v>148</v>
      </c>
      <c r="B157" s="2735" t="s">
        <v>5728</v>
      </c>
      <c r="C157" s="2740" t="s">
        <v>5729</v>
      </c>
      <c r="D157" s="2741"/>
      <c r="E157" s="2742" t="s">
        <v>866</v>
      </c>
      <c r="F157" s="2738"/>
      <c r="G157" s="2738"/>
      <c r="H157" s="2738"/>
      <c r="I157" s="2738"/>
      <c r="J157" s="2738"/>
      <c r="K157" s="2738"/>
      <c r="L157" s="2743"/>
      <c r="M157" s="2738">
        <f>'[10]NFMA46 '!I165</f>
        <v>850000</v>
      </c>
      <c r="N157" s="2738">
        <f>'[10]NFMA46 '!L165</f>
        <v>0</v>
      </c>
      <c r="O157" s="2738">
        <f t="shared" si="16"/>
        <v>0</v>
      </c>
      <c r="P157" s="2739">
        <f>'[10]NFMA46 '!K165</f>
        <v>0</v>
      </c>
      <c r="Q157" s="1715">
        <f t="shared" si="17"/>
        <v>0</v>
      </c>
      <c r="R157" s="1715">
        <f t="shared" si="18"/>
        <v>0</v>
      </c>
      <c r="S157" s="1715">
        <f t="shared" si="19"/>
        <v>0</v>
      </c>
      <c r="T157" s="1715"/>
      <c r="U157" s="1715">
        <f t="shared" si="20"/>
        <v>850000</v>
      </c>
      <c r="V157" s="2658"/>
    </row>
    <row r="158" spans="1:22" s="2665" customFormat="1" ht="105" customHeight="1">
      <c r="A158" s="2664">
        <v>149</v>
      </c>
      <c r="B158" s="2735" t="s">
        <v>5728</v>
      </c>
      <c r="C158" s="2740" t="s">
        <v>5730</v>
      </c>
      <c r="D158" s="2741"/>
      <c r="E158" s="2742" t="s">
        <v>866</v>
      </c>
      <c r="F158" s="2738"/>
      <c r="G158" s="2738"/>
      <c r="H158" s="2738"/>
      <c r="I158" s="2738"/>
      <c r="J158" s="2738"/>
      <c r="K158" s="2738"/>
      <c r="L158" s="2743"/>
      <c r="M158" s="2738">
        <f>'[10]NFMA46 '!I166</f>
        <v>850000</v>
      </c>
      <c r="N158" s="2738">
        <f>'[10]NFMA46 '!L166</f>
        <v>0</v>
      </c>
      <c r="O158" s="2738">
        <f t="shared" si="16"/>
        <v>0</v>
      </c>
      <c r="P158" s="2739">
        <f>'[10]NFMA46 '!K166</f>
        <v>0</v>
      </c>
      <c r="Q158" s="1715">
        <f t="shared" si="17"/>
        <v>0</v>
      </c>
      <c r="R158" s="1715">
        <f t="shared" si="18"/>
        <v>0</v>
      </c>
      <c r="S158" s="1715">
        <f t="shared" si="19"/>
        <v>0</v>
      </c>
      <c r="T158" s="1715"/>
      <c r="U158" s="1715">
        <f t="shared" si="20"/>
        <v>850000</v>
      </c>
      <c r="V158" s="2658"/>
    </row>
    <row r="159" spans="1:22" s="2665" customFormat="1" ht="105" customHeight="1">
      <c r="A159" s="2664">
        <v>150</v>
      </c>
      <c r="B159" s="2735" t="s">
        <v>5728</v>
      </c>
      <c r="C159" s="2740" t="s">
        <v>5731</v>
      </c>
      <c r="D159" s="2741"/>
      <c r="E159" s="2742" t="s">
        <v>866</v>
      </c>
      <c r="F159" s="2738"/>
      <c r="G159" s="2738"/>
      <c r="H159" s="2738"/>
      <c r="I159" s="2738"/>
      <c r="J159" s="2738"/>
      <c r="K159" s="2738"/>
      <c r="L159" s="2743"/>
      <c r="M159" s="2738">
        <f>'[10]NFMA46 '!I167</f>
        <v>850000</v>
      </c>
      <c r="N159" s="2738">
        <f>'[10]NFMA46 '!L167</f>
        <v>0</v>
      </c>
      <c r="O159" s="2738">
        <f t="shared" si="16"/>
        <v>0</v>
      </c>
      <c r="P159" s="2739">
        <f>'[10]NFMA46 '!K167</f>
        <v>0</v>
      </c>
      <c r="Q159" s="1715">
        <f t="shared" si="17"/>
        <v>0</v>
      </c>
      <c r="R159" s="1715">
        <f t="shared" si="18"/>
        <v>0</v>
      </c>
      <c r="S159" s="1715">
        <f t="shared" si="19"/>
        <v>0</v>
      </c>
      <c r="T159" s="1715"/>
      <c r="U159" s="1715">
        <f t="shared" si="20"/>
        <v>850000</v>
      </c>
      <c r="V159" s="2658"/>
    </row>
    <row r="160" spans="1:22" s="2665" customFormat="1" ht="105" customHeight="1">
      <c r="A160" s="2664">
        <v>151</v>
      </c>
      <c r="B160" s="2735" t="s">
        <v>5728</v>
      </c>
      <c r="C160" s="2740" t="s">
        <v>5732</v>
      </c>
      <c r="D160" s="2741"/>
      <c r="E160" s="2742" t="s">
        <v>866</v>
      </c>
      <c r="F160" s="2738"/>
      <c r="G160" s="2738"/>
      <c r="H160" s="2738"/>
      <c r="I160" s="2738"/>
      <c r="J160" s="2738"/>
      <c r="K160" s="2738"/>
      <c r="L160" s="2743"/>
      <c r="M160" s="2738">
        <f>'[10]NFMA46 '!I168</f>
        <v>850000</v>
      </c>
      <c r="N160" s="2738">
        <f>'[10]NFMA46 '!L168</f>
        <v>0</v>
      </c>
      <c r="O160" s="2738">
        <f t="shared" si="16"/>
        <v>0</v>
      </c>
      <c r="P160" s="2739">
        <f>'[10]NFMA46 '!K168</f>
        <v>0</v>
      </c>
      <c r="Q160" s="1715">
        <f t="shared" si="17"/>
        <v>0</v>
      </c>
      <c r="R160" s="1715">
        <f t="shared" si="18"/>
        <v>0</v>
      </c>
      <c r="S160" s="1715">
        <f t="shared" si="19"/>
        <v>0</v>
      </c>
      <c r="T160" s="1715"/>
      <c r="U160" s="1715">
        <f t="shared" si="20"/>
        <v>850000</v>
      </c>
      <c r="V160" s="2658"/>
    </row>
    <row r="161" spans="1:22" s="2665" customFormat="1" ht="105" customHeight="1">
      <c r="A161" s="2664">
        <v>152</v>
      </c>
      <c r="B161" s="2735" t="s">
        <v>5733</v>
      </c>
      <c r="C161" s="2740" t="s">
        <v>5734</v>
      </c>
      <c r="D161" s="2741"/>
      <c r="E161" s="2742" t="s">
        <v>866</v>
      </c>
      <c r="F161" s="2738"/>
      <c r="G161" s="2738"/>
      <c r="H161" s="2738"/>
      <c r="I161" s="2738"/>
      <c r="J161" s="2738"/>
      <c r="K161" s="2738"/>
      <c r="L161" s="2743"/>
      <c r="M161" s="2738">
        <f>'[10]NFMA46 '!I169</f>
        <v>850000</v>
      </c>
      <c r="N161" s="2738">
        <f>'[10]NFMA46 '!L169</f>
        <v>0</v>
      </c>
      <c r="O161" s="2738">
        <f t="shared" si="16"/>
        <v>0</v>
      </c>
      <c r="P161" s="2739">
        <f>'[10]NFMA46 '!K169</f>
        <v>0</v>
      </c>
      <c r="Q161" s="1715">
        <f t="shared" si="17"/>
        <v>0</v>
      </c>
      <c r="R161" s="1715">
        <f t="shared" si="18"/>
        <v>0</v>
      </c>
      <c r="S161" s="1715">
        <f t="shared" si="19"/>
        <v>0</v>
      </c>
      <c r="T161" s="1715"/>
      <c r="U161" s="1715">
        <f t="shared" si="20"/>
        <v>850000</v>
      </c>
      <c r="V161" s="2658"/>
    </row>
    <row r="162" spans="1:22" s="2665" customFormat="1" ht="105" customHeight="1">
      <c r="A162" s="2664">
        <v>153</v>
      </c>
      <c r="B162" s="2735" t="s">
        <v>5728</v>
      </c>
      <c r="C162" s="2740" t="s">
        <v>5735</v>
      </c>
      <c r="D162" s="2741"/>
      <c r="E162" s="2742" t="s">
        <v>866</v>
      </c>
      <c r="F162" s="2738"/>
      <c r="G162" s="2738"/>
      <c r="H162" s="2738"/>
      <c r="I162" s="2738"/>
      <c r="J162" s="2738"/>
      <c r="K162" s="2738"/>
      <c r="L162" s="2743"/>
      <c r="M162" s="2738">
        <f>'[10]NFMA46 '!I170</f>
        <v>850000</v>
      </c>
      <c r="N162" s="2738">
        <f>'[10]NFMA46 '!L170</f>
        <v>0</v>
      </c>
      <c r="O162" s="2738">
        <f t="shared" si="16"/>
        <v>0</v>
      </c>
      <c r="P162" s="2739">
        <f>'[10]NFMA46 '!K170</f>
        <v>0</v>
      </c>
      <c r="Q162" s="1715">
        <f t="shared" si="17"/>
        <v>0</v>
      </c>
      <c r="R162" s="1715">
        <f t="shared" si="18"/>
        <v>0</v>
      </c>
      <c r="S162" s="1715">
        <f t="shared" si="19"/>
        <v>0</v>
      </c>
      <c r="T162" s="1715"/>
      <c r="U162" s="1715">
        <f t="shared" si="20"/>
        <v>850000</v>
      </c>
      <c r="V162" s="2658"/>
    </row>
    <row r="163" spans="1:22" s="2665" customFormat="1" ht="105" customHeight="1">
      <c r="A163" s="2664">
        <v>154</v>
      </c>
      <c r="B163" s="2735" t="s">
        <v>5728</v>
      </c>
      <c r="C163" s="2740" t="s">
        <v>5736</v>
      </c>
      <c r="D163" s="2741"/>
      <c r="E163" s="2742" t="s">
        <v>866</v>
      </c>
      <c r="F163" s="2738"/>
      <c r="G163" s="2738"/>
      <c r="H163" s="2738"/>
      <c r="I163" s="2738"/>
      <c r="J163" s="2738"/>
      <c r="K163" s="2738"/>
      <c r="L163" s="2743"/>
      <c r="M163" s="2738">
        <f>'[10]NFMA46 '!I171</f>
        <v>850000</v>
      </c>
      <c r="N163" s="2738">
        <f>'[10]NFMA46 '!L171</f>
        <v>0</v>
      </c>
      <c r="O163" s="2738">
        <f t="shared" si="16"/>
        <v>0</v>
      </c>
      <c r="P163" s="2739">
        <f>'[10]NFMA46 '!K171</f>
        <v>0</v>
      </c>
      <c r="Q163" s="1715">
        <f t="shared" si="17"/>
        <v>0</v>
      </c>
      <c r="R163" s="1715">
        <f t="shared" si="18"/>
        <v>0</v>
      </c>
      <c r="S163" s="1715">
        <f t="shared" si="19"/>
        <v>0</v>
      </c>
      <c r="T163" s="1715"/>
      <c r="U163" s="1715">
        <f t="shared" si="20"/>
        <v>850000</v>
      </c>
      <c r="V163" s="2658"/>
    </row>
    <row r="164" spans="1:22" s="2665" customFormat="1" ht="105" customHeight="1">
      <c r="A164" s="2664">
        <v>155</v>
      </c>
      <c r="B164" s="2735" t="s">
        <v>5728</v>
      </c>
      <c r="C164" s="2740" t="s">
        <v>5737</v>
      </c>
      <c r="D164" s="2741"/>
      <c r="E164" s="2742" t="s">
        <v>866</v>
      </c>
      <c r="F164" s="2738"/>
      <c r="G164" s="2738"/>
      <c r="H164" s="2738"/>
      <c r="I164" s="2738"/>
      <c r="J164" s="2738"/>
      <c r="K164" s="2738"/>
      <c r="L164" s="2743"/>
      <c r="M164" s="2738">
        <f>'[10]NFMA46 '!I172</f>
        <v>850000</v>
      </c>
      <c r="N164" s="2738">
        <f>'[10]NFMA46 '!L172</f>
        <v>0</v>
      </c>
      <c r="O164" s="2738">
        <f t="shared" si="16"/>
        <v>0</v>
      </c>
      <c r="P164" s="2739">
        <f>'[10]NFMA46 '!K172</f>
        <v>0</v>
      </c>
      <c r="Q164" s="1715">
        <f t="shared" si="17"/>
        <v>0</v>
      </c>
      <c r="R164" s="1715">
        <f t="shared" si="18"/>
        <v>0</v>
      </c>
      <c r="S164" s="1715">
        <f t="shared" si="19"/>
        <v>0</v>
      </c>
      <c r="T164" s="1715"/>
      <c r="U164" s="1715">
        <f t="shared" si="20"/>
        <v>850000</v>
      </c>
      <c r="V164" s="2658"/>
    </row>
    <row r="165" spans="1:22" s="2665" customFormat="1" ht="105" customHeight="1">
      <c r="A165" s="2664">
        <v>156</v>
      </c>
      <c r="B165" s="2735" t="s">
        <v>5728</v>
      </c>
      <c r="C165" s="2740" t="s">
        <v>5738</v>
      </c>
      <c r="D165" s="2741"/>
      <c r="E165" s="2742" t="s">
        <v>866</v>
      </c>
      <c r="F165" s="2738"/>
      <c r="G165" s="2738"/>
      <c r="H165" s="2738"/>
      <c r="I165" s="2738"/>
      <c r="J165" s="2738"/>
      <c r="K165" s="2738"/>
      <c r="L165" s="2743"/>
      <c r="M165" s="2738">
        <f>'[10]NFMA46 '!I173</f>
        <v>850000</v>
      </c>
      <c r="N165" s="2738">
        <f>'[10]NFMA46 '!L173</f>
        <v>0</v>
      </c>
      <c r="O165" s="2738">
        <f t="shared" si="16"/>
        <v>0</v>
      </c>
      <c r="P165" s="2739">
        <f>'[10]NFMA46 '!K173</f>
        <v>0</v>
      </c>
      <c r="Q165" s="1715">
        <f t="shared" si="17"/>
        <v>0</v>
      </c>
      <c r="R165" s="1715">
        <f t="shared" si="18"/>
        <v>0</v>
      </c>
      <c r="S165" s="1715">
        <f t="shared" si="19"/>
        <v>0</v>
      </c>
      <c r="T165" s="1715"/>
      <c r="U165" s="1715">
        <f t="shared" si="20"/>
        <v>850000</v>
      </c>
      <c r="V165" s="2658"/>
    </row>
    <row r="166" spans="1:22" s="2665" customFormat="1" ht="105" customHeight="1">
      <c r="A166" s="2664">
        <v>157</v>
      </c>
      <c r="B166" s="2735" t="s">
        <v>5728</v>
      </c>
      <c r="C166" s="2740" t="s">
        <v>5739</v>
      </c>
      <c r="D166" s="2741"/>
      <c r="E166" s="2742" t="s">
        <v>866</v>
      </c>
      <c r="F166" s="2738"/>
      <c r="G166" s="2738"/>
      <c r="H166" s="2738"/>
      <c r="I166" s="2738"/>
      <c r="J166" s="2738"/>
      <c r="K166" s="2738"/>
      <c r="L166" s="2743"/>
      <c r="M166" s="2738">
        <f>'[10]NFMA46 '!I174</f>
        <v>850000</v>
      </c>
      <c r="N166" s="2738">
        <f>'[10]NFMA46 '!L174</f>
        <v>0</v>
      </c>
      <c r="O166" s="2738">
        <f t="shared" si="16"/>
        <v>0</v>
      </c>
      <c r="P166" s="2739">
        <f>'[10]NFMA46 '!K174</f>
        <v>0</v>
      </c>
      <c r="Q166" s="1715">
        <f t="shared" si="17"/>
        <v>0</v>
      </c>
      <c r="R166" s="1715">
        <f t="shared" si="18"/>
        <v>0</v>
      </c>
      <c r="S166" s="1715">
        <f t="shared" si="19"/>
        <v>0</v>
      </c>
      <c r="T166" s="1715"/>
      <c r="U166" s="1715">
        <f t="shared" si="20"/>
        <v>850000</v>
      </c>
      <c r="V166" s="2658"/>
    </row>
    <row r="167" spans="1:22" s="2665" customFormat="1" ht="105" customHeight="1">
      <c r="A167" s="2664">
        <v>158</v>
      </c>
      <c r="B167" s="2735" t="s">
        <v>5728</v>
      </c>
      <c r="C167" s="2740" t="s">
        <v>5740</v>
      </c>
      <c r="D167" s="2741"/>
      <c r="E167" s="2742" t="s">
        <v>866</v>
      </c>
      <c r="F167" s="2738"/>
      <c r="G167" s="2738"/>
      <c r="H167" s="2738"/>
      <c r="I167" s="2738"/>
      <c r="J167" s="2738"/>
      <c r="K167" s="2738"/>
      <c r="L167" s="2743"/>
      <c r="M167" s="2738">
        <f>'[10]NFMA46 '!I175</f>
        <v>850000</v>
      </c>
      <c r="N167" s="2738">
        <f>'[10]NFMA46 '!L175</f>
        <v>0</v>
      </c>
      <c r="O167" s="2738">
        <f t="shared" si="16"/>
        <v>0</v>
      </c>
      <c r="P167" s="2739">
        <f>'[10]NFMA46 '!K175</f>
        <v>0</v>
      </c>
      <c r="Q167" s="1715">
        <f t="shared" si="17"/>
        <v>0</v>
      </c>
      <c r="R167" s="1715">
        <f t="shared" si="18"/>
        <v>0</v>
      </c>
      <c r="S167" s="1715">
        <f t="shared" si="19"/>
        <v>0</v>
      </c>
      <c r="T167" s="1715"/>
      <c r="U167" s="1715">
        <f t="shared" si="20"/>
        <v>850000</v>
      </c>
      <c r="V167" s="2658"/>
    </row>
    <row r="168" spans="1:22" s="2665" customFormat="1" ht="105" customHeight="1">
      <c r="A168" s="2664">
        <v>159</v>
      </c>
      <c r="B168" s="2735" t="s">
        <v>5728</v>
      </c>
      <c r="C168" s="2740" t="s">
        <v>5741</v>
      </c>
      <c r="D168" s="2741"/>
      <c r="E168" s="2742" t="s">
        <v>866</v>
      </c>
      <c r="F168" s="2738"/>
      <c r="G168" s="2738"/>
      <c r="H168" s="2738"/>
      <c r="I168" s="2738"/>
      <c r="J168" s="2738"/>
      <c r="K168" s="2738"/>
      <c r="L168" s="2743"/>
      <c r="M168" s="2738">
        <f>'[10]NFMA46 '!I176</f>
        <v>850000</v>
      </c>
      <c r="N168" s="2738">
        <f>'[10]NFMA46 '!L176</f>
        <v>0</v>
      </c>
      <c r="O168" s="2738">
        <f t="shared" si="16"/>
        <v>0</v>
      </c>
      <c r="P168" s="2739">
        <f>'[10]NFMA46 '!K176</f>
        <v>0</v>
      </c>
      <c r="Q168" s="1715">
        <f t="shared" si="17"/>
        <v>0</v>
      </c>
      <c r="R168" s="1715">
        <f t="shared" si="18"/>
        <v>0</v>
      </c>
      <c r="S168" s="1715">
        <f t="shared" si="19"/>
        <v>0</v>
      </c>
      <c r="T168" s="1715"/>
      <c r="U168" s="1715">
        <f t="shared" si="20"/>
        <v>850000</v>
      </c>
      <c r="V168" s="2658"/>
    </row>
    <row r="169" spans="1:22" s="2665" customFormat="1" ht="105" customHeight="1">
      <c r="A169" s="2664">
        <v>160</v>
      </c>
      <c r="B169" s="2735" t="s">
        <v>5728</v>
      </c>
      <c r="C169" s="2740" t="s">
        <v>5742</v>
      </c>
      <c r="D169" s="2741"/>
      <c r="E169" s="2742" t="s">
        <v>866</v>
      </c>
      <c r="F169" s="2738"/>
      <c r="G169" s="2738"/>
      <c r="H169" s="2738"/>
      <c r="I169" s="2738"/>
      <c r="J169" s="2738"/>
      <c r="K169" s="2738"/>
      <c r="L169" s="2743"/>
      <c r="M169" s="2738">
        <f>'[10]NFMA46 '!I177</f>
        <v>850000</v>
      </c>
      <c r="N169" s="2738">
        <f>'[10]NFMA46 '!L177</f>
        <v>0</v>
      </c>
      <c r="O169" s="2738">
        <f t="shared" si="16"/>
        <v>0</v>
      </c>
      <c r="P169" s="2739">
        <f>'[10]NFMA46 '!K177</f>
        <v>0</v>
      </c>
      <c r="Q169" s="1715">
        <f t="shared" si="17"/>
        <v>0</v>
      </c>
      <c r="R169" s="1715">
        <f t="shared" si="18"/>
        <v>0</v>
      </c>
      <c r="S169" s="1715">
        <f t="shared" si="19"/>
        <v>0</v>
      </c>
      <c r="T169" s="1715"/>
      <c r="U169" s="1715">
        <f t="shared" si="20"/>
        <v>850000</v>
      </c>
      <c r="V169" s="2658"/>
    </row>
    <row r="170" spans="1:22" s="2665" customFormat="1" ht="105" customHeight="1">
      <c r="A170" s="2664">
        <v>161</v>
      </c>
      <c r="B170" s="2735" t="s">
        <v>5728</v>
      </c>
      <c r="C170" s="2740" t="s">
        <v>5743</v>
      </c>
      <c r="D170" s="2741"/>
      <c r="E170" s="2742" t="s">
        <v>866</v>
      </c>
      <c r="F170" s="2738"/>
      <c r="G170" s="2738"/>
      <c r="H170" s="2738"/>
      <c r="I170" s="2738"/>
      <c r="J170" s="2738"/>
      <c r="K170" s="2738"/>
      <c r="L170" s="2743"/>
      <c r="M170" s="2738">
        <f>'[10]NFMA46 '!I178</f>
        <v>850000</v>
      </c>
      <c r="N170" s="2738">
        <f>'[10]NFMA46 '!L178</f>
        <v>0</v>
      </c>
      <c r="O170" s="2738">
        <f t="shared" si="16"/>
        <v>0</v>
      </c>
      <c r="P170" s="2739">
        <f>'[10]NFMA46 '!K178</f>
        <v>0</v>
      </c>
      <c r="Q170" s="1715">
        <f t="shared" si="17"/>
        <v>0</v>
      </c>
      <c r="R170" s="1715">
        <f t="shared" si="18"/>
        <v>0</v>
      </c>
      <c r="S170" s="1715">
        <f t="shared" si="19"/>
        <v>0</v>
      </c>
      <c r="T170" s="1715"/>
      <c r="U170" s="1715">
        <f t="shared" si="20"/>
        <v>850000</v>
      </c>
      <c r="V170" s="2658"/>
    </row>
    <row r="171" spans="1:22" s="2665" customFormat="1" ht="105" customHeight="1">
      <c r="A171" s="2664">
        <v>162</v>
      </c>
      <c r="B171" s="2735" t="s">
        <v>5728</v>
      </c>
      <c r="C171" s="2740" t="s">
        <v>5744</v>
      </c>
      <c r="D171" s="2741"/>
      <c r="E171" s="2742" t="s">
        <v>866</v>
      </c>
      <c r="F171" s="2738"/>
      <c r="G171" s="2738"/>
      <c r="H171" s="2738"/>
      <c r="I171" s="2738"/>
      <c r="J171" s="2738"/>
      <c r="K171" s="2738"/>
      <c r="L171" s="2743"/>
      <c r="M171" s="2738">
        <f>'[10]NFMA46 '!I179</f>
        <v>850000</v>
      </c>
      <c r="N171" s="2738">
        <f>'[10]NFMA46 '!L179</f>
        <v>0</v>
      </c>
      <c r="O171" s="2738">
        <f t="shared" si="16"/>
        <v>0</v>
      </c>
      <c r="P171" s="2739">
        <f>'[10]NFMA46 '!K179</f>
        <v>0</v>
      </c>
      <c r="Q171" s="1715">
        <f t="shared" si="17"/>
        <v>0</v>
      </c>
      <c r="R171" s="1715">
        <f t="shared" si="18"/>
        <v>0</v>
      </c>
      <c r="S171" s="1715">
        <f t="shared" si="19"/>
        <v>0</v>
      </c>
      <c r="T171" s="1715"/>
      <c r="U171" s="1715">
        <f t="shared" si="20"/>
        <v>850000</v>
      </c>
      <c r="V171" s="2658"/>
    </row>
    <row r="172" spans="1:22" s="2665" customFormat="1" ht="105" customHeight="1">
      <c r="A172" s="2664">
        <v>163</v>
      </c>
      <c r="B172" s="2735" t="s">
        <v>5728</v>
      </c>
      <c r="C172" s="2740" t="s">
        <v>5745</v>
      </c>
      <c r="D172" s="2741"/>
      <c r="E172" s="2742" t="s">
        <v>866</v>
      </c>
      <c r="F172" s="2738"/>
      <c r="G172" s="2738"/>
      <c r="H172" s="2738"/>
      <c r="I172" s="2738"/>
      <c r="J172" s="2738"/>
      <c r="K172" s="2738"/>
      <c r="L172" s="2743"/>
      <c r="M172" s="2738">
        <f>'[10]NFMA46 '!I180</f>
        <v>850000</v>
      </c>
      <c r="N172" s="2738">
        <f>'[10]NFMA46 '!L180</f>
        <v>0</v>
      </c>
      <c r="O172" s="2738">
        <f t="shared" si="16"/>
        <v>0</v>
      </c>
      <c r="P172" s="2739">
        <f>'[10]NFMA46 '!K180</f>
        <v>0</v>
      </c>
      <c r="Q172" s="1715">
        <f t="shared" si="17"/>
        <v>0</v>
      </c>
      <c r="R172" s="1715">
        <f t="shared" si="18"/>
        <v>0</v>
      </c>
      <c r="S172" s="1715">
        <f t="shared" si="19"/>
        <v>0</v>
      </c>
      <c r="T172" s="1715"/>
      <c r="U172" s="1715">
        <f t="shared" si="20"/>
        <v>850000</v>
      </c>
      <c r="V172" s="2658"/>
    </row>
    <row r="173" spans="1:22" s="2665" customFormat="1" ht="105" customHeight="1">
      <c r="A173" s="2664">
        <v>164</v>
      </c>
      <c r="B173" s="2735" t="s">
        <v>5728</v>
      </c>
      <c r="C173" s="2740" t="s">
        <v>5746</v>
      </c>
      <c r="D173" s="2741"/>
      <c r="E173" s="2742" t="s">
        <v>866</v>
      </c>
      <c r="F173" s="2738"/>
      <c r="G173" s="2738"/>
      <c r="H173" s="2738"/>
      <c r="I173" s="2738"/>
      <c r="J173" s="2738"/>
      <c r="K173" s="2738"/>
      <c r="L173" s="2743"/>
      <c r="M173" s="2738">
        <f>'[10]NFMA46 '!I181</f>
        <v>850000</v>
      </c>
      <c r="N173" s="2738">
        <f>'[10]NFMA46 '!L181</f>
        <v>0</v>
      </c>
      <c r="O173" s="2738">
        <f t="shared" si="16"/>
        <v>0</v>
      </c>
      <c r="P173" s="2739">
        <f>'[10]NFMA46 '!K181</f>
        <v>0</v>
      </c>
      <c r="Q173" s="1715">
        <f t="shared" si="17"/>
        <v>0</v>
      </c>
      <c r="R173" s="1715">
        <f t="shared" si="18"/>
        <v>0</v>
      </c>
      <c r="S173" s="1715">
        <f t="shared" si="19"/>
        <v>0</v>
      </c>
      <c r="T173" s="1715"/>
      <c r="U173" s="1715">
        <f t="shared" si="20"/>
        <v>850000</v>
      </c>
      <c r="V173" s="2658"/>
    </row>
    <row r="174" spans="1:22" s="2665" customFormat="1" ht="105" customHeight="1">
      <c r="A174" s="2664">
        <v>165</v>
      </c>
      <c r="B174" s="2735" t="s">
        <v>5728</v>
      </c>
      <c r="C174" s="2740" t="s">
        <v>5747</v>
      </c>
      <c r="D174" s="2741"/>
      <c r="E174" s="2742" t="s">
        <v>866</v>
      </c>
      <c r="F174" s="2738"/>
      <c r="G174" s="2738"/>
      <c r="H174" s="2738"/>
      <c r="I174" s="2738"/>
      <c r="J174" s="2738"/>
      <c r="K174" s="2738"/>
      <c r="L174" s="2743"/>
      <c r="M174" s="2738">
        <f>'[10]NFMA46 '!I182</f>
        <v>850000</v>
      </c>
      <c r="N174" s="2738">
        <f>'[10]NFMA46 '!L182</f>
        <v>0</v>
      </c>
      <c r="O174" s="2738">
        <f t="shared" si="16"/>
        <v>0</v>
      </c>
      <c r="P174" s="2739">
        <f>'[10]NFMA46 '!K182</f>
        <v>0</v>
      </c>
      <c r="Q174" s="1715">
        <f t="shared" si="17"/>
        <v>0</v>
      </c>
      <c r="R174" s="1715">
        <f t="shared" si="18"/>
        <v>0</v>
      </c>
      <c r="S174" s="1715">
        <f t="shared" si="19"/>
        <v>0</v>
      </c>
      <c r="T174" s="1715"/>
      <c r="U174" s="1715">
        <f t="shared" si="20"/>
        <v>850000</v>
      </c>
      <c r="V174" s="2658"/>
    </row>
    <row r="175" spans="1:22" ht="76.5" customHeight="1">
      <c r="A175" s="2663"/>
      <c r="B175" s="2735" t="s">
        <v>4443</v>
      </c>
      <c r="C175" s="2740"/>
      <c r="D175" s="2741"/>
      <c r="E175" s="2742"/>
      <c r="F175" s="2738"/>
      <c r="G175" s="2738"/>
      <c r="H175" s="2738"/>
      <c r="I175" s="2738"/>
      <c r="J175" s="2738"/>
      <c r="K175" s="2738"/>
      <c r="L175" s="2743">
        <f>SUBTOTAL(9,L10:L155)</f>
        <v>0</v>
      </c>
      <c r="M175" s="2738"/>
      <c r="N175" s="2738"/>
      <c r="O175" s="2738"/>
      <c r="P175" s="2739"/>
      <c r="Q175" s="2666"/>
      <c r="R175" s="2666"/>
      <c r="S175" s="2666"/>
      <c r="T175" s="2666"/>
      <c r="U175" s="2666"/>
      <c r="V175" s="2663"/>
    </row>
    <row r="176" spans="1:22" s="1041" customFormat="1" ht="60" customHeight="1">
      <c r="A176" s="2667"/>
      <c r="B176" s="2744"/>
      <c r="C176" s="2745"/>
      <c r="D176" s="2746"/>
      <c r="E176" s="2747"/>
      <c r="F176" s="2748"/>
      <c r="G176" s="2748">
        <f>SUM(G177:G252)</f>
        <v>59772800</v>
      </c>
      <c r="H176" s="2748">
        <f>SUM(H177:H255)</f>
        <v>59772800</v>
      </c>
      <c r="I176" s="2748">
        <f>SUM(I177:I253)</f>
        <v>50405</v>
      </c>
      <c r="J176" s="2748"/>
      <c r="K176" s="2748">
        <f>SUM(K177:K253)</f>
        <v>-1899700</v>
      </c>
      <c r="L176" s="2768">
        <f>SUM(L177:L255)</f>
        <v>1727049</v>
      </c>
      <c r="M176" s="2748">
        <f>SUM(M177:M256)</f>
        <v>59823205</v>
      </c>
      <c r="N176" s="2748">
        <f>SUM(N177:N256)</f>
        <v>15764404</v>
      </c>
      <c r="O176" s="2748">
        <f>N176/M176*100</f>
        <v>26.351654011181779</v>
      </c>
      <c r="P176" s="2769">
        <f>SUM(P177:P256)</f>
        <v>37689341</v>
      </c>
      <c r="Q176" s="2668">
        <f>P176/M176*100</f>
        <v>63.001206638795097</v>
      </c>
      <c r="R176" s="2668">
        <f>SUM(R177:R256)</f>
        <v>53453745</v>
      </c>
      <c r="S176" s="2668">
        <f>R176/M176*100</f>
        <v>89.352860649976876</v>
      </c>
      <c r="T176" s="2668"/>
      <c r="U176" s="2668">
        <f>SUM(U177:U256)</f>
        <v>6369460</v>
      </c>
      <c r="V176" s="2667"/>
    </row>
    <row r="177" spans="1:22" s="1041" customFormat="1" ht="63" customHeight="1">
      <c r="A177" s="2658">
        <v>1</v>
      </c>
      <c r="B177" s="2735" t="s">
        <v>4636</v>
      </c>
      <c r="C177" s="2740" t="s">
        <v>4649</v>
      </c>
      <c r="D177" s="2741" t="s">
        <v>4649</v>
      </c>
      <c r="E177" s="2742" t="s">
        <v>866</v>
      </c>
      <c r="F177" s="2738"/>
      <c r="G177" s="2738">
        <v>679500</v>
      </c>
      <c r="H177" s="2738">
        <f>G177+F177</f>
        <v>679500</v>
      </c>
      <c r="I177" s="2738"/>
      <c r="J177" s="2738"/>
      <c r="K177" s="2738"/>
      <c r="L177" s="2743"/>
      <c r="M177" s="2738">
        <f>'[10]NFMA46 '!I183</f>
        <v>679500</v>
      </c>
      <c r="N177" s="2738">
        <f>'[10]NFMA46 '!L183</f>
        <v>53500</v>
      </c>
      <c r="O177" s="2738">
        <f>N177/M177*100</f>
        <v>7.8734363502575428</v>
      </c>
      <c r="P177" s="2739">
        <f>'[10]NFMA46 '!K183</f>
        <v>626000</v>
      </c>
      <c r="Q177" s="1715">
        <f>P177/M177*100</f>
        <v>92.126563649742451</v>
      </c>
      <c r="R177" s="1715">
        <f t="shared" ref="R177:R240" si="21">P177+N177</f>
        <v>679500</v>
      </c>
      <c r="S177" s="1715">
        <f>R177/M177*100</f>
        <v>100</v>
      </c>
      <c r="T177" s="1715"/>
      <c r="U177" s="1715">
        <f>M177-R177</f>
        <v>0</v>
      </c>
      <c r="V177" s="2658"/>
    </row>
    <row r="178" spans="1:22" s="1041" customFormat="1" ht="63" customHeight="1">
      <c r="A178" s="2658">
        <v>2</v>
      </c>
      <c r="B178" s="2735" t="s">
        <v>5748</v>
      </c>
      <c r="C178" s="2740" t="s">
        <v>4650</v>
      </c>
      <c r="D178" s="2741" t="s">
        <v>4650</v>
      </c>
      <c r="E178" s="2742" t="s">
        <v>866</v>
      </c>
      <c r="F178" s="2738"/>
      <c r="G178" s="2738">
        <v>710000</v>
      </c>
      <c r="H178" s="2738">
        <f>G178+F178</f>
        <v>710000</v>
      </c>
      <c r="I178" s="2738"/>
      <c r="J178" s="2738"/>
      <c r="K178" s="2738"/>
      <c r="L178" s="2743"/>
      <c r="M178" s="2738">
        <f>'[10]NFMA46 '!I184</f>
        <v>710000</v>
      </c>
      <c r="N178" s="2738">
        <f>'[10]NFMA46 '!L184</f>
        <v>710000</v>
      </c>
      <c r="O178" s="2738">
        <f>N178/M178*100</f>
        <v>100</v>
      </c>
      <c r="P178" s="2739">
        <f>'[10]NFMA46 '!K184</f>
        <v>0</v>
      </c>
      <c r="Q178" s="1715">
        <f>P178/M178*100</f>
        <v>0</v>
      </c>
      <c r="R178" s="1715">
        <f t="shared" si="21"/>
        <v>710000</v>
      </c>
      <c r="S178" s="1715">
        <f>R178/M178*100</f>
        <v>100</v>
      </c>
      <c r="T178" s="1715"/>
      <c r="U178" s="1715">
        <f t="shared" ref="U178:U241" si="22">M178-R178</f>
        <v>0</v>
      </c>
      <c r="V178" s="2658"/>
    </row>
    <row r="179" spans="1:22" s="1041" customFormat="1" ht="63" customHeight="1">
      <c r="A179" s="2658">
        <v>3</v>
      </c>
      <c r="B179" s="2735" t="s">
        <v>4633</v>
      </c>
      <c r="C179" s="2740" t="s">
        <v>4651</v>
      </c>
      <c r="D179" s="2741" t="s">
        <v>4651</v>
      </c>
      <c r="E179" s="2742" t="s">
        <v>866</v>
      </c>
      <c r="F179" s="2738"/>
      <c r="G179" s="2738">
        <v>559000</v>
      </c>
      <c r="H179" s="2738">
        <f t="shared" ref="H179:H182" si="23">G179+F179</f>
        <v>559000</v>
      </c>
      <c r="I179" s="2738"/>
      <c r="J179" s="2738"/>
      <c r="K179" s="2738"/>
      <c r="L179" s="2743"/>
      <c r="M179" s="2738">
        <f>'[10]NFMA46 '!I185</f>
        <v>559000</v>
      </c>
      <c r="N179" s="2738">
        <f>'[10]NFMA46 '!L185</f>
        <v>523000</v>
      </c>
      <c r="O179" s="2738">
        <f t="shared" ref="O179:O242" si="24">N179/M179*100</f>
        <v>93.559928443649369</v>
      </c>
      <c r="P179" s="2739">
        <f>'[10]NFMA46 '!K185</f>
        <v>0</v>
      </c>
      <c r="Q179" s="1715">
        <f t="shared" ref="Q179:Q242" si="25">P179/M179*100</f>
        <v>0</v>
      </c>
      <c r="R179" s="1715">
        <f t="shared" si="21"/>
        <v>523000</v>
      </c>
      <c r="S179" s="1715">
        <f t="shared" ref="S179:S242" si="26">R179/M179*100</f>
        <v>93.559928443649369</v>
      </c>
      <c r="T179" s="1715"/>
      <c r="U179" s="1715">
        <f t="shared" si="22"/>
        <v>36000</v>
      </c>
      <c r="V179" s="2658"/>
    </row>
    <row r="180" spans="1:22" s="1041" customFormat="1" ht="63" customHeight="1">
      <c r="A180" s="2658">
        <v>4</v>
      </c>
      <c r="B180" s="2735" t="s">
        <v>5749</v>
      </c>
      <c r="C180" s="2740" t="s">
        <v>4652</v>
      </c>
      <c r="D180" s="2741" t="s">
        <v>4652</v>
      </c>
      <c r="E180" s="2742" t="s">
        <v>866</v>
      </c>
      <c r="F180" s="2738"/>
      <c r="G180" s="2738">
        <v>672400</v>
      </c>
      <c r="H180" s="2738">
        <f t="shared" si="23"/>
        <v>672400</v>
      </c>
      <c r="I180" s="2738"/>
      <c r="J180" s="2738"/>
      <c r="K180" s="2738"/>
      <c r="L180" s="2743"/>
      <c r="M180" s="2738">
        <f>'[10]NFMA46 '!I186</f>
        <v>672400</v>
      </c>
      <c r="N180" s="2738">
        <f>'[10]NFMA46 '!L186</f>
        <v>672400</v>
      </c>
      <c r="O180" s="2738">
        <f t="shared" si="24"/>
        <v>100</v>
      </c>
      <c r="P180" s="2739">
        <f>'[10]NFMA46 '!K186</f>
        <v>0</v>
      </c>
      <c r="Q180" s="1715">
        <f t="shared" si="25"/>
        <v>0</v>
      </c>
      <c r="R180" s="1715">
        <f t="shared" si="21"/>
        <v>672400</v>
      </c>
      <c r="S180" s="1715">
        <f t="shared" si="26"/>
        <v>100</v>
      </c>
      <c r="T180" s="1715"/>
      <c r="U180" s="1715">
        <f t="shared" si="22"/>
        <v>0</v>
      </c>
      <c r="V180" s="2658"/>
    </row>
    <row r="181" spans="1:22" s="1041" customFormat="1" ht="63" customHeight="1">
      <c r="A181" s="2658">
        <v>5</v>
      </c>
      <c r="B181" s="2735" t="s">
        <v>4637</v>
      </c>
      <c r="C181" s="2740" t="s">
        <v>4653</v>
      </c>
      <c r="D181" s="2741" t="s">
        <v>4653</v>
      </c>
      <c r="E181" s="2742" t="s">
        <v>866</v>
      </c>
      <c r="F181" s="2738"/>
      <c r="G181" s="2738">
        <v>1273900</v>
      </c>
      <c r="H181" s="2738">
        <f t="shared" si="23"/>
        <v>1273900</v>
      </c>
      <c r="I181" s="2738"/>
      <c r="J181" s="2738"/>
      <c r="K181" s="2738"/>
      <c r="L181" s="2743"/>
      <c r="M181" s="2738">
        <f>'[10]NFMA46 '!I187</f>
        <v>1273900</v>
      </c>
      <c r="N181" s="2738">
        <f>'[10]NFMA46 '!L187</f>
        <v>1111400</v>
      </c>
      <c r="O181" s="2738">
        <f t="shared" si="24"/>
        <v>87.243896695187999</v>
      </c>
      <c r="P181" s="2739">
        <f>'[10]NFMA46 '!K187</f>
        <v>0</v>
      </c>
      <c r="Q181" s="1715">
        <f t="shared" si="25"/>
        <v>0</v>
      </c>
      <c r="R181" s="1715">
        <f t="shared" si="21"/>
        <v>1111400</v>
      </c>
      <c r="S181" s="1715">
        <f t="shared" si="26"/>
        <v>87.243896695187999</v>
      </c>
      <c r="T181" s="1715"/>
      <c r="U181" s="1715">
        <f t="shared" si="22"/>
        <v>162500</v>
      </c>
      <c r="V181" s="2658"/>
    </row>
    <row r="182" spans="1:22" s="1041" customFormat="1" ht="63" customHeight="1">
      <c r="A182" s="2658">
        <v>6</v>
      </c>
      <c r="B182" s="2735" t="s">
        <v>4634</v>
      </c>
      <c r="C182" s="2740" t="s">
        <v>4654</v>
      </c>
      <c r="D182" s="2741" t="s">
        <v>4654</v>
      </c>
      <c r="E182" s="2742" t="s">
        <v>866</v>
      </c>
      <c r="F182" s="2738"/>
      <c r="G182" s="2738">
        <v>5762000</v>
      </c>
      <c r="H182" s="2738">
        <f t="shared" si="23"/>
        <v>5762000</v>
      </c>
      <c r="I182" s="2738"/>
      <c r="J182" s="2738"/>
      <c r="K182" s="2738"/>
      <c r="L182" s="2743"/>
      <c r="M182" s="2738">
        <f>'[10]NFMA46 '!I188</f>
        <v>5762000</v>
      </c>
      <c r="N182" s="2738">
        <f>'[10]NFMA46 '!L188</f>
        <v>1407640</v>
      </c>
      <c r="O182" s="2738">
        <f t="shared" si="24"/>
        <v>24.429711905588334</v>
      </c>
      <c r="P182" s="2739">
        <f>'[10]NFMA46 '!K188</f>
        <v>4006360</v>
      </c>
      <c r="Q182" s="1715">
        <f t="shared" si="25"/>
        <v>69.530718500520649</v>
      </c>
      <c r="R182" s="1715">
        <f t="shared" si="21"/>
        <v>5414000</v>
      </c>
      <c r="S182" s="1715">
        <f t="shared" si="26"/>
        <v>93.960430406108983</v>
      </c>
      <c r="T182" s="1715"/>
      <c r="U182" s="1715">
        <f t="shared" si="22"/>
        <v>348000</v>
      </c>
      <c r="V182" s="2658"/>
    </row>
    <row r="183" spans="1:22" s="1041" customFormat="1" ht="63" customHeight="1">
      <c r="A183" s="2658">
        <v>7</v>
      </c>
      <c r="B183" s="2735" t="s">
        <v>5750</v>
      </c>
      <c r="C183" s="2740" t="s">
        <v>4655</v>
      </c>
      <c r="D183" s="2741" t="s">
        <v>4655</v>
      </c>
      <c r="E183" s="2742" t="s">
        <v>5751</v>
      </c>
      <c r="F183" s="2738"/>
      <c r="G183" s="2738">
        <v>360000</v>
      </c>
      <c r="H183" s="2738">
        <f>G183+F183</f>
        <v>360000</v>
      </c>
      <c r="I183" s="2738"/>
      <c r="J183" s="2738"/>
      <c r="K183" s="2738"/>
      <c r="L183" s="2743"/>
      <c r="M183" s="2738">
        <f>'[10]NFMA46 '!I189</f>
        <v>360000</v>
      </c>
      <c r="N183" s="2738">
        <f>'[10]NFMA46 '!L189</f>
        <v>0</v>
      </c>
      <c r="O183" s="2738">
        <f t="shared" si="24"/>
        <v>0</v>
      </c>
      <c r="P183" s="2739">
        <f>'[10]NFMA46 '!K189</f>
        <v>360000</v>
      </c>
      <c r="Q183" s="1715">
        <f t="shared" si="25"/>
        <v>100</v>
      </c>
      <c r="R183" s="1715">
        <f t="shared" si="21"/>
        <v>360000</v>
      </c>
      <c r="S183" s="1715">
        <f t="shared" si="26"/>
        <v>100</v>
      </c>
      <c r="T183" s="1715"/>
      <c r="U183" s="1715">
        <f t="shared" si="22"/>
        <v>0</v>
      </c>
      <c r="V183" s="2658"/>
    </row>
    <row r="184" spans="1:22" s="1041" customFormat="1" ht="63" customHeight="1">
      <c r="A184" s="2658">
        <v>8</v>
      </c>
      <c r="B184" s="2735" t="s">
        <v>5752</v>
      </c>
      <c r="C184" s="2740" t="s">
        <v>4656</v>
      </c>
      <c r="D184" s="2741" t="s">
        <v>4656</v>
      </c>
      <c r="E184" s="2742" t="s">
        <v>866</v>
      </c>
      <c r="F184" s="2738"/>
      <c r="G184" s="2738">
        <v>2159000</v>
      </c>
      <c r="H184" s="2738">
        <f>G184+F184</f>
        <v>2159000</v>
      </c>
      <c r="I184" s="2738"/>
      <c r="J184" s="2738"/>
      <c r="K184" s="2738"/>
      <c r="L184" s="2743"/>
      <c r="M184" s="2738">
        <f>'[10]NFMA46 '!I190</f>
        <v>2159000</v>
      </c>
      <c r="N184" s="2738">
        <f>'[10]NFMA46 '!L190</f>
        <v>0</v>
      </c>
      <c r="O184" s="2738">
        <f t="shared" si="24"/>
        <v>0</v>
      </c>
      <c r="P184" s="2739">
        <f>'[10]NFMA46 '!K190</f>
        <v>0</v>
      </c>
      <c r="Q184" s="1715">
        <f t="shared" si="25"/>
        <v>0</v>
      </c>
      <c r="R184" s="1715">
        <f t="shared" si="21"/>
        <v>0</v>
      </c>
      <c r="S184" s="1715">
        <f t="shared" si="26"/>
        <v>0</v>
      </c>
      <c r="T184" s="1715"/>
      <c r="U184" s="1715">
        <f t="shared" si="22"/>
        <v>2159000</v>
      </c>
      <c r="V184" s="2658"/>
    </row>
    <row r="185" spans="1:22" s="1041" customFormat="1" ht="63" customHeight="1">
      <c r="A185" s="2658">
        <v>9</v>
      </c>
      <c r="B185" s="2735" t="s">
        <v>5753</v>
      </c>
      <c r="C185" s="2740" t="s">
        <v>4657</v>
      </c>
      <c r="D185" s="2741" t="s">
        <v>4657</v>
      </c>
      <c r="E185" s="2742" t="s">
        <v>866</v>
      </c>
      <c r="F185" s="2738"/>
      <c r="G185" s="2738">
        <v>3443000</v>
      </c>
      <c r="H185" s="2738">
        <f>G185+F185</f>
        <v>3443000</v>
      </c>
      <c r="I185" s="2738"/>
      <c r="J185" s="2738"/>
      <c r="K185" s="2738"/>
      <c r="L185" s="2743"/>
      <c r="M185" s="2738">
        <f>'[10]NFMA46 '!I191</f>
        <v>3443000</v>
      </c>
      <c r="N185" s="2738">
        <f>'[10]NFMA46 '!L191</f>
        <v>0</v>
      </c>
      <c r="O185" s="2738">
        <f t="shared" si="24"/>
        <v>0</v>
      </c>
      <c r="P185" s="2739">
        <f>'[10]NFMA46 '!K191</f>
        <v>2895050</v>
      </c>
      <c r="Q185" s="1715">
        <f t="shared" si="25"/>
        <v>84.085100203311072</v>
      </c>
      <c r="R185" s="1715">
        <f t="shared" si="21"/>
        <v>2895050</v>
      </c>
      <c r="S185" s="1715">
        <f t="shared" si="26"/>
        <v>84.085100203311072</v>
      </c>
      <c r="T185" s="1715"/>
      <c r="U185" s="1715">
        <f t="shared" si="22"/>
        <v>547950</v>
      </c>
      <c r="V185" s="2658"/>
    </row>
    <row r="186" spans="1:22" s="1041" customFormat="1" ht="63" customHeight="1">
      <c r="A186" s="2658">
        <v>10</v>
      </c>
      <c r="B186" s="2735" t="s">
        <v>5754</v>
      </c>
      <c r="C186" s="2740" t="s">
        <v>4658</v>
      </c>
      <c r="D186" s="2741" t="s">
        <v>4658</v>
      </c>
      <c r="E186" s="2742" t="s">
        <v>2830</v>
      </c>
      <c r="F186" s="2738"/>
      <c r="G186" s="2738">
        <v>980000</v>
      </c>
      <c r="H186" s="2738">
        <f t="shared" ref="H186:H201" si="27">G186+F186</f>
        <v>980000</v>
      </c>
      <c r="I186" s="2738"/>
      <c r="J186" s="2738"/>
      <c r="K186" s="2738"/>
      <c r="L186" s="2743">
        <v>2000</v>
      </c>
      <c r="M186" s="2738">
        <v>978000</v>
      </c>
      <c r="N186" s="2738">
        <f>'[10]NFMA46 '!L192</f>
        <v>978000</v>
      </c>
      <c r="O186" s="2738">
        <f t="shared" si="24"/>
        <v>100</v>
      </c>
      <c r="P186" s="2739">
        <f>'[10]NFMA46 '!K192</f>
        <v>0</v>
      </c>
      <c r="Q186" s="1715">
        <f t="shared" si="25"/>
        <v>0</v>
      </c>
      <c r="R186" s="1715">
        <f t="shared" si="21"/>
        <v>978000</v>
      </c>
      <c r="S186" s="1715">
        <f t="shared" si="26"/>
        <v>100</v>
      </c>
      <c r="T186" s="1715"/>
      <c r="U186" s="1715">
        <f t="shared" si="22"/>
        <v>0</v>
      </c>
      <c r="V186" s="2658"/>
    </row>
    <row r="187" spans="1:22" s="1041" customFormat="1" ht="63" customHeight="1">
      <c r="A187" s="2658">
        <v>11</v>
      </c>
      <c r="B187" s="2735" t="s">
        <v>5755</v>
      </c>
      <c r="C187" s="2740" t="s">
        <v>4659</v>
      </c>
      <c r="D187" s="2741" t="s">
        <v>4659</v>
      </c>
      <c r="E187" s="2742" t="s">
        <v>2828</v>
      </c>
      <c r="F187" s="2738"/>
      <c r="G187" s="2738">
        <v>480000</v>
      </c>
      <c r="H187" s="2738">
        <f t="shared" si="27"/>
        <v>480000</v>
      </c>
      <c r="I187" s="2738"/>
      <c r="J187" s="2738"/>
      <c r="K187" s="2738"/>
      <c r="L187" s="2743"/>
      <c r="M187" s="2738">
        <f>'[10]NFMA46 '!I193</f>
        <v>480000</v>
      </c>
      <c r="N187" s="2738">
        <f>'[10]NFMA46 '!L193</f>
        <v>480000</v>
      </c>
      <c r="O187" s="2738">
        <f t="shared" si="24"/>
        <v>100</v>
      </c>
      <c r="P187" s="2739">
        <f>'[10]NFMA46 '!K193</f>
        <v>0</v>
      </c>
      <c r="Q187" s="1715">
        <f t="shared" si="25"/>
        <v>0</v>
      </c>
      <c r="R187" s="1715">
        <f t="shared" si="21"/>
        <v>480000</v>
      </c>
      <c r="S187" s="1715">
        <f t="shared" si="26"/>
        <v>100</v>
      </c>
      <c r="T187" s="1715"/>
      <c r="U187" s="1715">
        <f t="shared" si="22"/>
        <v>0</v>
      </c>
      <c r="V187" s="2658"/>
    </row>
    <row r="188" spans="1:22" s="1041" customFormat="1" ht="63" customHeight="1">
      <c r="A188" s="2658">
        <v>12</v>
      </c>
      <c r="B188" s="2735" t="s">
        <v>5756</v>
      </c>
      <c r="C188" s="2740" t="s">
        <v>4660</v>
      </c>
      <c r="D188" s="2741" t="s">
        <v>4660</v>
      </c>
      <c r="E188" s="2742" t="s">
        <v>5757</v>
      </c>
      <c r="F188" s="2738"/>
      <c r="G188" s="2738">
        <v>299000</v>
      </c>
      <c r="H188" s="2738">
        <f t="shared" si="27"/>
        <v>299000</v>
      </c>
      <c r="I188" s="2738"/>
      <c r="J188" s="2738"/>
      <c r="K188" s="2738"/>
      <c r="L188" s="2743"/>
      <c r="M188" s="2738">
        <f>'[10]NFMA46 '!I194</f>
        <v>299000</v>
      </c>
      <c r="N188" s="2738">
        <f>'[10]NFMA46 '!L194</f>
        <v>299000</v>
      </c>
      <c r="O188" s="2738">
        <f t="shared" si="24"/>
        <v>100</v>
      </c>
      <c r="P188" s="2739">
        <f>'[10]NFMA46 '!K194</f>
        <v>0</v>
      </c>
      <c r="Q188" s="1715">
        <f t="shared" si="25"/>
        <v>0</v>
      </c>
      <c r="R188" s="1715">
        <f t="shared" si="21"/>
        <v>299000</v>
      </c>
      <c r="S188" s="1715">
        <f t="shared" si="26"/>
        <v>100</v>
      </c>
      <c r="T188" s="1715"/>
      <c r="U188" s="1715">
        <f t="shared" si="22"/>
        <v>0</v>
      </c>
      <c r="V188" s="2658"/>
    </row>
    <row r="189" spans="1:22" s="1041" customFormat="1" ht="63" customHeight="1">
      <c r="A189" s="2658">
        <v>13</v>
      </c>
      <c r="B189" s="2735" t="s">
        <v>5758</v>
      </c>
      <c r="C189" s="2740" t="s">
        <v>4661</v>
      </c>
      <c r="D189" s="2741" t="s">
        <v>4661</v>
      </c>
      <c r="E189" s="2742" t="s">
        <v>2819</v>
      </c>
      <c r="F189" s="2738"/>
      <c r="G189" s="2738">
        <v>129000</v>
      </c>
      <c r="H189" s="2738">
        <f t="shared" si="27"/>
        <v>129000</v>
      </c>
      <c r="I189" s="2738"/>
      <c r="J189" s="2738"/>
      <c r="K189" s="2738"/>
      <c r="L189" s="2743"/>
      <c r="M189" s="2738">
        <f>'[10]NFMA46 '!I195</f>
        <v>129000</v>
      </c>
      <c r="N189" s="2738">
        <f>'[10]NFMA46 '!L195</f>
        <v>129000</v>
      </c>
      <c r="O189" s="2738">
        <f t="shared" si="24"/>
        <v>100</v>
      </c>
      <c r="P189" s="2739">
        <f>'[10]NFMA46 '!K195</f>
        <v>0</v>
      </c>
      <c r="Q189" s="1715">
        <f t="shared" si="25"/>
        <v>0</v>
      </c>
      <c r="R189" s="1715">
        <f t="shared" si="21"/>
        <v>129000</v>
      </c>
      <c r="S189" s="1715">
        <f t="shared" si="26"/>
        <v>100</v>
      </c>
      <c r="T189" s="1715"/>
      <c r="U189" s="1715">
        <f t="shared" si="22"/>
        <v>0</v>
      </c>
      <c r="V189" s="2658"/>
    </row>
    <row r="190" spans="1:22" s="1041" customFormat="1" ht="63" customHeight="1">
      <c r="A190" s="2658">
        <v>14</v>
      </c>
      <c r="B190" s="2735" t="s">
        <v>5759</v>
      </c>
      <c r="C190" s="2740" t="s">
        <v>4662</v>
      </c>
      <c r="D190" s="2741" t="s">
        <v>4662</v>
      </c>
      <c r="E190" s="2742" t="s">
        <v>2820</v>
      </c>
      <c r="F190" s="2738">
        <v>0</v>
      </c>
      <c r="G190" s="2738">
        <v>262000</v>
      </c>
      <c r="H190" s="2738">
        <f>G190+F190</f>
        <v>262000</v>
      </c>
      <c r="I190" s="2738"/>
      <c r="J190" s="2738"/>
      <c r="K190" s="2738"/>
      <c r="L190" s="2743"/>
      <c r="M190" s="2738">
        <f>'[10]NFMA46 '!I196</f>
        <v>262000</v>
      </c>
      <c r="N190" s="2738">
        <f>'[10]NFMA46 '!L196</f>
        <v>0</v>
      </c>
      <c r="O190" s="2738">
        <f t="shared" si="24"/>
        <v>0</v>
      </c>
      <c r="P190" s="2739">
        <f>'[10]NFMA46 '!K196</f>
        <v>262000</v>
      </c>
      <c r="Q190" s="1715">
        <f t="shared" si="25"/>
        <v>100</v>
      </c>
      <c r="R190" s="1715">
        <f t="shared" si="21"/>
        <v>262000</v>
      </c>
      <c r="S190" s="1715">
        <f t="shared" si="26"/>
        <v>100</v>
      </c>
      <c r="T190" s="1715"/>
      <c r="U190" s="1715">
        <f t="shared" si="22"/>
        <v>0</v>
      </c>
      <c r="V190" s="2658"/>
    </row>
    <row r="191" spans="1:22" s="1041" customFormat="1" ht="63" customHeight="1">
      <c r="A191" s="2658">
        <v>15</v>
      </c>
      <c r="B191" s="2735" t="s">
        <v>5760</v>
      </c>
      <c r="C191" s="2740" t="s">
        <v>4663</v>
      </c>
      <c r="D191" s="2741" t="s">
        <v>4663</v>
      </c>
      <c r="E191" s="2742" t="s">
        <v>5761</v>
      </c>
      <c r="F191" s="2738"/>
      <c r="G191" s="2738">
        <v>476500</v>
      </c>
      <c r="H191" s="2738">
        <f t="shared" si="27"/>
        <v>476500</v>
      </c>
      <c r="I191" s="2738"/>
      <c r="J191" s="2738"/>
      <c r="K191" s="2738"/>
      <c r="L191" s="2743"/>
      <c r="M191" s="2738">
        <f>'[10]NFMA46 '!I197</f>
        <v>476500</v>
      </c>
      <c r="N191" s="2738">
        <f>'[10]NFMA46 '!L197</f>
        <v>476500</v>
      </c>
      <c r="O191" s="2738">
        <f t="shared" si="24"/>
        <v>100</v>
      </c>
      <c r="P191" s="2739">
        <f>'[10]NFMA46 '!K197</f>
        <v>0</v>
      </c>
      <c r="Q191" s="1715">
        <f t="shared" si="25"/>
        <v>0</v>
      </c>
      <c r="R191" s="1715">
        <f t="shared" si="21"/>
        <v>476500</v>
      </c>
      <c r="S191" s="1715">
        <f t="shared" si="26"/>
        <v>100</v>
      </c>
      <c r="T191" s="1715"/>
      <c r="U191" s="1715">
        <f t="shared" si="22"/>
        <v>0</v>
      </c>
      <c r="V191" s="2658"/>
    </row>
    <row r="192" spans="1:22" s="1041" customFormat="1" ht="55.5" customHeight="1">
      <c r="A192" s="2658">
        <v>16</v>
      </c>
      <c r="B192" s="2735" t="s">
        <v>5762</v>
      </c>
      <c r="C192" s="2740" t="s">
        <v>4664</v>
      </c>
      <c r="D192" s="2741" t="s">
        <v>4664</v>
      </c>
      <c r="E192" s="2742" t="s">
        <v>2818</v>
      </c>
      <c r="F192" s="2738"/>
      <c r="G192" s="2738">
        <v>497000</v>
      </c>
      <c r="H192" s="2738">
        <f t="shared" si="27"/>
        <v>497000</v>
      </c>
      <c r="I192" s="2738"/>
      <c r="J192" s="2738"/>
      <c r="K192" s="2738"/>
      <c r="L192" s="2743"/>
      <c r="M192" s="2738">
        <f>'[10]NFMA46 '!I198</f>
        <v>497000</v>
      </c>
      <c r="N192" s="2738">
        <f>'[10]NFMA46 '!L198</f>
        <v>497000</v>
      </c>
      <c r="O192" s="2738">
        <f t="shared" si="24"/>
        <v>100</v>
      </c>
      <c r="P192" s="2739">
        <f>'[10]NFMA46 '!K198</f>
        <v>0</v>
      </c>
      <c r="Q192" s="1715">
        <f t="shared" si="25"/>
        <v>0</v>
      </c>
      <c r="R192" s="1715">
        <f t="shared" si="21"/>
        <v>497000</v>
      </c>
      <c r="S192" s="1715">
        <f t="shared" si="26"/>
        <v>100</v>
      </c>
      <c r="T192" s="1715"/>
      <c r="U192" s="1715">
        <f t="shared" si="22"/>
        <v>0</v>
      </c>
      <c r="V192" s="2658"/>
    </row>
    <row r="193" spans="1:22" s="1041" customFormat="1" ht="63" customHeight="1">
      <c r="A193" s="2658">
        <v>17</v>
      </c>
      <c r="B193" s="2735" t="s">
        <v>5763</v>
      </c>
      <c r="C193" s="2740" t="s">
        <v>4665</v>
      </c>
      <c r="D193" s="2741" t="s">
        <v>4665</v>
      </c>
      <c r="E193" s="2742" t="s">
        <v>4640</v>
      </c>
      <c r="F193" s="2738"/>
      <c r="G193" s="2738">
        <v>192000</v>
      </c>
      <c r="H193" s="2738">
        <f t="shared" si="27"/>
        <v>192000</v>
      </c>
      <c r="I193" s="2738"/>
      <c r="J193" s="2738"/>
      <c r="K193" s="2738"/>
      <c r="L193" s="2743"/>
      <c r="M193" s="2738">
        <f>'[10]NFMA46 '!I199</f>
        <v>192000</v>
      </c>
      <c r="N193" s="2738">
        <f>'[10]NFMA46 '!L199</f>
        <v>0</v>
      </c>
      <c r="O193" s="2738">
        <f t="shared" si="24"/>
        <v>0</v>
      </c>
      <c r="P193" s="2739">
        <f>'[10]NFMA46 '!K199</f>
        <v>192000</v>
      </c>
      <c r="Q193" s="1715">
        <f t="shared" si="25"/>
        <v>100</v>
      </c>
      <c r="R193" s="1715">
        <f t="shared" si="21"/>
        <v>192000</v>
      </c>
      <c r="S193" s="1715">
        <f t="shared" si="26"/>
        <v>100</v>
      </c>
      <c r="T193" s="1715"/>
      <c r="U193" s="1715">
        <f t="shared" si="22"/>
        <v>0</v>
      </c>
      <c r="V193" s="2658"/>
    </row>
    <row r="194" spans="1:22" s="1041" customFormat="1" ht="63" customHeight="1">
      <c r="A194" s="2658">
        <v>18</v>
      </c>
      <c r="B194" s="2735" t="s">
        <v>5764</v>
      </c>
      <c r="C194" s="2740" t="s">
        <v>4666</v>
      </c>
      <c r="D194" s="2741" t="s">
        <v>4666</v>
      </c>
      <c r="E194" s="2742" t="s">
        <v>2824</v>
      </c>
      <c r="F194" s="2738"/>
      <c r="G194" s="2738">
        <v>1986100</v>
      </c>
      <c r="H194" s="2738">
        <f t="shared" si="27"/>
        <v>1986100</v>
      </c>
      <c r="I194" s="2738"/>
      <c r="J194" s="2738"/>
      <c r="K194" s="2738"/>
      <c r="L194" s="2743">
        <v>16101</v>
      </c>
      <c r="M194" s="2738">
        <f>'[10]NFMA46 '!I200-L194</f>
        <v>1969999</v>
      </c>
      <c r="N194" s="2738">
        <f>'[10]NFMA46 '!L200</f>
        <v>0</v>
      </c>
      <c r="O194" s="2738">
        <f t="shared" si="24"/>
        <v>0</v>
      </c>
      <c r="P194" s="2739">
        <f>'[10]NFMA46 '!K200</f>
        <v>1969999</v>
      </c>
      <c r="Q194" s="1715">
        <f t="shared" si="25"/>
        <v>100</v>
      </c>
      <c r="R194" s="1715">
        <f t="shared" si="21"/>
        <v>1969999</v>
      </c>
      <c r="S194" s="1715">
        <f t="shared" si="26"/>
        <v>100</v>
      </c>
      <c r="T194" s="1715"/>
      <c r="U194" s="1715">
        <f t="shared" si="22"/>
        <v>0</v>
      </c>
      <c r="V194" s="2658"/>
    </row>
    <row r="195" spans="1:22" s="1041" customFormat="1" ht="80.25" customHeight="1">
      <c r="A195" s="2658">
        <v>19</v>
      </c>
      <c r="B195" s="2735" t="s">
        <v>5765</v>
      </c>
      <c r="C195" s="2740" t="s">
        <v>4667</v>
      </c>
      <c r="D195" s="2741" t="s">
        <v>4667</v>
      </c>
      <c r="E195" s="2742" t="s">
        <v>2830</v>
      </c>
      <c r="F195" s="2738"/>
      <c r="G195" s="2738">
        <v>109000</v>
      </c>
      <c r="H195" s="2738">
        <f t="shared" si="27"/>
        <v>109000</v>
      </c>
      <c r="I195" s="2738"/>
      <c r="J195" s="2738"/>
      <c r="K195" s="2738"/>
      <c r="L195" s="2743"/>
      <c r="M195" s="2738">
        <f>'[10]NFMA46 '!I201</f>
        <v>109000</v>
      </c>
      <c r="N195" s="2738">
        <f>'[10]NFMA46 '!L201</f>
        <v>109000</v>
      </c>
      <c r="O195" s="2738">
        <f t="shared" si="24"/>
        <v>100</v>
      </c>
      <c r="P195" s="2739">
        <f>'[10]NFMA46 '!K201</f>
        <v>0</v>
      </c>
      <c r="Q195" s="1715">
        <f t="shared" si="25"/>
        <v>0</v>
      </c>
      <c r="R195" s="1715">
        <f t="shared" si="21"/>
        <v>109000</v>
      </c>
      <c r="S195" s="1715">
        <f t="shared" si="26"/>
        <v>100</v>
      </c>
      <c r="T195" s="1715"/>
      <c r="U195" s="1715">
        <f t="shared" si="22"/>
        <v>0</v>
      </c>
      <c r="V195" s="2658"/>
    </row>
    <row r="196" spans="1:22" s="1041" customFormat="1" ht="84" customHeight="1">
      <c r="A196" s="2658">
        <v>20</v>
      </c>
      <c r="B196" s="2735" t="s">
        <v>5766</v>
      </c>
      <c r="C196" s="2740" t="s">
        <v>4668</v>
      </c>
      <c r="D196" s="2741" t="s">
        <v>4668</v>
      </c>
      <c r="E196" s="2742" t="s">
        <v>2830</v>
      </c>
      <c r="F196" s="2738"/>
      <c r="G196" s="2738">
        <v>197000</v>
      </c>
      <c r="H196" s="2738">
        <f t="shared" si="27"/>
        <v>197000</v>
      </c>
      <c r="I196" s="2738"/>
      <c r="J196" s="2738"/>
      <c r="K196" s="2738"/>
      <c r="L196" s="2743"/>
      <c r="M196" s="2738">
        <f>'[10]NFMA46 '!I202</f>
        <v>197000</v>
      </c>
      <c r="N196" s="2738">
        <f>'[10]NFMA46 '!L202</f>
        <v>197000</v>
      </c>
      <c r="O196" s="2738">
        <f t="shared" si="24"/>
        <v>100</v>
      </c>
      <c r="P196" s="2739">
        <f>'[10]NFMA46 '!K202</f>
        <v>0</v>
      </c>
      <c r="Q196" s="1715">
        <f t="shared" si="25"/>
        <v>0</v>
      </c>
      <c r="R196" s="1715">
        <f t="shared" si="21"/>
        <v>197000</v>
      </c>
      <c r="S196" s="1715">
        <f t="shared" si="26"/>
        <v>100</v>
      </c>
      <c r="T196" s="1715"/>
      <c r="U196" s="1715">
        <f t="shared" si="22"/>
        <v>0</v>
      </c>
      <c r="V196" s="2658"/>
    </row>
    <row r="197" spans="1:22" s="1041" customFormat="1" ht="84" customHeight="1">
      <c r="A197" s="2658">
        <v>21</v>
      </c>
      <c r="B197" s="2735" t="s">
        <v>5767</v>
      </c>
      <c r="C197" s="2740" t="s">
        <v>4669</v>
      </c>
      <c r="D197" s="2741" t="s">
        <v>4669</v>
      </c>
      <c r="E197" s="2742" t="s">
        <v>4639</v>
      </c>
      <c r="F197" s="2738"/>
      <c r="G197" s="2738">
        <v>224000</v>
      </c>
      <c r="H197" s="2738">
        <f>G197+F197</f>
        <v>224000</v>
      </c>
      <c r="I197" s="2738"/>
      <c r="J197" s="2738"/>
      <c r="K197" s="2738"/>
      <c r="L197" s="2743">
        <v>15008</v>
      </c>
      <c r="M197" s="2738">
        <v>208992</v>
      </c>
      <c r="N197" s="2738">
        <f>'[10]NFMA46 '!L203</f>
        <v>0</v>
      </c>
      <c r="O197" s="2738">
        <f t="shared" si="24"/>
        <v>0</v>
      </c>
      <c r="P197" s="2739">
        <f>'[10]NFMA46 '!K203</f>
        <v>208992</v>
      </c>
      <c r="Q197" s="1715">
        <f t="shared" si="25"/>
        <v>100</v>
      </c>
      <c r="R197" s="1715">
        <f t="shared" si="21"/>
        <v>208992</v>
      </c>
      <c r="S197" s="1715">
        <f t="shared" si="26"/>
        <v>100</v>
      </c>
      <c r="T197" s="1715"/>
      <c r="U197" s="1715">
        <f t="shared" si="22"/>
        <v>0</v>
      </c>
      <c r="V197" s="2658"/>
    </row>
    <row r="198" spans="1:22" s="2665" customFormat="1" ht="84" customHeight="1">
      <c r="A198" s="2664">
        <v>22</v>
      </c>
      <c r="B198" s="2735" t="s">
        <v>5768</v>
      </c>
      <c r="C198" s="2740" t="s">
        <v>4670</v>
      </c>
      <c r="D198" s="2741" t="s">
        <v>4670</v>
      </c>
      <c r="E198" s="2742" t="s">
        <v>2817</v>
      </c>
      <c r="F198" s="2738"/>
      <c r="G198" s="2738">
        <v>180000</v>
      </c>
      <c r="H198" s="2738">
        <f t="shared" si="27"/>
        <v>180000</v>
      </c>
      <c r="I198" s="2738"/>
      <c r="J198" s="2738"/>
      <c r="K198" s="2738"/>
      <c r="L198" s="2743">
        <v>180000</v>
      </c>
      <c r="M198" s="2738"/>
      <c r="N198" s="2738">
        <f>'[10]NFMA46 '!L204</f>
        <v>0</v>
      </c>
      <c r="O198" s="1715" t="e">
        <f t="shared" si="24"/>
        <v>#DIV/0!</v>
      </c>
      <c r="P198" s="1716">
        <f>'[10]NFMA46 '!K204</f>
        <v>0</v>
      </c>
      <c r="Q198" s="1715" t="e">
        <f t="shared" si="25"/>
        <v>#DIV/0!</v>
      </c>
      <c r="R198" s="1715">
        <f t="shared" si="21"/>
        <v>0</v>
      </c>
      <c r="S198" s="1715" t="e">
        <f t="shared" si="26"/>
        <v>#DIV/0!</v>
      </c>
      <c r="T198" s="1715"/>
      <c r="U198" s="1715">
        <f t="shared" si="22"/>
        <v>0</v>
      </c>
      <c r="V198" s="2664"/>
    </row>
    <row r="199" spans="1:22" s="1041" customFormat="1" ht="84" customHeight="1">
      <c r="A199" s="2658">
        <v>23</v>
      </c>
      <c r="B199" s="2735" t="s">
        <v>5769</v>
      </c>
      <c r="C199" s="2740" t="s">
        <v>4671</v>
      </c>
      <c r="D199" s="2741" t="s">
        <v>4671</v>
      </c>
      <c r="E199" s="2742" t="s">
        <v>866</v>
      </c>
      <c r="F199" s="2738"/>
      <c r="G199" s="2738">
        <v>4598500</v>
      </c>
      <c r="H199" s="2738">
        <f t="shared" si="27"/>
        <v>4598500</v>
      </c>
      <c r="I199" s="2738"/>
      <c r="J199" s="2738"/>
      <c r="K199" s="2738">
        <v>-944500</v>
      </c>
      <c r="L199" s="2743"/>
      <c r="M199" s="2738">
        <f>'[10]NFMA46 '!I205</f>
        <v>3654000</v>
      </c>
      <c r="N199" s="2738">
        <f>'[10]NFMA46 '!L205</f>
        <v>0</v>
      </c>
      <c r="O199" s="2738">
        <f t="shared" si="24"/>
        <v>0</v>
      </c>
      <c r="P199" s="2739">
        <f>'[10]NFMA46 '!K205</f>
        <v>3654000</v>
      </c>
      <c r="Q199" s="1715">
        <f t="shared" si="25"/>
        <v>100</v>
      </c>
      <c r="R199" s="1715">
        <f t="shared" si="21"/>
        <v>3654000</v>
      </c>
      <c r="S199" s="1715">
        <f t="shared" si="26"/>
        <v>100</v>
      </c>
      <c r="T199" s="1715"/>
      <c r="U199" s="1715">
        <f t="shared" si="22"/>
        <v>0</v>
      </c>
      <c r="V199" s="2658"/>
    </row>
    <row r="200" spans="1:22" s="1041" customFormat="1" ht="84" customHeight="1">
      <c r="A200" s="2658">
        <v>24</v>
      </c>
      <c r="B200" s="2735" t="s">
        <v>5770</v>
      </c>
      <c r="C200" s="2740" t="s">
        <v>4672</v>
      </c>
      <c r="D200" s="2741" t="s">
        <v>4672</v>
      </c>
      <c r="E200" s="2742" t="s">
        <v>866</v>
      </c>
      <c r="F200" s="2738"/>
      <c r="G200" s="2738">
        <v>4294000</v>
      </c>
      <c r="H200" s="2738">
        <f t="shared" si="27"/>
        <v>4294000</v>
      </c>
      <c r="I200" s="2738"/>
      <c r="J200" s="2738"/>
      <c r="K200" s="2738">
        <f>-736000-563000</f>
        <v>-1299000</v>
      </c>
      <c r="L200" s="2743"/>
      <c r="M200" s="2738">
        <f>G200+K200</f>
        <v>2995000</v>
      </c>
      <c r="N200" s="2738">
        <f>'[10]NFMA46 '!L206</f>
        <v>0</v>
      </c>
      <c r="O200" s="2738">
        <f t="shared" si="24"/>
        <v>0</v>
      </c>
      <c r="P200" s="2739">
        <f>'[10]NFMA46 '!K206</f>
        <v>2995000</v>
      </c>
      <c r="Q200" s="1715">
        <f t="shared" si="25"/>
        <v>100</v>
      </c>
      <c r="R200" s="1715">
        <f t="shared" si="21"/>
        <v>2995000</v>
      </c>
      <c r="S200" s="1715">
        <f t="shared" si="26"/>
        <v>100</v>
      </c>
      <c r="T200" s="1715"/>
      <c r="U200" s="1715">
        <f t="shared" si="22"/>
        <v>0</v>
      </c>
      <c r="V200" s="2658"/>
    </row>
    <row r="201" spans="1:22" s="1041" customFormat="1" ht="84" customHeight="1">
      <c r="A201" s="2658">
        <v>25</v>
      </c>
      <c r="B201" s="2735" t="s">
        <v>5771</v>
      </c>
      <c r="C201" s="2740" t="s">
        <v>4673</v>
      </c>
      <c r="D201" s="2741" t="s">
        <v>4673</v>
      </c>
      <c r="E201" s="2742" t="s">
        <v>866</v>
      </c>
      <c r="F201" s="2738"/>
      <c r="G201" s="2738">
        <v>526000</v>
      </c>
      <c r="H201" s="2738">
        <f t="shared" si="27"/>
        <v>526000</v>
      </c>
      <c r="I201" s="2738"/>
      <c r="J201" s="2738"/>
      <c r="K201" s="2738"/>
      <c r="L201" s="2743"/>
      <c r="M201" s="2738">
        <f>'[10]NFMA46 '!I207</f>
        <v>526000</v>
      </c>
      <c r="N201" s="2738">
        <f>'[10]NFMA46 '!L207</f>
        <v>0</v>
      </c>
      <c r="O201" s="2738">
        <f t="shared" si="24"/>
        <v>0</v>
      </c>
      <c r="P201" s="2739">
        <f>'[10]NFMA46 '!K207</f>
        <v>490000</v>
      </c>
      <c r="Q201" s="1715">
        <f t="shared" si="25"/>
        <v>93.155893536121667</v>
      </c>
      <c r="R201" s="1715">
        <f t="shared" si="21"/>
        <v>490000</v>
      </c>
      <c r="S201" s="1715">
        <f t="shared" si="26"/>
        <v>93.155893536121667</v>
      </c>
      <c r="T201" s="1715"/>
      <c r="U201" s="1715">
        <f t="shared" si="22"/>
        <v>36000</v>
      </c>
      <c r="V201" s="2658"/>
    </row>
    <row r="202" spans="1:22" s="1041" customFormat="1" ht="84" customHeight="1">
      <c r="A202" s="2658">
        <v>26</v>
      </c>
      <c r="B202" s="2735" t="s">
        <v>5772</v>
      </c>
      <c r="C202" s="2740" t="s">
        <v>4674</v>
      </c>
      <c r="D202" s="2741" t="s">
        <v>4674</v>
      </c>
      <c r="E202" s="2742" t="s">
        <v>866</v>
      </c>
      <c r="F202" s="2738"/>
      <c r="G202" s="2738">
        <v>622000</v>
      </c>
      <c r="H202" s="2738">
        <f>G202+F202</f>
        <v>622000</v>
      </c>
      <c r="I202" s="2738"/>
      <c r="J202" s="2738"/>
      <c r="K202" s="2738"/>
      <c r="L202" s="2743"/>
      <c r="M202" s="2738">
        <f>'[10]NFMA46 '!I208</f>
        <v>622000</v>
      </c>
      <c r="N202" s="2738">
        <f>'[10]NFMA46 '!L208</f>
        <v>582499</v>
      </c>
      <c r="O202" s="2738">
        <f t="shared" si="24"/>
        <v>93.649356913183283</v>
      </c>
      <c r="P202" s="2739">
        <f>'[10]NFMA46 '!K208</f>
        <v>0</v>
      </c>
      <c r="Q202" s="1715">
        <f t="shared" si="25"/>
        <v>0</v>
      </c>
      <c r="R202" s="1715">
        <f t="shared" si="21"/>
        <v>582499</v>
      </c>
      <c r="S202" s="1715">
        <f t="shared" si="26"/>
        <v>93.649356913183283</v>
      </c>
      <c r="T202" s="1715"/>
      <c r="U202" s="1715">
        <f t="shared" si="22"/>
        <v>39501</v>
      </c>
      <c r="V202" s="2658"/>
    </row>
    <row r="203" spans="1:22" s="1041" customFormat="1" ht="84" customHeight="1">
      <c r="A203" s="2658">
        <v>27</v>
      </c>
      <c r="B203" s="2735" t="s">
        <v>5773</v>
      </c>
      <c r="C203" s="2740" t="s">
        <v>4677</v>
      </c>
      <c r="D203" s="2741" t="s">
        <v>4677</v>
      </c>
      <c r="E203" s="2742" t="s">
        <v>4645</v>
      </c>
      <c r="F203" s="2738"/>
      <c r="G203" s="2738">
        <v>244000</v>
      </c>
      <c r="H203" s="2738">
        <f t="shared" ref="H203:H255" si="28">G203+F203</f>
        <v>244000</v>
      </c>
      <c r="I203" s="2738"/>
      <c r="J203" s="2738"/>
      <c r="K203" s="2738"/>
      <c r="L203" s="2743"/>
      <c r="M203" s="2738">
        <f>'[10]NFMA46 '!I209</f>
        <v>244000</v>
      </c>
      <c r="N203" s="2738">
        <f>'[10]NFMA46 '!L209</f>
        <v>244000</v>
      </c>
      <c r="O203" s="2738">
        <f t="shared" si="24"/>
        <v>100</v>
      </c>
      <c r="P203" s="2739">
        <f>'[10]NFMA46 '!K209</f>
        <v>0</v>
      </c>
      <c r="Q203" s="1715">
        <f t="shared" si="25"/>
        <v>0</v>
      </c>
      <c r="R203" s="1715">
        <f t="shared" si="21"/>
        <v>244000</v>
      </c>
      <c r="S203" s="1715">
        <f t="shared" si="26"/>
        <v>100</v>
      </c>
      <c r="T203" s="1715"/>
      <c r="U203" s="1715">
        <f t="shared" si="22"/>
        <v>0</v>
      </c>
      <c r="V203" s="2658"/>
    </row>
    <row r="204" spans="1:22" s="1041" customFormat="1" ht="84" customHeight="1">
      <c r="A204" s="2658">
        <v>28</v>
      </c>
      <c r="B204" s="2735" t="s">
        <v>5774</v>
      </c>
      <c r="C204" s="2740" t="s">
        <v>4678</v>
      </c>
      <c r="D204" s="2741" t="s">
        <v>4678</v>
      </c>
      <c r="E204" s="2742" t="s">
        <v>5725</v>
      </c>
      <c r="F204" s="2738"/>
      <c r="G204" s="2738">
        <v>172000</v>
      </c>
      <c r="H204" s="2738">
        <f t="shared" si="28"/>
        <v>172000</v>
      </c>
      <c r="I204" s="2738"/>
      <c r="J204" s="2738"/>
      <c r="K204" s="2738"/>
      <c r="L204" s="2743"/>
      <c r="M204" s="2738">
        <f>'[10]NFMA46 '!I210</f>
        <v>172000</v>
      </c>
      <c r="N204" s="2738">
        <f>'[10]NFMA46 '!L210</f>
        <v>172000</v>
      </c>
      <c r="O204" s="2738">
        <f t="shared" si="24"/>
        <v>100</v>
      </c>
      <c r="P204" s="2739">
        <f>'[10]NFMA46 '!K210</f>
        <v>0</v>
      </c>
      <c r="Q204" s="1715">
        <f t="shared" si="25"/>
        <v>0</v>
      </c>
      <c r="R204" s="1715">
        <f t="shared" si="21"/>
        <v>172000</v>
      </c>
      <c r="S204" s="1715">
        <f t="shared" si="26"/>
        <v>100</v>
      </c>
      <c r="T204" s="1715"/>
      <c r="U204" s="1715">
        <f t="shared" si="22"/>
        <v>0</v>
      </c>
      <c r="V204" s="2658"/>
    </row>
    <row r="205" spans="1:22" s="1041" customFormat="1" ht="84" customHeight="1">
      <c r="A205" s="2658">
        <v>29</v>
      </c>
      <c r="B205" s="2735" t="s">
        <v>5775</v>
      </c>
      <c r="C205" s="2740" t="s">
        <v>4679</v>
      </c>
      <c r="D205" s="2741" t="s">
        <v>4679</v>
      </c>
      <c r="E205" s="2742" t="s">
        <v>866</v>
      </c>
      <c r="F205" s="2738"/>
      <c r="G205" s="2738">
        <v>3167000</v>
      </c>
      <c r="H205" s="2738">
        <f t="shared" si="28"/>
        <v>3167000</v>
      </c>
      <c r="I205" s="2738"/>
      <c r="J205" s="2738"/>
      <c r="K205" s="2738">
        <v>-392200</v>
      </c>
      <c r="L205" s="2743"/>
      <c r="M205" s="2738">
        <f>'[10]NFMA46 '!I211</f>
        <v>2774800</v>
      </c>
      <c r="N205" s="2738">
        <f>'[10]NFMA46 '!L211</f>
        <v>0</v>
      </c>
      <c r="O205" s="2738">
        <f t="shared" si="24"/>
        <v>0</v>
      </c>
      <c r="P205" s="2739">
        <f>'[10]NFMA46 '!K211</f>
        <v>2750000</v>
      </c>
      <c r="Q205" s="1715">
        <f t="shared" si="25"/>
        <v>99.106241891307477</v>
      </c>
      <c r="R205" s="1715">
        <f t="shared" si="21"/>
        <v>2750000</v>
      </c>
      <c r="S205" s="1715">
        <f t="shared" si="26"/>
        <v>99.106241891307477</v>
      </c>
      <c r="T205" s="1715"/>
      <c r="U205" s="1715">
        <f>M205-R205</f>
        <v>24800</v>
      </c>
      <c r="V205" s="2658"/>
    </row>
    <row r="206" spans="1:22" s="1041" customFormat="1" ht="84" customHeight="1">
      <c r="A206" s="2658">
        <v>30</v>
      </c>
      <c r="B206" s="2735" t="s">
        <v>5776</v>
      </c>
      <c r="C206" s="2740" t="s">
        <v>4680</v>
      </c>
      <c r="D206" s="2741" t="s">
        <v>4680</v>
      </c>
      <c r="E206" s="2742" t="s">
        <v>866</v>
      </c>
      <c r="F206" s="2738"/>
      <c r="G206" s="2738">
        <v>1482000</v>
      </c>
      <c r="H206" s="2738">
        <f t="shared" si="28"/>
        <v>1482000</v>
      </c>
      <c r="I206" s="2738"/>
      <c r="J206" s="2738"/>
      <c r="K206" s="2738"/>
      <c r="L206" s="2743"/>
      <c r="M206" s="2738">
        <f>'[10]NFMA46 '!I212</f>
        <v>1482000</v>
      </c>
      <c r="N206" s="2738">
        <f>'[10]NFMA46 '!L212</f>
        <v>1296000</v>
      </c>
      <c r="O206" s="2738">
        <f t="shared" si="24"/>
        <v>87.449392712550605</v>
      </c>
      <c r="P206" s="2739">
        <f>'[10]NFMA46 '!K212</f>
        <v>0</v>
      </c>
      <c r="Q206" s="1715">
        <f t="shared" si="25"/>
        <v>0</v>
      </c>
      <c r="R206" s="1715">
        <f t="shared" si="21"/>
        <v>1296000</v>
      </c>
      <c r="S206" s="1715">
        <f t="shared" si="26"/>
        <v>87.449392712550605</v>
      </c>
      <c r="T206" s="1715"/>
      <c r="U206" s="1715">
        <f t="shared" si="22"/>
        <v>186000</v>
      </c>
      <c r="V206" s="2658"/>
    </row>
    <row r="207" spans="1:22" s="1041" customFormat="1" ht="84" customHeight="1">
      <c r="A207" s="2658">
        <v>31</v>
      </c>
      <c r="B207" s="2735" t="s">
        <v>5777</v>
      </c>
      <c r="C207" s="2740" t="s">
        <v>4681</v>
      </c>
      <c r="D207" s="2741" t="s">
        <v>4681</v>
      </c>
      <c r="E207" s="2742" t="s">
        <v>866</v>
      </c>
      <c r="F207" s="2738"/>
      <c r="G207" s="2738">
        <v>1000000</v>
      </c>
      <c r="H207" s="2738">
        <f t="shared" si="28"/>
        <v>1000000</v>
      </c>
      <c r="I207" s="2738"/>
      <c r="J207" s="2738"/>
      <c r="K207" s="2738"/>
      <c r="L207" s="2743"/>
      <c r="M207" s="2738">
        <f>'[10]NFMA46 '!I213</f>
        <v>1000000</v>
      </c>
      <c r="N207" s="2738">
        <f>'[10]NFMA46 '!L213</f>
        <v>0</v>
      </c>
      <c r="O207" s="2738">
        <f t="shared" si="24"/>
        <v>0</v>
      </c>
      <c r="P207" s="2739">
        <f>'[10]NFMA46 '!K213</f>
        <v>689440</v>
      </c>
      <c r="Q207" s="1715">
        <f t="shared" si="25"/>
        <v>68.944000000000003</v>
      </c>
      <c r="R207" s="1715">
        <f t="shared" si="21"/>
        <v>689440</v>
      </c>
      <c r="S207" s="1715">
        <f t="shared" si="26"/>
        <v>68.944000000000003</v>
      </c>
      <c r="T207" s="1715"/>
      <c r="U207" s="1715">
        <f t="shared" si="22"/>
        <v>310560</v>
      </c>
      <c r="V207" s="2658"/>
    </row>
    <row r="208" spans="1:22" s="1041" customFormat="1" ht="84" customHeight="1">
      <c r="A208" s="2658">
        <v>32</v>
      </c>
      <c r="B208" s="2735" t="s">
        <v>5778</v>
      </c>
      <c r="C208" s="2740" t="s">
        <v>4682</v>
      </c>
      <c r="D208" s="2741" t="s">
        <v>4682</v>
      </c>
      <c r="E208" s="2742" t="s">
        <v>866</v>
      </c>
      <c r="F208" s="2738"/>
      <c r="G208" s="2738">
        <v>4424000</v>
      </c>
      <c r="H208" s="2738">
        <f t="shared" si="28"/>
        <v>4424000</v>
      </c>
      <c r="I208" s="2738"/>
      <c r="J208" s="2738"/>
      <c r="K208" s="2738"/>
      <c r="L208" s="2743"/>
      <c r="M208" s="2738">
        <f>'[10]NFMA46 '!I214</f>
        <v>4424000</v>
      </c>
      <c r="N208" s="2738">
        <f>'[10]NFMA46 '!L214</f>
        <v>0</v>
      </c>
      <c r="O208" s="2738">
        <f t="shared" si="24"/>
        <v>0</v>
      </c>
      <c r="P208" s="2739">
        <f>'[10]NFMA46 '!K214</f>
        <v>4115000</v>
      </c>
      <c r="Q208" s="1715">
        <f t="shared" si="25"/>
        <v>93.015370705244123</v>
      </c>
      <c r="R208" s="1715">
        <f t="shared" si="21"/>
        <v>4115000</v>
      </c>
      <c r="S208" s="1715">
        <f t="shared" si="26"/>
        <v>93.015370705244123</v>
      </c>
      <c r="T208" s="1715"/>
      <c r="U208" s="1715">
        <f t="shared" si="22"/>
        <v>309000</v>
      </c>
      <c r="V208" s="2658"/>
    </row>
    <row r="209" spans="1:22" ht="84" customHeight="1">
      <c r="A209" s="2658">
        <v>33</v>
      </c>
      <c r="B209" s="2749" t="s">
        <v>5779</v>
      </c>
      <c r="C209" s="2740" t="s">
        <v>4683</v>
      </c>
      <c r="D209" s="2741" t="s">
        <v>4683</v>
      </c>
      <c r="E209" s="2742" t="s">
        <v>866</v>
      </c>
      <c r="F209" s="2738"/>
      <c r="G209" s="2738">
        <v>966000</v>
      </c>
      <c r="H209" s="2738">
        <f t="shared" si="28"/>
        <v>966000</v>
      </c>
      <c r="I209" s="2738"/>
      <c r="J209" s="2738"/>
      <c r="K209" s="2738"/>
      <c r="L209" s="2743"/>
      <c r="M209" s="2738">
        <f>'[10]NFMA46 '!I215</f>
        <v>966000</v>
      </c>
      <c r="N209" s="2738">
        <f>'[10]NFMA46 '!L215</f>
        <v>0</v>
      </c>
      <c r="O209" s="2738">
        <f t="shared" si="24"/>
        <v>0</v>
      </c>
      <c r="P209" s="2739">
        <f>'[10]NFMA46 '!K215</f>
        <v>900000</v>
      </c>
      <c r="Q209" s="1715">
        <f t="shared" si="25"/>
        <v>93.16770186335404</v>
      </c>
      <c r="R209" s="1715">
        <f t="shared" si="21"/>
        <v>900000</v>
      </c>
      <c r="S209" s="1715">
        <f t="shared" si="26"/>
        <v>93.16770186335404</v>
      </c>
      <c r="T209" s="1715"/>
      <c r="U209" s="1715">
        <f t="shared" si="22"/>
        <v>66000</v>
      </c>
      <c r="V209" s="2663"/>
    </row>
    <row r="210" spans="1:22" s="1041" customFormat="1" ht="84" customHeight="1">
      <c r="A210" s="2658">
        <v>34</v>
      </c>
      <c r="B210" s="2735" t="s">
        <v>5780</v>
      </c>
      <c r="C210" s="2740" t="s">
        <v>4684</v>
      </c>
      <c r="D210" s="2741" t="s">
        <v>4684</v>
      </c>
      <c r="E210" s="2742" t="s">
        <v>5781</v>
      </c>
      <c r="F210" s="2738"/>
      <c r="G210" s="2738">
        <v>146000</v>
      </c>
      <c r="H210" s="2738">
        <f t="shared" si="28"/>
        <v>146000</v>
      </c>
      <c r="I210" s="2738"/>
      <c r="J210" s="2738"/>
      <c r="K210" s="2738"/>
      <c r="L210" s="2743"/>
      <c r="M210" s="2738">
        <f>'[10]NFMA46 '!I216</f>
        <v>146000</v>
      </c>
      <c r="N210" s="2738">
        <f>'[10]NFMA46 '!L216</f>
        <v>0</v>
      </c>
      <c r="O210" s="2738">
        <f t="shared" si="24"/>
        <v>0</v>
      </c>
      <c r="P210" s="2739">
        <f>'[10]NFMA46 '!K216</f>
        <v>146000</v>
      </c>
      <c r="Q210" s="1715">
        <f t="shared" si="25"/>
        <v>100</v>
      </c>
      <c r="R210" s="1715">
        <f t="shared" si="21"/>
        <v>146000</v>
      </c>
      <c r="S210" s="1715">
        <f t="shared" si="26"/>
        <v>100</v>
      </c>
      <c r="T210" s="1715"/>
      <c r="U210" s="1715">
        <f t="shared" si="22"/>
        <v>0</v>
      </c>
      <c r="V210" s="2658"/>
    </row>
    <row r="211" spans="1:22" s="1041" customFormat="1" ht="84" customHeight="1">
      <c r="A211" s="2658">
        <v>35</v>
      </c>
      <c r="B211" s="2735" t="s">
        <v>5782</v>
      </c>
      <c r="C211" s="2740" t="s">
        <v>4685</v>
      </c>
      <c r="D211" s="2741" t="s">
        <v>4685</v>
      </c>
      <c r="E211" s="2742" t="s">
        <v>5783</v>
      </c>
      <c r="F211" s="2738"/>
      <c r="G211" s="2738">
        <v>147000</v>
      </c>
      <c r="H211" s="2738">
        <f t="shared" si="28"/>
        <v>147000</v>
      </c>
      <c r="I211" s="2738"/>
      <c r="J211" s="2738"/>
      <c r="K211" s="2738"/>
      <c r="L211" s="2743"/>
      <c r="M211" s="2738">
        <f>'[10]NFMA46 '!I217</f>
        <v>147000</v>
      </c>
      <c r="N211" s="2738">
        <f>'[10]NFMA46 '!L217</f>
        <v>0</v>
      </c>
      <c r="O211" s="2738">
        <f t="shared" si="24"/>
        <v>0</v>
      </c>
      <c r="P211" s="2739">
        <f>'[10]NFMA46 '!K217</f>
        <v>147000</v>
      </c>
      <c r="Q211" s="1715">
        <f t="shared" si="25"/>
        <v>100</v>
      </c>
      <c r="R211" s="1715">
        <f t="shared" si="21"/>
        <v>147000</v>
      </c>
      <c r="S211" s="1715">
        <f t="shared" si="26"/>
        <v>100</v>
      </c>
      <c r="T211" s="1715"/>
      <c r="U211" s="1715">
        <f t="shared" si="22"/>
        <v>0</v>
      </c>
      <c r="V211" s="2658"/>
    </row>
    <row r="212" spans="1:22" s="1041" customFormat="1" ht="84" customHeight="1">
      <c r="A212" s="2658">
        <v>36</v>
      </c>
      <c r="B212" s="2735" t="s">
        <v>5784</v>
      </c>
      <c r="C212" s="2740" t="s">
        <v>4686</v>
      </c>
      <c r="D212" s="2741" t="s">
        <v>4686</v>
      </c>
      <c r="E212" s="2742" t="s">
        <v>4641</v>
      </c>
      <c r="F212" s="2738"/>
      <c r="G212" s="2738">
        <v>380000</v>
      </c>
      <c r="H212" s="2738">
        <f t="shared" si="28"/>
        <v>380000</v>
      </c>
      <c r="I212" s="2738"/>
      <c r="J212" s="2738"/>
      <c r="K212" s="2738"/>
      <c r="L212" s="2743"/>
      <c r="M212" s="2738">
        <f>'[10]NFMA46 '!I218</f>
        <v>380000</v>
      </c>
      <c r="N212" s="2738">
        <f>'[10]NFMA46 '!L218</f>
        <v>0</v>
      </c>
      <c r="O212" s="2738">
        <f t="shared" si="24"/>
        <v>0</v>
      </c>
      <c r="P212" s="2739">
        <f>'[10]NFMA46 '!K218</f>
        <v>380000</v>
      </c>
      <c r="Q212" s="1715">
        <f t="shared" si="25"/>
        <v>100</v>
      </c>
      <c r="R212" s="1715">
        <f t="shared" si="21"/>
        <v>380000</v>
      </c>
      <c r="S212" s="1715">
        <f t="shared" si="26"/>
        <v>100</v>
      </c>
      <c r="T212" s="1715"/>
      <c r="U212" s="1715">
        <f t="shared" si="22"/>
        <v>0</v>
      </c>
      <c r="V212" s="2658"/>
    </row>
    <row r="213" spans="1:22" s="1041" customFormat="1" ht="84" customHeight="1">
      <c r="A213" s="2658">
        <v>37</v>
      </c>
      <c r="B213" s="2735" t="s">
        <v>5785</v>
      </c>
      <c r="C213" s="2740" t="s">
        <v>4687</v>
      </c>
      <c r="D213" s="2741" t="s">
        <v>4687</v>
      </c>
      <c r="E213" s="2742" t="s">
        <v>4643</v>
      </c>
      <c r="F213" s="2738"/>
      <c r="G213" s="2738">
        <v>483900</v>
      </c>
      <c r="H213" s="2738">
        <f t="shared" si="28"/>
        <v>483900</v>
      </c>
      <c r="I213" s="2738"/>
      <c r="J213" s="2738"/>
      <c r="K213" s="2738"/>
      <c r="L213" s="2743"/>
      <c r="M213" s="2738">
        <f>'[10]NFMA46 '!I219</f>
        <v>483900</v>
      </c>
      <c r="N213" s="2738">
        <f>'[10]NFMA46 '!L219</f>
        <v>483900</v>
      </c>
      <c r="O213" s="2738">
        <f t="shared" si="24"/>
        <v>100</v>
      </c>
      <c r="P213" s="2739">
        <f>'[10]NFMA46 '!K219</f>
        <v>0</v>
      </c>
      <c r="Q213" s="1715">
        <f t="shared" si="25"/>
        <v>0</v>
      </c>
      <c r="R213" s="1715">
        <f t="shared" si="21"/>
        <v>483900</v>
      </c>
      <c r="S213" s="1715">
        <f t="shared" si="26"/>
        <v>100</v>
      </c>
      <c r="T213" s="1715"/>
      <c r="U213" s="1715">
        <f t="shared" si="22"/>
        <v>0</v>
      </c>
      <c r="V213" s="2658"/>
    </row>
    <row r="214" spans="1:22" s="1041" customFormat="1" ht="84" customHeight="1">
      <c r="A214" s="2658">
        <v>38</v>
      </c>
      <c r="B214" s="2735" t="s">
        <v>5786</v>
      </c>
      <c r="C214" s="2740" t="s">
        <v>4688</v>
      </c>
      <c r="D214" s="2741" t="s">
        <v>4688</v>
      </c>
      <c r="E214" s="2742" t="s">
        <v>4645</v>
      </c>
      <c r="F214" s="2738"/>
      <c r="G214" s="2738">
        <v>211000</v>
      </c>
      <c r="H214" s="2738">
        <f t="shared" si="28"/>
        <v>211000</v>
      </c>
      <c r="I214" s="2738"/>
      <c r="J214" s="2738"/>
      <c r="K214" s="2738"/>
      <c r="L214" s="2743"/>
      <c r="M214" s="2738">
        <f>'[10]NFMA46 '!I220</f>
        <v>211000</v>
      </c>
      <c r="N214" s="2738">
        <f>'[10]NFMA46 '!L220</f>
        <v>211000</v>
      </c>
      <c r="O214" s="2738">
        <f t="shared" si="24"/>
        <v>100</v>
      </c>
      <c r="P214" s="2739">
        <f>'[10]NFMA46 '!K220</f>
        <v>0</v>
      </c>
      <c r="Q214" s="1715">
        <f t="shared" si="25"/>
        <v>0</v>
      </c>
      <c r="R214" s="1715">
        <f t="shared" si="21"/>
        <v>211000</v>
      </c>
      <c r="S214" s="1715">
        <f t="shared" si="26"/>
        <v>100</v>
      </c>
      <c r="T214" s="1715"/>
      <c r="U214" s="1715">
        <f t="shared" si="22"/>
        <v>0</v>
      </c>
      <c r="V214" s="2658"/>
    </row>
    <row r="215" spans="1:22" s="1041" customFormat="1" ht="84" customHeight="1">
      <c r="A215" s="2658">
        <v>39</v>
      </c>
      <c r="B215" s="2735" t="s">
        <v>5787</v>
      </c>
      <c r="C215" s="2740" t="s">
        <v>4689</v>
      </c>
      <c r="D215" s="2741" t="s">
        <v>4689</v>
      </c>
      <c r="E215" s="2742" t="s">
        <v>4645</v>
      </c>
      <c r="F215" s="2738"/>
      <c r="G215" s="2738">
        <v>140000</v>
      </c>
      <c r="H215" s="2738">
        <f t="shared" si="28"/>
        <v>140000</v>
      </c>
      <c r="I215" s="2738"/>
      <c r="J215" s="2738"/>
      <c r="K215" s="2738"/>
      <c r="L215" s="2743"/>
      <c r="M215" s="2738">
        <f>'[10]NFMA46 '!I221</f>
        <v>140000</v>
      </c>
      <c r="N215" s="2738">
        <f>'[10]NFMA46 '!L221</f>
        <v>140000</v>
      </c>
      <c r="O215" s="2738">
        <f t="shared" si="24"/>
        <v>100</v>
      </c>
      <c r="P215" s="2739">
        <f>'[10]NFMA46 '!K221</f>
        <v>0</v>
      </c>
      <c r="Q215" s="1715">
        <f t="shared" si="25"/>
        <v>0</v>
      </c>
      <c r="R215" s="1715">
        <f t="shared" si="21"/>
        <v>140000</v>
      </c>
      <c r="S215" s="1715">
        <f t="shared" si="26"/>
        <v>100</v>
      </c>
      <c r="T215" s="1715"/>
      <c r="U215" s="1715">
        <f t="shared" si="22"/>
        <v>0</v>
      </c>
      <c r="V215" s="2658"/>
    </row>
    <row r="216" spans="1:22" s="1041" customFormat="1" ht="84" customHeight="1">
      <c r="A216" s="2658">
        <v>40</v>
      </c>
      <c r="B216" s="2735" t="s">
        <v>5788</v>
      </c>
      <c r="C216" s="2740" t="s">
        <v>4690</v>
      </c>
      <c r="D216" s="2741" t="s">
        <v>4690</v>
      </c>
      <c r="E216" s="2742" t="s">
        <v>5789</v>
      </c>
      <c r="F216" s="2738"/>
      <c r="G216" s="2738">
        <v>499000</v>
      </c>
      <c r="H216" s="2738">
        <f t="shared" si="28"/>
        <v>499000</v>
      </c>
      <c r="I216" s="2738"/>
      <c r="J216" s="2738"/>
      <c r="K216" s="2738"/>
      <c r="L216" s="2743"/>
      <c r="M216" s="2738">
        <f>'[10]NFMA46 '!I222</f>
        <v>499000</v>
      </c>
      <c r="N216" s="2738">
        <f>'[10]NFMA46 '!L222</f>
        <v>0</v>
      </c>
      <c r="O216" s="2738">
        <f t="shared" si="24"/>
        <v>0</v>
      </c>
      <c r="P216" s="2739">
        <f>'[10]NFMA46 '!K222</f>
        <v>499000</v>
      </c>
      <c r="Q216" s="1715">
        <f t="shared" si="25"/>
        <v>100</v>
      </c>
      <c r="R216" s="1715">
        <f t="shared" si="21"/>
        <v>499000</v>
      </c>
      <c r="S216" s="1715">
        <f t="shared" si="26"/>
        <v>100</v>
      </c>
      <c r="T216" s="1715"/>
      <c r="U216" s="1715">
        <f t="shared" si="22"/>
        <v>0</v>
      </c>
      <c r="V216" s="2658"/>
    </row>
    <row r="217" spans="1:22" s="1041" customFormat="1" ht="84" customHeight="1">
      <c r="A217" s="2658">
        <v>41</v>
      </c>
      <c r="B217" s="2735" t="s">
        <v>4635</v>
      </c>
      <c r="C217" s="2740" t="s">
        <v>4691</v>
      </c>
      <c r="D217" s="2741" t="s">
        <v>4691</v>
      </c>
      <c r="E217" s="2742" t="s">
        <v>5790</v>
      </c>
      <c r="F217" s="2738"/>
      <c r="G217" s="2738">
        <v>350000</v>
      </c>
      <c r="H217" s="2738">
        <f t="shared" si="28"/>
        <v>350000</v>
      </c>
      <c r="I217" s="2738"/>
      <c r="J217" s="2738"/>
      <c r="K217" s="2738"/>
      <c r="L217" s="2743"/>
      <c r="M217" s="2738">
        <f>'[10]NFMA46 '!I223</f>
        <v>350000</v>
      </c>
      <c r="N217" s="2738">
        <f>'[10]NFMA46 '!L223</f>
        <v>350000</v>
      </c>
      <c r="O217" s="2738">
        <f t="shared" si="24"/>
        <v>100</v>
      </c>
      <c r="P217" s="2739">
        <f>'[10]NFMA46 '!K223</f>
        <v>0</v>
      </c>
      <c r="Q217" s="1715">
        <f t="shared" si="25"/>
        <v>0</v>
      </c>
      <c r="R217" s="1715">
        <f t="shared" si="21"/>
        <v>350000</v>
      </c>
      <c r="S217" s="1715">
        <f t="shared" si="26"/>
        <v>100</v>
      </c>
      <c r="T217" s="1715"/>
      <c r="U217" s="1715">
        <f t="shared" si="22"/>
        <v>0</v>
      </c>
      <c r="V217" s="2658"/>
    </row>
    <row r="218" spans="1:22" s="1041" customFormat="1" ht="84" customHeight="1">
      <c r="A218" s="2658">
        <v>42</v>
      </c>
      <c r="B218" s="2735" t="s">
        <v>5791</v>
      </c>
      <c r="C218" s="2740" t="s">
        <v>4692</v>
      </c>
      <c r="D218" s="2741" t="s">
        <v>4692</v>
      </c>
      <c r="E218" s="2742" t="s">
        <v>5761</v>
      </c>
      <c r="F218" s="2738"/>
      <c r="G218" s="2738">
        <v>622000</v>
      </c>
      <c r="H218" s="2738">
        <f t="shared" si="28"/>
        <v>622000</v>
      </c>
      <c r="I218" s="2738"/>
      <c r="J218" s="2738"/>
      <c r="K218" s="2738"/>
      <c r="L218" s="2743">
        <v>69000</v>
      </c>
      <c r="M218" s="2738">
        <v>553000</v>
      </c>
      <c r="N218" s="2738">
        <f>'[10]NFMA46 '!L224</f>
        <v>0</v>
      </c>
      <c r="O218" s="2738">
        <f t="shared" si="24"/>
        <v>0</v>
      </c>
      <c r="P218" s="2739">
        <f>'[10]NFMA46 '!K224</f>
        <v>553000</v>
      </c>
      <c r="Q218" s="1715">
        <f t="shared" si="25"/>
        <v>100</v>
      </c>
      <c r="R218" s="1715">
        <f t="shared" si="21"/>
        <v>553000</v>
      </c>
      <c r="S218" s="1715">
        <f t="shared" si="26"/>
        <v>100</v>
      </c>
      <c r="T218" s="1715"/>
      <c r="U218" s="1715">
        <f t="shared" si="22"/>
        <v>0</v>
      </c>
      <c r="V218" s="2658"/>
    </row>
    <row r="219" spans="1:22" s="1041" customFormat="1" ht="84" customHeight="1">
      <c r="A219" s="2658">
        <v>43</v>
      </c>
      <c r="B219" s="2735" t="s">
        <v>5792</v>
      </c>
      <c r="C219" s="2740" t="s">
        <v>4693</v>
      </c>
      <c r="D219" s="2741" t="s">
        <v>4693</v>
      </c>
      <c r="E219" s="2742" t="s">
        <v>2829</v>
      </c>
      <c r="F219" s="2738"/>
      <c r="G219" s="2738">
        <v>473000</v>
      </c>
      <c r="H219" s="2738">
        <f t="shared" si="28"/>
        <v>473000</v>
      </c>
      <c r="I219" s="2738"/>
      <c r="J219" s="2738"/>
      <c r="K219" s="2738"/>
      <c r="L219" s="2743"/>
      <c r="M219" s="2738">
        <f>'[10]NFMA46 '!I225</f>
        <v>473000</v>
      </c>
      <c r="N219" s="2738">
        <f>'[10]NFMA46 '!L225</f>
        <v>473000</v>
      </c>
      <c r="O219" s="2738">
        <f t="shared" si="24"/>
        <v>100</v>
      </c>
      <c r="P219" s="2739">
        <f>'[10]NFMA46 '!K225</f>
        <v>0</v>
      </c>
      <c r="Q219" s="1715">
        <f t="shared" si="25"/>
        <v>0</v>
      </c>
      <c r="R219" s="1715">
        <f t="shared" si="21"/>
        <v>473000</v>
      </c>
      <c r="S219" s="1715">
        <f t="shared" si="26"/>
        <v>100</v>
      </c>
      <c r="T219" s="1715"/>
      <c r="U219" s="1715">
        <f t="shared" si="22"/>
        <v>0</v>
      </c>
      <c r="V219" s="2658"/>
    </row>
    <row r="220" spans="1:22" s="1041" customFormat="1" ht="84" customHeight="1">
      <c r="A220" s="2658">
        <v>44</v>
      </c>
      <c r="B220" s="2735" t="s">
        <v>4638</v>
      </c>
      <c r="C220" s="2740" t="s">
        <v>4694</v>
      </c>
      <c r="D220" s="2741" t="s">
        <v>4694</v>
      </c>
      <c r="E220" s="2742" t="s">
        <v>2829</v>
      </c>
      <c r="F220" s="2738"/>
      <c r="G220" s="2738">
        <v>141900</v>
      </c>
      <c r="H220" s="2738">
        <f t="shared" si="28"/>
        <v>141900</v>
      </c>
      <c r="I220" s="2738"/>
      <c r="J220" s="2738"/>
      <c r="K220" s="2738"/>
      <c r="L220" s="2743"/>
      <c r="M220" s="2738">
        <f>'[10]NFMA46 '!I226</f>
        <v>141900</v>
      </c>
      <c r="N220" s="2738">
        <f>'[10]NFMA46 '!L226</f>
        <v>141900</v>
      </c>
      <c r="O220" s="2738">
        <f t="shared" si="24"/>
        <v>100</v>
      </c>
      <c r="P220" s="2739">
        <f>'[10]NFMA46 '!K226</f>
        <v>0</v>
      </c>
      <c r="Q220" s="1715">
        <f t="shared" si="25"/>
        <v>0</v>
      </c>
      <c r="R220" s="1715">
        <f t="shared" si="21"/>
        <v>141900</v>
      </c>
      <c r="S220" s="1715">
        <f t="shared" si="26"/>
        <v>100</v>
      </c>
      <c r="T220" s="1715"/>
      <c r="U220" s="1715">
        <f t="shared" si="22"/>
        <v>0</v>
      </c>
      <c r="V220" s="2658"/>
    </row>
    <row r="221" spans="1:22" s="1041" customFormat="1" ht="84" customHeight="1">
      <c r="A221" s="2658">
        <v>45</v>
      </c>
      <c r="B221" s="2735" t="s">
        <v>5793</v>
      </c>
      <c r="C221" s="2740" t="s">
        <v>4695</v>
      </c>
      <c r="D221" s="2741" t="s">
        <v>4695</v>
      </c>
      <c r="E221" s="2742" t="s">
        <v>2812</v>
      </c>
      <c r="F221" s="2738"/>
      <c r="G221" s="2738">
        <v>245400</v>
      </c>
      <c r="H221" s="2738">
        <f t="shared" si="28"/>
        <v>245400</v>
      </c>
      <c r="I221" s="2738"/>
      <c r="J221" s="2738"/>
      <c r="K221" s="2738"/>
      <c r="L221" s="2743">
        <v>61740</v>
      </c>
      <c r="M221" s="2738">
        <v>183660</v>
      </c>
      <c r="N221" s="2738">
        <f>'[10]NFMA46 '!L227</f>
        <v>183660</v>
      </c>
      <c r="O221" s="2738">
        <f t="shared" si="24"/>
        <v>100</v>
      </c>
      <c r="P221" s="2739">
        <f>'[10]NFMA46 '!K227</f>
        <v>0</v>
      </c>
      <c r="Q221" s="1715">
        <f t="shared" si="25"/>
        <v>0</v>
      </c>
      <c r="R221" s="1715">
        <f t="shared" si="21"/>
        <v>183660</v>
      </c>
      <c r="S221" s="1715">
        <f t="shared" si="26"/>
        <v>100</v>
      </c>
      <c r="T221" s="1715"/>
      <c r="U221" s="1715">
        <f t="shared" si="22"/>
        <v>0</v>
      </c>
      <c r="V221" s="2658"/>
    </row>
    <row r="222" spans="1:22" s="1041" customFormat="1" ht="84" customHeight="1">
      <c r="A222" s="2658">
        <v>46</v>
      </c>
      <c r="B222" s="2735" t="s">
        <v>5794</v>
      </c>
      <c r="C222" s="2740" t="s">
        <v>4696</v>
      </c>
      <c r="D222" s="2741" t="s">
        <v>4696</v>
      </c>
      <c r="E222" s="2742" t="s">
        <v>5795</v>
      </c>
      <c r="F222" s="2738"/>
      <c r="G222" s="2738">
        <v>122000</v>
      </c>
      <c r="H222" s="2738">
        <f t="shared" si="28"/>
        <v>122000</v>
      </c>
      <c r="I222" s="2738"/>
      <c r="J222" s="2738"/>
      <c r="K222" s="2738"/>
      <c r="L222" s="2743"/>
      <c r="M222" s="2738">
        <f>'[10]NFMA46 '!I228</f>
        <v>122000</v>
      </c>
      <c r="N222" s="2738">
        <f>'[10]NFMA46 '!L228</f>
        <v>122000</v>
      </c>
      <c r="O222" s="2738">
        <f t="shared" si="24"/>
        <v>100</v>
      </c>
      <c r="P222" s="2739">
        <f>'[10]NFMA46 '!K228</f>
        <v>0</v>
      </c>
      <c r="Q222" s="1715">
        <f t="shared" si="25"/>
        <v>0</v>
      </c>
      <c r="R222" s="1715">
        <f t="shared" si="21"/>
        <v>122000</v>
      </c>
      <c r="S222" s="1715">
        <f t="shared" si="26"/>
        <v>100</v>
      </c>
      <c r="T222" s="1715"/>
      <c r="U222" s="1715">
        <f t="shared" si="22"/>
        <v>0</v>
      </c>
      <c r="V222" s="2658"/>
    </row>
    <row r="223" spans="1:22" s="1041" customFormat="1" ht="84" customHeight="1">
      <c r="A223" s="2658">
        <v>47</v>
      </c>
      <c r="B223" s="2735" t="s">
        <v>5796</v>
      </c>
      <c r="C223" s="2740" t="s">
        <v>4697</v>
      </c>
      <c r="D223" s="2741" t="s">
        <v>4697</v>
      </c>
      <c r="E223" s="2742" t="s">
        <v>5797</v>
      </c>
      <c r="F223" s="2738"/>
      <c r="G223" s="2738">
        <v>157400</v>
      </c>
      <c r="H223" s="2738">
        <f t="shared" si="28"/>
        <v>157400</v>
      </c>
      <c r="I223" s="2738"/>
      <c r="J223" s="2738"/>
      <c r="K223" s="2738"/>
      <c r="L223" s="2743"/>
      <c r="M223" s="2738">
        <f>'[10]NFMA46 '!I229</f>
        <v>157400</v>
      </c>
      <c r="N223" s="2738">
        <f>'[10]NFMA46 '!L229</f>
        <v>157400</v>
      </c>
      <c r="O223" s="2738">
        <f t="shared" si="24"/>
        <v>100</v>
      </c>
      <c r="P223" s="2739">
        <f>'[10]NFMA46 '!K229</f>
        <v>0</v>
      </c>
      <c r="Q223" s="1715">
        <f t="shared" si="25"/>
        <v>0</v>
      </c>
      <c r="R223" s="1715">
        <f t="shared" si="21"/>
        <v>157400</v>
      </c>
      <c r="S223" s="1715">
        <f t="shared" si="26"/>
        <v>100</v>
      </c>
      <c r="T223" s="1715"/>
      <c r="U223" s="1715">
        <f t="shared" si="22"/>
        <v>0</v>
      </c>
      <c r="V223" s="2658"/>
    </row>
    <row r="224" spans="1:22" s="1041" customFormat="1" ht="84" customHeight="1">
      <c r="A224" s="2658">
        <v>48</v>
      </c>
      <c r="B224" s="2735" t="s">
        <v>5798</v>
      </c>
      <c r="C224" s="2740" t="s">
        <v>4698</v>
      </c>
      <c r="D224" s="2741" t="s">
        <v>4698</v>
      </c>
      <c r="E224" s="2742" t="s">
        <v>5797</v>
      </c>
      <c r="F224" s="2738"/>
      <c r="G224" s="2738">
        <v>212000</v>
      </c>
      <c r="H224" s="2738">
        <f t="shared" si="28"/>
        <v>212000</v>
      </c>
      <c r="I224" s="2738"/>
      <c r="J224" s="2738"/>
      <c r="K224" s="2738"/>
      <c r="L224" s="2743"/>
      <c r="M224" s="2738">
        <f>'[10]NFMA46 '!I230</f>
        <v>212000</v>
      </c>
      <c r="N224" s="2738">
        <f>'[10]NFMA46 '!L230</f>
        <v>212000</v>
      </c>
      <c r="O224" s="2738">
        <f t="shared" si="24"/>
        <v>100</v>
      </c>
      <c r="P224" s="2739">
        <f>'[10]NFMA46 '!K230</f>
        <v>0</v>
      </c>
      <c r="Q224" s="1715">
        <f t="shared" si="25"/>
        <v>0</v>
      </c>
      <c r="R224" s="1715">
        <f t="shared" si="21"/>
        <v>212000</v>
      </c>
      <c r="S224" s="1715">
        <f t="shared" si="26"/>
        <v>100</v>
      </c>
      <c r="T224" s="1715"/>
      <c r="U224" s="1715">
        <f t="shared" si="22"/>
        <v>0</v>
      </c>
      <c r="V224" s="2658"/>
    </row>
    <row r="225" spans="1:22" s="1041" customFormat="1" ht="84" customHeight="1">
      <c r="A225" s="2658">
        <v>49</v>
      </c>
      <c r="B225" s="2735" t="s">
        <v>5799</v>
      </c>
      <c r="C225" s="2740" t="s">
        <v>4699</v>
      </c>
      <c r="D225" s="2741" t="s">
        <v>4699</v>
      </c>
      <c r="E225" s="2742" t="s">
        <v>5797</v>
      </c>
      <c r="F225" s="2738"/>
      <c r="G225" s="2738">
        <v>92800</v>
      </c>
      <c r="H225" s="2738">
        <f t="shared" si="28"/>
        <v>92800</v>
      </c>
      <c r="I225" s="2738"/>
      <c r="J225" s="2738"/>
      <c r="K225" s="2738"/>
      <c r="L225" s="2743"/>
      <c r="M225" s="2738">
        <f>'[10]NFMA46 '!I231</f>
        <v>92800</v>
      </c>
      <c r="N225" s="2738">
        <f>'[10]NFMA46 '!L231</f>
        <v>92800</v>
      </c>
      <c r="O225" s="2738">
        <f t="shared" si="24"/>
        <v>100</v>
      </c>
      <c r="P225" s="2739">
        <f>'[10]NFMA46 '!K231</f>
        <v>0</v>
      </c>
      <c r="Q225" s="1715">
        <f t="shared" si="25"/>
        <v>0</v>
      </c>
      <c r="R225" s="1715">
        <f t="shared" si="21"/>
        <v>92800</v>
      </c>
      <c r="S225" s="1715">
        <f t="shared" si="26"/>
        <v>100</v>
      </c>
      <c r="T225" s="1715"/>
      <c r="U225" s="1715">
        <f t="shared" si="22"/>
        <v>0</v>
      </c>
      <c r="V225" s="2658"/>
    </row>
    <row r="226" spans="1:22" s="1041" customFormat="1" ht="84" customHeight="1">
      <c r="A226" s="2658">
        <v>50</v>
      </c>
      <c r="B226" s="2735" t="s">
        <v>5800</v>
      </c>
      <c r="C226" s="2740" t="s">
        <v>4700</v>
      </c>
      <c r="D226" s="2741" t="s">
        <v>4700</v>
      </c>
      <c r="E226" s="2742" t="s">
        <v>5797</v>
      </c>
      <c r="F226" s="2738"/>
      <c r="G226" s="2738">
        <v>155400</v>
      </c>
      <c r="H226" s="2738">
        <f t="shared" si="28"/>
        <v>155400</v>
      </c>
      <c r="I226" s="2738"/>
      <c r="J226" s="2738"/>
      <c r="K226" s="2738"/>
      <c r="L226" s="2743"/>
      <c r="M226" s="2738">
        <f>'[10]NFMA46 '!I232</f>
        <v>155400</v>
      </c>
      <c r="N226" s="2738">
        <f>'[10]NFMA46 '!L232</f>
        <v>0</v>
      </c>
      <c r="O226" s="2738">
        <f t="shared" si="24"/>
        <v>0</v>
      </c>
      <c r="P226" s="2739">
        <f>'[10]NFMA46 '!K232</f>
        <v>0</v>
      </c>
      <c r="Q226" s="1715">
        <f t="shared" si="25"/>
        <v>0</v>
      </c>
      <c r="R226" s="1715">
        <f t="shared" si="21"/>
        <v>0</v>
      </c>
      <c r="S226" s="1715">
        <f t="shared" si="26"/>
        <v>0</v>
      </c>
      <c r="T226" s="1715"/>
      <c r="U226" s="1715">
        <f t="shared" si="22"/>
        <v>155400</v>
      </c>
      <c r="V226" s="2658"/>
    </row>
    <row r="227" spans="1:22" s="1041" customFormat="1" ht="84" customHeight="1">
      <c r="A227" s="2658">
        <v>51</v>
      </c>
      <c r="B227" s="2735" t="s">
        <v>5801</v>
      </c>
      <c r="C227" s="2740" t="s">
        <v>4701</v>
      </c>
      <c r="D227" s="2741" t="s">
        <v>4701</v>
      </c>
      <c r="E227" s="2742" t="s">
        <v>2821</v>
      </c>
      <c r="F227" s="2738"/>
      <c r="G227" s="2738">
        <v>846000</v>
      </c>
      <c r="H227" s="2738">
        <f t="shared" si="28"/>
        <v>846000</v>
      </c>
      <c r="I227" s="2738"/>
      <c r="J227" s="2738"/>
      <c r="K227" s="2738"/>
      <c r="L227" s="2743">
        <v>66000</v>
      </c>
      <c r="M227" s="2738">
        <f>'[10]NFMA46 '!I233-L227</f>
        <v>780000</v>
      </c>
      <c r="N227" s="2738">
        <f>'[10]NFMA46 '!L233</f>
        <v>0</v>
      </c>
      <c r="O227" s="2738">
        <f t="shared" si="24"/>
        <v>0</v>
      </c>
      <c r="P227" s="2739">
        <f>'[10]NFMA46 '!K233</f>
        <v>780000</v>
      </c>
      <c r="Q227" s="1715">
        <f t="shared" si="25"/>
        <v>100</v>
      </c>
      <c r="R227" s="1715">
        <f t="shared" si="21"/>
        <v>780000</v>
      </c>
      <c r="S227" s="1715">
        <f t="shared" si="26"/>
        <v>100</v>
      </c>
      <c r="T227" s="1715"/>
      <c r="U227" s="1715">
        <f t="shared" si="22"/>
        <v>0</v>
      </c>
      <c r="V227" s="2658"/>
    </row>
    <row r="228" spans="1:22" s="1041" customFormat="1" ht="84" customHeight="1">
      <c r="A228" s="2658">
        <v>52</v>
      </c>
      <c r="B228" s="2735" t="s">
        <v>5802</v>
      </c>
      <c r="C228" s="2740" t="s">
        <v>4702</v>
      </c>
      <c r="D228" s="2741" t="s">
        <v>4702</v>
      </c>
      <c r="E228" s="2742" t="s">
        <v>5761</v>
      </c>
      <c r="F228" s="2738"/>
      <c r="G228" s="2738">
        <v>415400</v>
      </c>
      <c r="H228" s="2738">
        <f t="shared" si="28"/>
        <v>415400</v>
      </c>
      <c r="I228" s="2738"/>
      <c r="J228" s="2738"/>
      <c r="K228" s="2738"/>
      <c r="L228" s="2743">
        <v>5000</v>
      </c>
      <c r="M228" s="2738">
        <f>'[10]NFMA46 '!I234-L228</f>
        <v>410400</v>
      </c>
      <c r="N228" s="2738">
        <f>'[10]NFMA46 '!L234</f>
        <v>408400</v>
      </c>
      <c r="O228" s="2738">
        <f t="shared" si="24"/>
        <v>99.512670565302145</v>
      </c>
      <c r="P228" s="2739">
        <f>'[10]NFMA46 '!K234</f>
        <v>0</v>
      </c>
      <c r="Q228" s="1715">
        <f t="shared" si="25"/>
        <v>0</v>
      </c>
      <c r="R228" s="1715">
        <f t="shared" si="21"/>
        <v>408400</v>
      </c>
      <c r="S228" s="1715">
        <f t="shared" si="26"/>
        <v>99.512670565302145</v>
      </c>
      <c r="T228" s="1715"/>
      <c r="U228" s="1715">
        <f t="shared" si="22"/>
        <v>2000</v>
      </c>
      <c r="V228" s="2658"/>
    </row>
    <row r="229" spans="1:22" s="1041" customFormat="1" ht="84" customHeight="1">
      <c r="A229" s="2658">
        <v>53</v>
      </c>
      <c r="B229" s="2735" t="s">
        <v>5803</v>
      </c>
      <c r="C229" s="2740" t="s">
        <v>4703</v>
      </c>
      <c r="D229" s="2741" t="s">
        <v>4703</v>
      </c>
      <c r="E229" s="2742" t="s">
        <v>4640</v>
      </c>
      <c r="F229" s="2738"/>
      <c r="G229" s="2738">
        <v>252000</v>
      </c>
      <c r="H229" s="2738">
        <f t="shared" si="28"/>
        <v>252000</v>
      </c>
      <c r="I229" s="2738"/>
      <c r="J229" s="2738"/>
      <c r="K229" s="2738"/>
      <c r="L229" s="2743"/>
      <c r="M229" s="2738">
        <f>'[10]NFMA46 '!I235</f>
        <v>252000</v>
      </c>
      <c r="N229" s="2738">
        <f>'[10]NFMA46 '!L235</f>
        <v>0</v>
      </c>
      <c r="O229" s="2738">
        <f t="shared" si="24"/>
        <v>0</v>
      </c>
      <c r="P229" s="2739">
        <f>'[10]NFMA46 '!K235</f>
        <v>252000</v>
      </c>
      <c r="Q229" s="1715">
        <f t="shared" si="25"/>
        <v>100</v>
      </c>
      <c r="R229" s="1715">
        <f t="shared" si="21"/>
        <v>252000</v>
      </c>
      <c r="S229" s="1715">
        <f t="shared" si="26"/>
        <v>100</v>
      </c>
      <c r="T229" s="1715"/>
      <c r="U229" s="1715">
        <f t="shared" si="22"/>
        <v>0</v>
      </c>
      <c r="V229" s="2658"/>
    </row>
    <row r="230" spans="1:22" s="1041" customFormat="1" ht="84" customHeight="1">
      <c r="A230" s="2658">
        <v>54</v>
      </c>
      <c r="B230" s="2735" t="s">
        <v>5804</v>
      </c>
      <c r="C230" s="2740" t="s">
        <v>5352</v>
      </c>
      <c r="D230" s="2741" t="s">
        <v>5352</v>
      </c>
      <c r="E230" s="2742" t="s">
        <v>2818</v>
      </c>
      <c r="F230" s="2738"/>
      <c r="G230" s="2738">
        <v>510800</v>
      </c>
      <c r="H230" s="2738">
        <f t="shared" si="28"/>
        <v>510800</v>
      </c>
      <c r="I230" s="2738"/>
      <c r="J230" s="2738"/>
      <c r="K230" s="2738"/>
      <c r="L230" s="2743"/>
      <c r="M230" s="2738">
        <f>'[10]NFMA46 '!I236</f>
        <v>510800</v>
      </c>
      <c r="N230" s="2738">
        <f>'[10]NFMA46 '!L236</f>
        <v>0</v>
      </c>
      <c r="O230" s="2738">
        <f t="shared" si="24"/>
        <v>0</v>
      </c>
      <c r="P230" s="2739">
        <f>'[10]NFMA46 '!K236</f>
        <v>474000</v>
      </c>
      <c r="Q230" s="1715">
        <f t="shared" si="25"/>
        <v>92.7956147220047</v>
      </c>
      <c r="R230" s="1715">
        <f t="shared" si="21"/>
        <v>474000</v>
      </c>
      <c r="S230" s="1715">
        <f t="shared" si="26"/>
        <v>92.7956147220047</v>
      </c>
      <c r="T230" s="1715"/>
      <c r="U230" s="1715">
        <f t="shared" si="22"/>
        <v>36800</v>
      </c>
      <c r="V230" s="2658"/>
    </row>
    <row r="231" spans="1:22" s="1041" customFormat="1" ht="84" customHeight="1">
      <c r="A231" s="2658">
        <v>55</v>
      </c>
      <c r="B231" s="2735" t="s">
        <v>5805</v>
      </c>
      <c r="C231" s="2740" t="s">
        <v>5407</v>
      </c>
      <c r="D231" s="2741" t="s">
        <v>5407</v>
      </c>
      <c r="E231" s="2742" t="s">
        <v>2814</v>
      </c>
      <c r="F231" s="2738"/>
      <c r="G231" s="2738">
        <v>329000</v>
      </c>
      <c r="H231" s="2738">
        <f t="shared" si="28"/>
        <v>329000</v>
      </c>
      <c r="I231" s="2738"/>
      <c r="J231" s="2738"/>
      <c r="K231" s="2738"/>
      <c r="L231" s="2743"/>
      <c r="M231" s="2738">
        <f>'[10]NFMA46 '!I237</f>
        <v>329000</v>
      </c>
      <c r="N231" s="2738">
        <f>'[10]NFMA46 '!L237</f>
        <v>329000</v>
      </c>
      <c r="O231" s="2738">
        <f t="shared" si="24"/>
        <v>100</v>
      </c>
      <c r="P231" s="2739">
        <f>'[10]NFMA46 '!K237</f>
        <v>0</v>
      </c>
      <c r="Q231" s="1715">
        <f t="shared" si="25"/>
        <v>0</v>
      </c>
      <c r="R231" s="1715">
        <f t="shared" si="21"/>
        <v>329000</v>
      </c>
      <c r="S231" s="1715">
        <f t="shared" si="26"/>
        <v>100</v>
      </c>
      <c r="T231" s="1715"/>
      <c r="U231" s="1715">
        <f t="shared" si="22"/>
        <v>0</v>
      </c>
      <c r="V231" s="2658"/>
    </row>
    <row r="232" spans="1:22" s="1041" customFormat="1" ht="84" customHeight="1">
      <c r="A232" s="2658">
        <v>56</v>
      </c>
      <c r="B232" s="2735" t="s">
        <v>5806</v>
      </c>
      <c r="C232" s="2740" t="s">
        <v>5409</v>
      </c>
      <c r="D232" s="2741" t="s">
        <v>5409</v>
      </c>
      <c r="E232" s="2742" t="s">
        <v>5807</v>
      </c>
      <c r="F232" s="2738"/>
      <c r="G232" s="2738">
        <v>479000</v>
      </c>
      <c r="H232" s="2738">
        <f t="shared" si="28"/>
        <v>479000</v>
      </c>
      <c r="I232" s="2738"/>
      <c r="J232" s="2738"/>
      <c r="K232" s="2738"/>
      <c r="L232" s="2743"/>
      <c r="M232" s="2738">
        <f>'[10]NFMA46 '!I238</f>
        <v>479000</v>
      </c>
      <c r="N232" s="2738">
        <f>'[10]NFMA46 '!L238</f>
        <v>0</v>
      </c>
      <c r="O232" s="2738">
        <f t="shared" si="24"/>
        <v>0</v>
      </c>
      <c r="P232" s="2739">
        <f>'[10]NFMA46 '!K238</f>
        <v>479000</v>
      </c>
      <c r="Q232" s="1715">
        <f t="shared" si="25"/>
        <v>100</v>
      </c>
      <c r="R232" s="1715">
        <f t="shared" si="21"/>
        <v>479000</v>
      </c>
      <c r="S232" s="1715">
        <f t="shared" si="26"/>
        <v>100</v>
      </c>
      <c r="T232" s="1715"/>
      <c r="U232" s="1715">
        <f t="shared" si="22"/>
        <v>0</v>
      </c>
      <c r="V232" s="2658"/>
    </row>
    <row r="233" spans="1:22" s="1041" customFormat="1" ht="84" customHeight="1">
      <c r="A233" s="2658">
        <v>57</v>
      </c>
      <c r="B233" s="2735" t="s">
        <v>5808</v>
      </c>
      <c r="C233" s="2740" t="s">
        <v>5809</v>
      </c>
      <c r="D233" s="2741" t="s">
        <v>5809</v>
      </c>
      <c r="E233" s="2742" t="s">
        <v>2815</v>
      </c>
      <c r="F233" s="2738"/>
      <c r="G233" s="2738">
        <v>265000</v>
      </c>
      <c r="H233" s="2738">
        <f t="shared" si="28"/>
        <v>265000</v>
      </c>
      <c r="I233" s="2738"/>
      <c r="J233" s="2738"/>
      <c r="K233" s="2738"/>
      <c r="L233" s="2743"/>
      <c r="M233" s="2738">
        <f>'[10]NFMA46 '!I239</f>
        <v>265000</v>
      </c>
      <c r="N233" s="2738">
        <f>'[10]NFMA46 '!L239</f>
        <v>265000</v>
      </c>
      <c r="O233" s="2738">
        <f t="shared" si="24"/>
        <v>100</v>
      </c>
      <c r="P233" s="2739">
        <f>'[10]NFMA46 '!K239</f>
        <v>0</v>
      </c>
      <c r="Q233" s="1715">
        <f t="shared" si="25"/>
        <v>0</v>
      </c>
      <c r="R233" s="1715">
        <f t="shared" si="21"/>
        <v>265000</v>
      </c>
      <c r="S233" s="1715">
        <f t="shared" si="26"/>
        <v>100</v>
      </c>
      <c r="T233" s="1715"/>
      <c r="U233" s="1715">
        <f t="shared" si="22"/>
        <v>0</v>
      </c>
      <c r="V233" s="2658"/>
    </row>
    <row r="234" spans="1:22" s="1041" customFormat="1" ht="95.25" customHeight="1">
      <c r="A234" s="2658">
        <v>58</v>
      </c>
      <c r="B234" s="2735" t="s">
        <v>5810</v>
      </c>
      <c r="C234" s="2740" t="s">
        <v>5811</v>
      </c>
      <c r="D234" s="2741" t="s">
        <v>5811</v>
      </c>
      <c r="E234" s="2742" t="s">
        <v>2831</v>
      </c>
      <c r="F234" s="2738"/>
      <c r="G234" s="2738">
        <v>334000</v>
      </c>
      <c r="H234" s="2738">
        <f t="shared" si="28"/>
        <v>334000</v>
      </c>
      <c r="I234" s="2738"/>
      <c r="J234" s="2738"/>
      <c r="K234" s="2738"/>
      <c r="L234" s="2743"/>
      <c r="M234" s="2738">
        <f>'[10]NFMA46 '!I240</f>
        <v>334000</v>
      </c>
      <c r="N234" s="2738">
        <f>'[10]NFMA46 '!L240</f>
        <v>334000</v>
      </c>
      <c r="O234" s="2738">
        <f t="shared" si="24"/>
        <v>100</v>
      </c>
      <c r="P234" s="2739">
        <f>'[10]NFMA46 '!K240</f>
        <v>0</v>
      </c>
      <c r="Q234" s="1715">
        <f t="shared" si="25"/>
        <v>0</v>
      </c>
      <c r="R234" s="1715">
        <f t="shared" si="21"/>
        <v>334000</v>
      </c>
      <c r="S234" s="1715">
        <f t="shared" si="26"/>
        <v>100</v>
      </c>
      <c r="T234" s="1715"/>
      <c r="U234" s="1715">
        <f t="shared" si="22"/>
        <v>0</v>
      </c>
      <c r="V234" s="2658"/>
    </row>
    <row r="235" spans="1:22" s="1041" customFormat="1" ht="95.25" customHeight="1">
      <c r="A235" s="2658">
        <v>59</v>
      </c>
      <c r="B235" s="2735" t="s">
        <v>5812</v>
      </c>
      <c r="C235" s="2740" t="s">
        <v>5813</v>
      </c>
      <c r="D235" s="2741" t="s">
        <v>5813</v>
      </c>
      <c r="E235" s="2742" t="s">
        <v>2819</v>
      </c>
      <c r="F235" s="2738"/>
      <c r="G235" s="2738">
        <v>183000</v>
      </c>
      <c r="H235" s="2738">
        <f t="shared" si="28"/>
        <v>183000</v>
      </c>
      <c r="I235" s="2738"/>
      <c r="J235" s="2738"/>
      <c r="K235" s="2738"/>
      <c r="L235" s="2743"/>
      <c r="M235" s="2738">
        <f>'[10]NFMA46 '!I241</f>
        <v>183000</v>
      </c>
      <c r="N235" s="2738">
        <f>'[10]NFMA46 '!L241</f>
        <v>0</v>
      </c>
      <c r="O235" s="2738">
        <f t="shared" si="24"/>
        <v>0</v>
      </c>
      <c r="P235" s="2739">
        <f>'[10]NFMA46 '!K241</f>
        <v>183000</v>
      </c>
      <c r="Q235" s="1715">
        <f t="shared" si="25"/>
        <v>100</v>
      </c>
      <c r="R235" s="1715">
        <f t="shared" si="21"/>
        <v>183000</v>
      </c>
      <c r="S235" s="1715">
        <f t="shared" si="26"/>
        <v>100</v>
      </c>
      <c r="T235" s="1715"/>
      <c r="U235" s="1715">
        <f t="shared" si="22"/>
        <v>0</v>
      </c>
      <c r="V235" s="2658"/>
    </row>
    <row r="236" spans="1:22" s="1041" customFormat="1" ht="95.25" customHeight="1">
      <c r="A236" s="2658">
        <v>60</v>
      </c>
      <c r="B236" s="2735" t="s">
        <v>5814</v>
      </c>
      <c r="C236" s="2740" t="s">
        <v>5815</v>
      </c>
      <c r="D236" s="2741" t="s">
        <v>5815</v>
      </c>
      <c r="E236" s="2742" t="s">
        <v>2819</v>
      </c>
      <c r="F236" s="2738"/>
      <c r="G236" s="2738">
        <v>131000</v>
      </c>
      <c r="H236" s="2738">
        <f t="shared" si="28"/>
        <v>131000</v>
      </c>
      <c r="I236" s="2738"/>
      <c r="J236" s="2738"/>
      <c r="K236" s="2738"/>
      <c r="L236" s="2743"/>
      <c r="M236" s="2738">
        <f>'[10]NFMA46 '!I242</f>
        <v>131000</v>
      </c>
      <c r="N236" s="2738">
        <f>'[10]NFMA46 '!L242</f>
        <v>0</v>
      </c>
      <c r="O236" s="2738">
        <f t="shared" si="24"/>
        <v>0</v>
      </c>
      <c r="P236" s="2739">
        <f>'[10]NFMA46 '!K242</f>
        <v>131000</v>
      </c>
      <c r="Q236" s="1715">
        <f t="shared" si="25"/>
        <v>100</v>
      </c>
      <c r="R236" s="1715">
        <f t="shared" si="21"/>
        <v>131000</v>
      </c>
      <c r="S236" s="1715">
        <f t="shared" si="26"/>
        <v>100</v>
      </c>
      <c r="T236" s="1715"/>
      <c r="U236" s="1715">
        <f t="shared" si="22"/>
        <v>0</v>
      </c>
      <c r="V236" s="2658"/>
    </row>
    <row r="237" spans="1:22" s="1041" customFormat="1" ht="95.25" customHeight="1">
      <c r="A237" s="2658">
        <v>61</v>
      </c>
      <c r="B237" s="2735" t="s">
        <v>5816</v>
      </c>
      <c r="C237" s="2740" t="s">
        <v>5817</v>
      </c>
      <c r="D237" s="2741" t="s">
        <v>5817</v>
      </c>
      <c r="E237" s="2742" t="s">
        <v>2819</v>
      </c>
      <c r="F237" s="2738"/>
      <c r="G237" s="2738">
        <v>186000</v>
      </c>
      <c r="H237" s="2738">
        <f t="shared" si="28"/>
        <v>186000</v>
      </c>
      <c r="I237" s="2738"/>
      <c r="J237" s="2738"/>
      <c r="K237" s="2738"/>
      <c r="L237" s="2743"/>
      <c r="M237" s="2738">
        <f>'[10]NFMA46 '!I243</f>
        <v>186000</v>
      </c>
      <c r="N237" s="2738">
        <f>'[10]NFMA46 '!L243</f>
        <v>0</v>
      </c>
      <c r="O237" s="2738">
        <f t="shared" si="24"/>
        <v>0</v>
      </c>
      <c r="P237" s="2739">
        <f>'[10]NFMA46 '!K243</f>
        <v>160000</v>
      </c>
      <c r="Q237" s="1715">
        <f t="shared" si="25"/>
        <v>86.021505376344081</v>
      </c>
      <c r="R237" s="1715">
        <f t="shared" si="21"/>
        <v>160000</v>
      </c>
      <c r="S237" s="1715">
        <f t="shared" si="26"/>
        <v>86.021505376344081</v>
      </c>
      <c r="T237" s="1715"/>
      <c r="U237" s="1715">
        <f t="shared" si="22"/>
        <v>26000</v>
      </c>
      <c r="V237" s="2658"/>
    </row>
    <row r="238" spans="1:22" s="1041" customFormat="1" ht="95.25" customHeight="1">
      <c r="A238" s="2658">
        <v>62</v>
      </c>
      <c r="B238" s="2735" t="s">
        <v>5818</v>
      </c>
      <c r="C238" s="2740" t="s">
        <v>5819</v>
      </c>
      <c r="D238" s="2741" t="s">
        <v>5819</v>
      </c>
      <c r="E238" s="2742" t="s">
        <v>2819</v>
      </c>
      <c r="F238" s="2738"/>
      <c r="G238" s="2738">
        <v>144000</v>
      </c>
      <c r="H238" s="2738">
        <f t="shared" si="28"/>
        <v>144000</v>
      </c>
      <c r="I238" s="2738"/>
      <c r="J238" s="2738"/>
      <c r="K238" s="2738"/>
      <c r="L238" s="2743"/>
      <c r="M238" s="2738">
        <f>'[10]NFMA46 '!I244</f>
        <v>144000</v>
      </c>
      <c r="N238" s="2738">
        <f>'[10]NFMA46 '!L244</f>
        <v>0</v>
      </c>
      <c r="O238" s="2738">
        <f t="shared" si="24"/>
        <v>0</v>
      </c>
      <c r="P238" s="2739">
        <f>'[10]NFMA46 '!K244</f>
        <v>144000</v>
      </c>
      <c r="Q238" s="1715">
        <f t="shared" si="25"/>
        <v>100</v>
      </c>
      <c r="R238" s="1715">
        <f t="shared" si="21"/>
        <v>144000</v>
      </c>
      <c r="S238" s="1715">
        <f t="shared" si="26"/>
        <v>100</v>
      </c>
      <c r="T238" s="1715"/>
      <c r="U238" s="1715">
        <f t="shared" si="22"/>
        <v>0</v>
      </c>
      <c r="V238" s="2658"/>
    </row>
    <row r="239" spans="1:22" s="1041" customFormat="1" ht="95.25" customHeight="1">
      <c r="A239" s="2658">
        <v>63</v>
      </c>
      <c r="B239" s="2735" t="s">
        <v>5820</v>
      </c>
      <c r="C239" s="2740" t="s">
        <v>5821</v>
      </c>
      <c r="D239" s="2741" t="s">
        <v>5821</v>
      </c>
      <c r="E239" s="2742" t="s">
        <v>2816</v>
      </c>
      <c r="F239" s="2738"/>
      <c r="G239" s="2738">
        <v>499000</v>
      </c>
      <c r="H239" s="2738">
        <f t="shared" si="28"/>
        <v>499000</v>
      </c>
      <c r="I239" s="2738"/>
      <c r="J239" s="2738"/>
      <c r="K239" s="2738"/>
      <c r="L239" s="2743"/>
      <c r="M239" s="2738">
        <f>'[10]NFMA46 '!I245</f>
        <v>499000</v>
      </c>
      <c r="N239" s="2738">
        <f>'[10]NFMA46 '!L245</f>
        <v>0</v>
      </c>
      <c r="O239" s="2738">
        <f t="shared" si="24"/>
        <v>0</v>
      </c>
      <c r="P239" s="2739">
        <f>'[10]NFMA46 '!K245</f>
        <v>499000</v>
      </c>
      <c r="Q239" s="1715">
        <f t="shared" si="25"/>
        <v>100</v>
      </c>
      <c r="R239" s="1715">
        <f t="shared" si="21"/>
        <v>499000</v>
      </c>
      <c r="S239" s="1715">
        <f t="shared" si="26"/>
        <v>100</v>
      </c>
      <c r="T239" s="1715"/>
      <c r="U239" s="1715">
        <f t="shared" si="22"/>
        <v>0</v>
      </c>
      <c r="V239" s="2658"/>
    </row>
    <row r="240" spans="1:22" s="1041" customFormat="1" ht="95.25" customHeight="1">
      <c r="A240" s="2658">
        <v>64</v>
      </c>
      <c r="B240" s="2735" t="s">
        <v>5822</v>
      </c>
      <c r="C240" s="2740" t="s">
        <v>5823</v>
      </c>
      <c r="D240" s="2741" t="s">
        <v>5823</v>
      </c>
      <c r="E240" s="2742" t="s">
        <v>5783</v>
      </c>
      <c r="F240" s="2738"/>
      <c r="G240" s="2738">
        <v>1026000</v>
      </c>
      <c r="H240" s="2738">
        <f t="shared" si="28"/>
        <v>1026000</v>
      </c>
      <c r="I240" s="2738"/>
      <c r="J240" s="2738"/>
      <c r="K240" s="2738"/>
      <c r="L240" s="2743">
        <v>1026000</v>
      </c>
      <c r="M240" s="2738"/>
      <c r="N240" s="2738">
        <f>'[10]NFMA46 '!L246</f>
        <v>0</v>
      </c>
      <c r="O240" s="2738" t="e">
        <f t="shared" si="24"/>
        <v>#DIV/0!</v>
      </c>
      <c r="P240" s="2739">
        <f>'[10]NFMA46 '!K246</f>
        <v>0</v>
      </c>
      <c r="Q240" s="1715" t="e">
        <f t="shared" si="25"/>
        <v>#DIV/0!</v>
      </c>
      <c r="R240" s="1715">
        <f t="shared" si="21"/>
        <v>0</v>
      </c>
      <c r="S240" s="1715" t="e">
        <f t="shared" si="26"/>
        <v>#DIV/0!</v>
      </c>
      <c r="T240" s="1715"/>
      <c r="U240" s="1715">
        <f t="shared" si="22"/>
        <v>0</v>
      </c>
      <c r="V240" s="2658"/>
    </row>
    <row r="241" spans="1:22" s="1041" customFormat="1" ht="95.25" customHeight="1">
      <c r="A241" s="2658">
        <v>65</v>
      </c>
      <c r="B241" s="2735" t="s">
        <v>5824</v>
      </c>
      <c r="C241" s="2740" t="s">
        <v>5825</v>
      </c>
      <c r="D241" s="2741" t="s">
        <v>5825</v>
      </c>
      <c r="E241" s="2742" t="s">
        <v>2825</v>
      </c>
      <c r="F241" s="2738"/>
      <c r="G241" s="2738">
        <v>499000</v>
      </c>
      <c r="H241" s="2738">
        <f t="shared" si="28"/>
        <v>499000</v>
      </c>
      <c r="I241" s="2738"/>
      <c r="J241" s="2738"/>
      <c r="K241" s="2738"/>
      <c r="L241" s="2743"/>
      <c r="M241" s="2738">
        <f>'[10]NFMA46 '!I247</f>
        <v>499000</v>
      </c>
      <c r="N241" s="2738">
        <f>'[10]NFMA46 '!L247</f>
        <v>0</v>
      </c>
      <c r="O241" s="2738">
        <f t="shared" si="24"/>
        <v>0</v>
      </c>
      <c r="P241" s="2739">
        <f>'[10]NFMA46 '!K247</f>
        <v>499000</v>
      </c>
      <c r="Q241" s="1715">
        <f t="shared" si="25"/>
        <v>100</v>
      </c>
      <c r="R241" s="1715">
        <f t="shared" ref="R241:R265" si="29">P241+N241</f>
        <v>499000</v>
      </c>
      <c r="S241" s="1715">
        <f t="shared" si="26"/>
        <v>100</v>
      </c>
      <c r="T241" s="1715"/>
      <c r="U241" s="1715">
        <f t="shared" si="22"/>
        <v>0</v>
      </c>
      <c r="V241" s="2658"/>
    </row>
    <row r="242" spans="1:22" s="1041" customFormat="1" ht="76.5" customHeight="1">
      <c r="A242" s="2658">
        <v>66</v>
      </c>
      <c r="B242" s="2735" t="s">
        <v>5826</v>
      </c>
      <c r="C242" s="2740" t="s">
        <v>5827</v>
      </c>
      <c r="D242" s="2741" t="s">
        <v>5827</v>
      </c>
      <c r="E242" s="2742" t="s">
        <v>5828</v>
      </c>
      <c r="F242" s="2738"/>
      <c r="G242" s="2738">
        <v>447000</v>
      </c>
      <c r="H242" s="2738">
        <f t="shared" si="28"/>
        <v>447000</v>
      </c>
      <c r="I242" s="2738"/>
      <c r="J242" s="2738"/>
      <c r="K242" s="2738"/>
      <c r="L242" s="2743"/>
      <c r="M242" s="2738">
        <f>'[10]NFMA46 '!I248</f>
        <v>447000</v>
      </c>
      <c r="N242" s="2738">
        <f>'[10]NFMA46 '!L248</f>
        <v>0</v>
      </c>
      <c r="O242" s="2738">
        <f t="shared" si="24"/>
        <v>0</v>
      </c>
      <c r="P242" s="2739">
        <f>'[10]NFMA46 '!K248</f>
        <v>447000</v>
      </c>
      <c r="Q242" s="1715">
        <f t="shared" si="25"/>
        <v>100</v>
      </c>
      <c r="R242" s="1715">
        <f t="shared" si="29"/>
        <v>447000</v>
      </c>
      <c r="S242" s="1715">
        <f t="shared" si="26"/>
        <v>100</v>
      </c>
      <c r="T242" s="1715"/>
      <c r="U242" s="1715">
        <f t="shared" ref="U242:U266" si="30">M242-R242</f>
        <v>0</v>
      </c>
      <c r="V242" s="2658"/>
    </row>
    <row r="243" spans="1:22" s="1041" customFormat="1" ht="76.5" customHeight="1">
      <c r="A243" s="2658">
        <v>67</v>
      </c>
      <c r="B243" s="2735" t="s">
        <v>5829</v>
      </c>
      <c r="C243" s="2740" t="s">
        <v>5830</v>
      </c>
      <c r="D243" s="2741" t="s">
        <v>5830</v>
      </c>
      <c r="E243" s="2742" t="s">
        <v>866</v>
      </c>
      <c r="F243" s="2738"/>
      <c r="G243" s="2738">
        <v>513900</v>
      </c>
      <c r="H243" s="2738">
        <f t="shared" si="28"/>
        <v>513900</v>
      </c>
      <c r="I243" s="2738"/>
      <c r="J243" s="2738"/>
      <c r="K243" s="2738"/>
      <c r="L243" s="2743"/>
      <c r="M243" s="2738">
        <f>'[10]NFMA46 '!I249</f>
        <v>513900</v>
      </c>
      <c r="N243" s="2738">
        <f>'[10]NFMA46 '!L249</f>
        <v>432000</v>
      </c>
      <c r="O243" s="2738">
        <f>N243/M243*100</f>
        <v>84.063047285464094</v>
      </c>
      <c r="P243" s="2739">
        <f>'[10]NFMA46 '!K249</f>
        <v>0</v>
      </c>
      <c r="Q243" s="1715">
        <f t="shared" ref="Q243:Q255" si="31">P243/M243*100</f>
        <v>0</v>
      </c>
      <c r="R243" s="1715">
        <f t="shared" si="29"/>
        <v>432000</v>
      </c>
      <c r="S243" s="1715">
        <f t="shared" ref="S243:S251" si="32">R243/M243*100</f>
        <v>84.063047285464094</v>
      </c>
      <c r="T243" s="1715"/>
      <c r="U243" s="1715">
        <f t="shared" si="30"/>
        <v>81900</v>
      </c>
      <c r="V243" s="2658"/>
    </row>
    <row r="244" spans="1:22" s="1041" customFormat="1" ht="76.5" customHeight="1">
      <c r="A244" s="2658">
        <v>68</v>
      </c>
      <c r="B244" s="2735" t="s">
        <v>5831</v>
      </c>
      <c r="C244" s="2740" t="s">
        <v>5832</v>
      </c>
      <c r="D244" s="2741" t="s">
        <v>5832</v>
      </c>
      <c r="E244" s="2742" t="s">
        <v>5828</v>
      </c>
      <c r="F244" s="2738"/>
      <c r="G244" s="2738">
        <v>498000</v>
      </c>
      <c r="H244" s="2738">
        <f t="shared" si="28"/>
        <v>498000</v>
      </c>
      <c r="I244" s="2738"/>
      <c r="J244" s="2738"/>
      <c r="K244" s="2738"/>
      <c r="L244" s="2743"/>
      <c r="M244" s="2738">
        <f>'[10]NFMA46 '!I250</f>
        <v>498000</v>
      </c>
      <c r="N244" s="2738">
        <f>'[10]NFMA46 '!L250</f>
        <v>0</v>
      </c>
      <c r="O244" s="2738">
        <f t="shared" ref="O244:O255" si="33">N244/M244*100</f>
        <v>0</v>
      </c>
      <c r="P244" s="2739">
        <f>'[10]NFMA46 '!K250</f>
        <v>498000</v>
      </c>
      <c r="Q244" s="1715">
        <f t="shared" si="31"/>
        <v>100</v>
      </c>
      <c r="R244" s="1715">
        <f t="shared" si="29"/>
        <v>498000</v>
      </c>
      <c r="S244" s="1715">
        <f t="shared" si="32"/>
        <v>100</v>
      </c>
      <c r="T244" s="1715"/>
      <c r="U244" s="1715">
        <f t="shared" si="30"/>
        <v>0</v>
      </c>
      <c r="V244" s="2658"/>
    </row>
    <row r="245" spans="1:22" s="1041" customFormat="1" ht="76.5" customHeight="1">
      <c r="A245" s="2658">
        <v>69</v>
      </c>
      <c r="B245" s="2735" t="s">
        <v>5833</v>
      </c>
      <c r="C245" s="2740" t="s">
        <v>5834</v>
      </c>
      <c r="D245" s="2741" t="s">
        <v>5834</v>
      </c>
      <c r="E245" s="2742" t="s">
        <v>2822</v>
      </c>
      <c r="F245" s="2738"/>
      <c r="G245" s="2738">
        <v>600000</v>
      </c>
      <c r="H245" s="2738">
        <f t="shared" si="28"/>
        <v>600000</v>
      </c>
      <c r="I245" s="2738"/>
      <c r="J245" s="2738"/>
      <c r="K245" s="2738"/>
      <c r="L245" s="2743">
        <v>16000</v>
      </c>
      <c r="M245" s="2738">
        <v>584000</v>
      </c>
      <c r="N245" s="2738">
        <f>'[10]NFMA46 '!L251</f>
        <v>0</v>
      </c>
      <c r="O245" s="2738">
        <f t="shared" si="33"/>
        <v>0</v>
      </c>
      <c r="P245" s="2739">
        <f>'[10]NFMA46 '!K251</f>
        <v>584000</v>
      </c>
      <c r="Q245" s="1715">
        <f t="shared" si="31"/>
        <v>100</v>
      </c>
      <c r="R245" s="1715">
        <f t="shared" si="29"/>
        <v>584000</v>
      </c>
      <c r="S245" s="1715">
        <f t="shared" si="32"/>
        <v>100</v>
      </c>
      <c r="T245" s="1715"/>
      <c r="U245" s="1715">
        <f t="shared" si="30"/>
        <v>0</v>
      </c>
      <c r="V245" s="2658"/>
    </row>
    <row r="246" spans="1:22" s="1041" customFormat="1" ht="76.5" customHeight="1">
      <c r="A246" s="2658">
        <v>70</v>
      </c>
      <c r="B246" s="2735" t="s">
        <v>5835</v>
      </c>
      <c r="C246" s="2740" t="s">
        <v>5836</v>
      </c>
      <c r="D246" s="2741" t="s">
        <v>5836</v>
      </c>
      <c r="E246" s="2742" t="s">
        <v>4642</v>
      </c>
      <c r="F246" s="2738"/>
      <c r="G246" s="2738">
        <v>1620000</v>
      </c>
      <c r="H246" s="2738">
        <f t="shared" si="28"/>
        <v>1620000</v>
      </c>
      <c r="I246" s="2738"/>
      <c r="J246" s="2738"/>
      <c r="K246" s="2738"/>
      <c r="L246" s="2743">
        <v>240500</v>
      </c>
      <c r="M246" s="2738">
        <f>'[10]NFMA46 '!I252-L246</f>
        <v>1379500</v>
      </c>
      <c r="N246" s="2738">
        <f>'[10]NFMA46 '!L252</f>
        <v>0</v>
      </c>
      <c r="O246" s="2738">
        <f t="shared" si="33"/>
        <v>0</v>
      </c>
      <c r="P246" s="2739">
        <f>'[10]NFMA46 '!K252</f>
        <v>1379500</v>
      </c>
      <c r="Q246" s="1715">
        <f t="shared" si="31"/>
        <v>100</v>
      </c>
      <c r="R246" s="1715">
        <f t="shared" si="29"/>
        <v>1379500</v>
      </c>
      <c r="S246" s="1715">
        <f t="shared" si="32"/>
        <v>100</v>
      </c>
      <c r="T246" s="1715"/>
      <c r="U246" s="1715">
        <f t="shared" si="30"/>
        <v>0</v>
      </c>
      <c r="V246" s="2658"/>
    </row>
    <row r="247" spans="1:22" s="1041" customFormat="1" ht="100.5" customHeight="1">
      <c r="A247" s="2658">
        <v>71</v>
      </c>
      <c r="B247" s="2735" t="s">
        <v>5837</v>
      </c>
      <c r="C247" s="2740" t="s">
        <v>5838</v>
      </c>
      <c r="D247" s="2741" t="s">
        <v>5838</v>
      </c>
      <c r="E247" s="2742" t="s">
        <v>5828</v>
      </c>
      <c r="F247" s="2738"/>
      <c r="G247" s="2738">
        <v>459000</v>
      </c>
      <c r="H247" s="2738">
        <f t="shared" si="28"/>
        <v>459000</v>
      </c>
      <c r="I247" s="2738"/>
      <c r="J247" s="2738"/>
      <c r="K247" s="2738"/>
      <c r="L247" s="2743"/>
      <c r="M247" s="2738">
        <f>'[10]NFMA46 '!I253</f>
        <v>459000</v>
      </c>
      <c r="N247" s="2738">
        <f>'[10]NFMA46 '!L253</f>
        <v>0</v>
      </c>
      <c r="O247" s="2738">
        <f t="shared" si="33"/>
        <v>0</v>
      </c>
      <c r="P247" s="2739">
        <f>'[10]NFMA46 '!K253</f>
        <v>459000</v>
      </c>
      <c r="Q247" s="1715">
        <f t="shared" si="31"/>
        <v>100</v>
      </c>
      <c r="R247" s="1715">
        <f t="shared" si="29"/>
        <v>459000</v>
      </c>
      <c r="S247" s="1715">
        <f t="shared" si="32"/>
        <v>100</v>
      </c>
      <c r="T247" s="1715"/>
      <c r="U247" s="1715">
        <f t="shared" si="30"/>
        <v>0</v>
      </c>
      <c r="V247" s="2658"/>
    </row>
    <row r="248" spans="1:22" s="1041" customFormat="1" ht="83.25" customHeight="1">
      <c r="A248" s="2658">
        <v>72</v>
      </c>
      <c r="B248" s="2735" t="s">
        <v>5839</v>
      </c>
      <c r="C248" s="2740" t="s">
        <v>5840</v>
      </c>
      <c r="D248" s="2741" t="s">
        <v>5840</v>
      </c>
      <c r="E248" s="2742" t="s">
        <v>5781</v>
      </c>
      <c r="F248" s="2738"/>
      <c r="G248" s="2738">
        <v>354000</v>
      </c>
      <c r="H248" s="2738">
        <f t="shared" si="28"/>
        <v>354000</v>
      </c>
      <c r="I248" s="2738"/>
      <c r="J248" s="2738"/>
      <c r="K248" s="2738"/>
      <c r="L248" s="2743"/>
      <c r="M248" s="2738">
        <f>'[10]NFMA46 '!I254</f>
        <v>354000</v>
      </c>
      <c r="N248" s="2738">
        <f>'[10]NFMA46 '!L254</f>
        <v>354000</v>
      </c>
      <c r="O248" s="2738">
        <f t="shared" si="33"/>
        <v>100</v>
      </c>
      <c r="P248" s="2739">
        <f>'[10]NFMA46 '!K254</f>
        <v>0</v>
      </c>
      <c r="Q248" s="1715">
        <f t="shared" si="31"/>
        <v>0</v>
      </c>
      <c r="R248" s="1715">
        <f t="shared" si="29"/>
        <v>354000</v>
      </c>
      <c r="S248" s="1715">
        <f t="shared" si="32"/>
        <v>100</v>
      </c>
      <c r="T248" s="1715"/>
      <c r="U248" s="1715">
        <f t="shared" si="30"/>
        <v>0</v>
      </c>
      <c r="V248" s="2658"/>
    </row>
    <row r="249" spans="1:22" s="1041" customFormat="1" ht="83.25" customHeight="1">
      <c r="A249" s="2658">
        <v>73</v>
      </c>
      <c r="B249" s="2735" t="s">
        <v>5841</v>
      </c>
      <c r="C249" s="2740" t="s">
        <v>5842</v>
      </c>
      <c r="D249" s="2741" t="s">
        <v>5842</v>
      </c>
      <c r="E249" s="2742" t="s">
        <v>866</v>
      </c>
      <c r="F249" s="2738"/>
      <c r="G249" s="2738">
        <v>1031000</v>
      </c>
      <c r="H249" s="2738">
        <f t="shared" si="28"/>
        <v>1031000</v>
      </c>
      <c r="I249" s="2738"/>
      <c r="J249" s="2738"/>
      <c r="K249" s="2738"/>
      <c r="L249" s="2743"/>
      <c r="M249" s="2738">
        <f>'[10]NFMA46 '!I255</f>
        <v>1031000</v>
      </c>
      <c r="N249" s="2738">
        <f>'[10]NFMA46 '!L255</f>
        <v>0</v>
      </c>
      <c r="O249" s="2738">
        <f t="shared" si="33"/>
        <v>0</v>
      </c>
      <c r="P249" s="2739">
        <f>'[10]NFMA46 '!K255</f>
        <v>940000</v>
      </c>
      <c r="Q249" s="1715">
        <f t="shared" si="31"/>
        <v>91.17361784675073</v>
      </c>
      <c r="R249" s="1715">
        <f t="shared" si="29"/>
        <v>940000</v>
      </c>
      <c r="S249" s="1715">
        <f t="shared" si="32"/>
        <v>91.17361784675073</v>
      </c>
      <c r="T249" s="1715"/>
      <c r="U249" s="1715">
        <f t="shared" si="30"/>
        <v>91000</v>
      </c>
      <c r="V249" s="2658"/>
    </row>
    <row r="250" spans="1:22" s="1041" customFormat="1" ht="83.25" customHeight="1">
      <c r="A250" s="2658">
        <v>74</v>
      </c>
      <c r="B250" s="2735" t="s">
        <v>5843</v>
      </c>
      <c r="C250" s="2740" t="s">
        <v>5844</v>
      </c>
      <c r="D250" s="2741" t="s">
        <v>5844</v>
      </c>
      <c r="E250" s="2742" t="s">
        <v>5845</v>
      </c>
      <c r="F250" s="2738"/>
      <c r="G250" s="2738">
        <v>198000</v>
      </c>
      <c r="H250" s="2738">
        <f t="shared" si="28"/>
        <v>198000</v>
      </c>
      <c r="I250" s="2738"/>
      <c r="J250" s="2738"/>
      <c r="K250" s="2738"/>
      <c r="L250" s="2743"/>
      <c r="M250" s="2738">
        <f>'[10]NFMA46 '!I256</f>
        <v>198000</v>
      </c>
      <c r="N250" s="2738">
        <f>'[10]NFMA46 '!L256</f>
        <v>198000</v>
      </c>
      <c r="O250" s="2738">
        <f t="shared" si="33"/>
        <v>100</v>
      </c>
      <c r="P250" s="2739">
        <f>'[10]NFMA46 '!K256</f>
        <v>0</v>
      </c>
      <c r="Q250" s="1715">
        <f t="shared" si="31"/>
        <v>0</v>
      </c>
      <c r="R250" s="1715">
        <f t="shared" si="29"/>
        <v>198000</v>
      </c>
      <c r="S250" s="1715">
        <f t="shared" si="32"/>
        <v>100</v>
      </c>
      <c r="T250" s="1715"/>
      <c r="U250" s="1715">
        <f t="shared" si="30"/>
        <v>0</v>
      </c>
      <c r="V250" s="2658"/>
    </row>
    <row r="251" spans="1:22" s="1041" customFormat="1" ht="77.25" customHeight="1">
      <c r="A251" s="2658">
        <v>75</v>
      </c>
      <c r="B251" s="2735" t="str">
        <f>'[10]NFMA46 '!E257</f>
        <v>ปรับปรุงศูนย์ศึกษาและพัฒนาชุมชนยะลา (ปรับปรุงอาคาร 200 ปี)</v>
      </c>
      <c r="C251" s="2740" t="s">
        <v>5846</v>
      </c>
      <c r="D251" s="2741"/>
      <c r="E251" s="2742" t="s">
        <v>5790</v>
      </c>
      <c r="F251" s="2738"/>
      <c r="G251" s="2738">
        <v>248000</v>
      </c>
      <c r="H251" s="2738">
        <f t="shared" si="28"/>
        <v>248000</v>
      </c>
      <c r="I251" s="2738"/>
      <c r="J251" s="2738"/>
      <c r="K251" s="2738"/>
      <c r="L251" s="2743"/>
      <c r="M251" s="2738">
        <f>'[10]NFMA46 '!I257</f>
        <v>248000</v>
      </c>
      <c r="N251" s="2738">
        <f>'[10]NFMA46 '!L257</f>
        <v>248000</v>
      </c>
      <c r="O251" s="2738">
        <f t="shared" si="33"/>
        <v>100</v>
      </c>
      <c r="P251" s="2739">
        <f>'[10]NFMA46 '!K257</f>
        <v>0</v>
      </c>
      <c r="Q251" s="1715">
        <f t="shared" si="31"/>
        <v>0</v>
      </c>
      <c r="R251" s="1715">
        <f t="shared" si="29"/>
        <v>248000</v>
      </c>
      <c r="S251" s="1715">
        <f t="shared" si="32"/>
        <v>100</v>
      </c>
      <c r="T251" s="1715"/>
      <c r="U251" s="1715">
        <f t="shared" si="30"/>
        <v>0</v>
      </c>
      <c r="V251" s="2658"/>
    </row>
    <row r="252" spans="1:22" s="1041" customFormat="1" ht="108" customHeight="1">
      <c r="A252" s="2658">
        <v>76</v>
      </c>
      <c r="B252" s="2735" t="s">
        <v>5847</v>
      </c>
      <c r="C252" s="2740" t="s">
        <v>5848</v>
      </c>
      <c r="D252" s="2741"/>
      <c r="E252" s="2742" t="s">
        <v>5849</v>
      </c>
      <c r="F252" s="2738"/>
      <c r="G252" s="2738"/>
      <c r="H252" s="2738">
        <f t="shared" si="28"/>
        <v>0</v>
      </c>
      <c r="I252" s="2738"/>
      <c r="J252" s="2738"/>
      <c r="K252" s="2738">
        <v>736000</v>
      </c>
      <c r="L252" s="2743"/>
      <c r="M252" s="2738">
        <f>G252+H252+I252+J252+K252</f>
        <v>736000</v>
      </c>
      <c r="N252" s="2738">
        <f>'[10]NFMA46 '!L258</f>
        <v>640000</v>
      </c>
      <c r="O252" s="2738">
        <f t="shared" si="33"/>
        <v>86.956521739130437</v>
      </c>
      <c r="P252" s="2739">
        <f>'[10]NFMA46 '!K258</f>
        <v>72000</v>
      </c>
      <c r="Q252" s="1715">
        <f t="shared" si="31"/>
        <v>9.7826086956521738</v>
      </c>
      <c r="R252" s="1715">
        <f>P252+N252</f>
        <v>712000</v>
      </c>
      <c r="S252" s="1715">
        <f>R252/M252*100</f>
        <v>96.739130434782609</v>
      </c>
      <c r="T252" s="1715"/>
      <c r="U252" s="1715">
        <f t="shared" si="30"/>
        <v>24000</v>
      </c>
      <c r="V252" s="2658"/>
    </row>
    <row r="253" spans="1:22" s="1041" customFormat="1" ht="108" customHeight="1">
      <c r="A253" s="2658">
        <v>77</v>
      </c>
      <c r="B253" s="2735" t="s">
        <v>5850</v>
      </c>
      <c r="C253" s="2740" t="s">
        <v>5851</v>
      </c>
      <c r="D253" s="2741"/>
      <c r="E253" s="2742" t="s">
        <v>5725</v>
      </c>
      <c r="F253" s="2738"/>
      <c r="G253" s="2738"/>
      <c r="H253" s="2738">
        <f t="shared" si="28"/>
        <v>0</v>
      </c>
      <c r="I253" s="2738">
        <v>50405</v>
      </c>
      <c r="J253" s="2738"/>
      <c r="K253" s="2738"/>
      <c r="L253" s="2743"/>
      <c r="M253" s="2738">
        <f>G253+H253+I253+J253+K253</f>
        <v>50405</v>
      </c>
      <c r="N253" s="2738">
        <f>'[10]NFMA46 '!L259</f>
        <v>50405</v>
      </c>
      <c r="O253" s="2738">
        <f>N253/M253*100</f>
        <v>100</v>
      </c>
      <c r="P253" s="2739">
        <f>'[10]NFMA46 '!K259</f>
        <v>0</v>
      </c>
      <c r="Q253" s="1715">
        <f>P253/M253*100</f>
        <v>0</v>
      </c>
      <c r="R253" s="1715">
        <f>P253+N253</f>
        <v>50405</v>
      </c>
      <c r="S253" s="1715">
        <f>R253/M253*100</f>
        <v>100</v>
      </c>
      <c r="T253" s="1715"/>
      <c r="U253" s="1715">
        <f t="shared" si="30"/>
        <v>0</v>
      </c>
      <c r="V253" s="2658"/>
    </row>
    <row r="254" spans="1:22" s="1041" customFormat="1" ht="108" customHeight="1">
      <c r="A254" s="2658">
        <v>78</v>
      </c>
      <c r="B254" s="2735" t="s">
        <v>5852</v>
      </c>
      <c r="C254" s="2740" t="s">
        <v>5853</v>
      </c>
      <c r="D254" s="2750"/>
      <c r="E254" s="2742" t="s">
        <v>2815</v>
      </c>
      <c r="F254" s="2738"/>
      <c r="G254" s="2738"/>
      <c r="H254" s="2738">
        <f t="shared" si="28"/>
        <v>0</v>
      </c>
      <c r="I254" s="2738"/>
      <c r="J254" s="2738"/>
      <c r="K254" s="2738">
        <v>991700</v>
      </c>
      <c r="L254" s="2743">
        <v>6700</v>
      </c>
      <c r="M254" s="2738">
        <f>'[10]NFMA46 '!I260-L254</f>
        <v>985000</v>
      </c>
      <c r="N254" s="2738">
        <f>'[10]NFMA46 '!L260</f>
        <v>0</v>
      </c>
      <c r="O254" s="2738">
        <f t="shared" si="33"/>
        <v>0</v>
      </c>
      <c r="P254" s="2739">
        <f>'[10]NFMA46 '!K260</f>
        <v>985000</v>
      </c>
      <c r="Q254" s="1715">
        <f t="shared" si="31"/>
        <v>100</v>
      </c>
      <c r="R254" s="1715">
        <f t="shared" ref="R254:R255" si="34">P254+N254</f>
        <v>985000</v>
      </c>
      <c r="S254" s="1715">
        <f t="shared" ref="S254:S255" si="35">R254/M254*100</f>
        <v>100</v>
      </c>
      <c r="T254" s="2669"/>
      <c r="U254" s="1715">
        <f t="shared" si="30"/>
        <v>0</v>
      </c>
      <c r="V254" s="2658"/>
    </row>
    <row r="255" spans="1:22" s="1041" customFormat="1" ht="108" customHeight="1">
      <c r="A255" s="2658">
        <v>79</v>
      </c>
      <c r="B255" s="2735" t="s">
        <v>5854</v>
      </c>
      <c r="C255" s="2740" t="s">
        <v>5855</v>
      </c>
      <c r="D255" s="2750"/>
      <c r="E255" s="2742" t="s">
        <v>2815</v>
      </c>
      <c r="F255" s="2738"/>
      <c r="G255" s="2738"/>
      <c r="H255" s="2738">
        <f t="shared" si="28"/>
        <v>0</v>
      </c>
      <c r="I255" s="2738"/>
      <c r="J255" s="2738"/>
      <c r="K255" s="2738">
        <v>908000</v>
      </c>
      <c r="L255" s="2743">
        <v>23000</v>
      </c>
      <c r="M255" s="2738">
        <f>'[10]NFMA46 '!I261-L255</f>
        <v>885000</v>
      </c>
      <c r="N255" s="2738">
        <f>'[10]NFMA46 '!L261</f>
        <v>0</v>
      </c>
      <c r="O255" s="2738">
        <f t="shared" si="33"/>
        <v>0</v>
      </c>
      <c r="P255" s="2739">
        <f>'[10]NFMA46 '!K261</f>
        <v>885000</v>
      </c>
      <c r="Q255" s="1715">
        <f t="shared" si="31"/>
        <v>100</v>
      </c>
      <c r="R255" s="1715">
        <f t="shared" si="34"/>
        <v>885000</v>
      </c>
      <c r="S255" s="1715">
        <f t="shared" si="35"/>
        <v>100</v>
      </c>
      <c r="T255" s="2669"/>
      <c r="U255" s="1715">
        <f t="shared" si="30"/>
        <v>0</v>
      </c>
      <c r="V255" s="2658"/>
    </row>
    <row r="256" spans="1:22" s="1041" customFormat="1" ht="108" customHeight="1">
      <c r="A256" s="2658"/>
      <c r="B256" s="2735" t="s">
        <v>4443</v>
      </c>
      <c r="C256" s="2740"/>
      <c r="D256" s="2750"/>
      <c r="E256" s="2742"/>
      <c r="F256" s="2738"/>
      <c r="G256" s="2738"/>
      <c r="H256" s="2738"/>
      <c r="I256" s="2738"/>
      <c r="J256" s="2738"/>
      <c r="K256" s="2738"/>
      <c r="L256" s="2743">
        <f>SUBTOTAL(9,L177:L255)</f>
        <v>1727049</v>
      </c>
      <c r="M256" s="2738">
        <f>L256</f>
        <v>1727049</v>
      </c>
      <c r="N256" s="2738"/>
      <c r="O256" s="2738"/>
      <c r="P256" s="2739"/>
      <c r="Q256" s="1715"/>
      <c r="R256" s="1715"/>
      <c r="S256" s="1715"/>
      <c r="T256" s="2669"/>
      <c r="U256" s="1715">
        <f>M256</f>
        <v>1727049</v>
      </c>
      <c r="V256" s="2658"/>
    </row>
    <row r="257" spans="1:22" ht="46.5" customHeight="1">
      <c r="A257" s="2770"/>
      <c r="B257" s="2771"/>
      <c r="C257" s="2772"/>
      <c r="D257" s="2773"/>
      <c r="E257" s="2774"/>
      <c r="J257" s="2766"/>
      <c r="K257" s="2766"/>
      <c r="L257" s="2775"/>
      <c r="V257" s="2770"/>
    </row>
    <row r="258" spans="1:22" ht="57.75" customHeight="1">
      <c r="A258" s="2670"/>
      <c r="B258" s="2754"/>
      <c r="C258" s="2755"/>
      <c r="D258" s="2756"/>
      <c r="E258" s="2757"/>
      <c r="F258" s="2758">
        <f>SUM(F259:F687)</f>
        <v>4500000</v>
      </c>
      <c r="G258" s="2758">
        <f>SUM(G259:G687)</f>
        <v>172621100</v>
      </c>
      <c r="H258" s="2758"/>
      <c r="I258" s="2758"/>
      <c r="J258" s="2758">
        <f>SUM(J259:J691)</f>
        <v>189692</v>
      </c>
      <c r="K258" s="2758"/>
      <c r="L258" s="2759">
        <f>SUM(L259:L690)</f>
        <v>4516305.7399999993</v>
      </c>
      <c r="M258" s="2758">
        <f>SUM(M259:M691)</f>
        <v>176931408</v>
      </c>
      <c r="N258" s="2758">
        <f>SUM(N259:N687)</f>
        <v>34693355.650000006</v>
      </c>
      <c r="O258" s="2758">
        <f>N258/M258*100</f>
        <v>19.608364643772013</v>
      </c>
      <c r="P258" s="2760">
        <f>SUM(P259:P687)</f>
        <v>19441528.150000002</v>
      </c>
      <c r="Q258" s="2671">
        <f>P258/M258*100</f>
        <v>10.988172405206882</v>
      </c>
      <c r="R258" s="2671">
        <f>SUM(R259:R687)</f>
        <v>54134883.800000004</v>
      </c>
      <c r="S258" s="2671">
        <f>R258/M258*100</f>
        <v>30.596537048978895</v>
      </c>
      <c r="T258" s="2672"/>
      <c r="U258" s="2671">
        <f>SUM(U259:U691)</f>
        <v>122546524.2</v>
      </c>
      <c r="V258" s="2670"/>
    </row>
    <row r="259" spans="1:22" s="1041" customFormat="1" ht="109.5" customHeight="1">
      <c r="A259" s="2658">
        <v>1</v>
      </c>
      <c r="B259" s="2735" t="s">
        <v>5856</v>
      </c>
      <c r="C259" s="2740" t="s">
        <v>5371</v>
      </c>
      <c r="D259" s="2741"/>
      <c r="E259" s="2742" t="s">
        <v>866</v>
      </c>
      <c r="F259" s="2738">
        <v>1500000</v>
      </c>
      <c r="G259" s="2738"/>
      <c r="H259" s="2738"/>
      <c r="I259" s="2738"/>
      <c r="J259" s="2738"/>
      <c r="K259" s="2738"/>
      <c r="L259" s="2743"/>
      <c r="M259" s="2738">
        <f>'[10]NFMA46 '!I267</f>
        <v>1500000</v>
      </c>
      <c r="N259" s="2738">
        <f>'[10]NFMA46 '!L267</f>
        <v>0</v>
      </c>
      <c r="O259" s="2738">
        <f>N259/M259*100</f>
        <v>0</v>
      </c>
      <c r="P259" s="2739">
        <f>'[10]NFMA46 '!K267</f>
        <v>0</v>
      </c>
      <c r="Q259" s="1715">
        <f>P259/M259*100</f>
        <v>0</v>
      </c>
      <c r="R259" s="1715">
        <f>P259+N259</f>
        <v>0</v>
      </c>
      <c r="S259" s="1715">
        <f>R259/M259*100</f>
        <v>0</v>
      </c>
      <c r="T259" s="1715"/>
      <c r="U259" s="1715">
        <f>M259-R259</f>
        <v>1500000</v>
      </c>
      <c r="V259" s="2658"/>
    </row>
    <row r="260" spans="1:22" s="1041" customFormat="1" ht="109.5" customHeight="1">
      <c r="A260" s="2658">
        <v>2</v>
      </c>
      <c r="B260" s="2735" t="s">
        <v>5857</v>
      </c>
      <c r="C260" s="2740" t="s">
        <v>5403</v>
      </c>
      <c r="D260" s="2741"/>
      <c r="E260" s="2742" t="s">
        <v>866</v>
      </c>
      <c r="F260" s="2738">
        <v>1500000</v>
      </c>
      <c r="G260" s="2738"/>
      <c r="H260" s="2738"/>
      <c r="I260" s="2738"/>
      <c r="J260" s="2738"/>
      <c r="K260" s="2738"/>
      <c r="L260" s="2743"/>
      <c r="M260" s="2738">
        <f>'[10]NFMA46 '!I268</f>
        <v>1500000</v>
      </c>
      <c r="N260" s="2738">
        <f>'[10]NFMA46 '!L268</f>
        <v>0</v>
      </c>
      <c r="O260" s="2738">
        <f>N260/M260*100</f>
        <v>0</v>
      </c>
      <c r="P260" s="2739">
        <f>'[10]NFMA46 '!K268</f>
        <v>0</v>
      </c>
      <c r="Q260" s="1715">
        <f>P260/M260*100</f>
        <v>0</v>
      </c>
      <c r="R260" s="1715">
        <f>P260+N260</f>
        <v>0</v>
      </c>
      <c r="S260" s="1715">
        <f>R260/M260*100</f>
        <v>0</v>
      </c>
      <c r="T260" s="1715"/>
      <c r="U260" s="1715">
        <f>M260-R260</f>
        <v>1500000</v>
      </c>
      <c r="V260" s="2658"/>
    </row>
    <row r="261" spans="1:22" s="1041" customFormat="1" ht="109.5" customHeight="1">
      <c r="A261" s="2658">
        <v>3</v>
      </c>
      <c r="B261" s="2735" t="s">
        <v>5858</v>
      </c>
      <c r="C261" s="2740" t="s">
        <v>5411</v>
      </c>
      <c r="D261" s="2741"/>
      <c r="E261" s="2742" t="s">
        <v>866</v>
      </c>
      <c r="F261" s="2738">
        <v>1500000</v>
      </c>
      <c r="G261" s="2738"/>
      <c r="H261" s="2738"/>
      <c r="I261" s="2738"/>
      <c r="J261" s="2738"/>
      <c r="K261" s="2738"/>
      <c r="L261" s="2743"/>
      <c r="M261" s="2738">
        <f>'[10]NFMA46 '!I269</f>
        <v>1500000</v>
      </c>
      <c r="N261" s="2738">
        <f>'[10]NFMA46 '!L269</f>
        <v>0</v>
      </c>
      <c r="O261" s="2738">
        <f t="shared" ref="O261:O324" si="36">N261/M261*100</f>
        <v>0</v>
      </c>
      <c r="P261" s="2739">
        <f>'[10]NFMA46 '!K269</f>
        <v>0</v>
      </c>
      <c r="Q261" s="1715">
        <f t="shared" ref="Q261:Q324" si="37">P261/M261*100</f>
        <v>0</v>
      </c>
      <c r="R261" s="1715">
        <f>P261+N261</f>
        <v>0</v>
      </c>
      <c r="S261" s="1715">
        <f t="shared" ref="S261:S324" si="38">R261/M261*100</f>
        <v>0</v>
      </c>
      <c r="T261" s="1715"/>
      <c r="U261" s="1715">
        <f>M261-R261</f>
        <v>1500000</v>
      </c>
      <c r="V261" s="2658"/>
    </row>
    <row r="262" spans="1:22" s="1041" customFormat="1" ht="109.5" customHeight="1">
      <c r="A262" s="2658">
        <v>4</v>
      </c>
      <c r="B262" s="2735" t="s">
        <v>5859</v>
      </c>
      <c r="C262" s="2740" t="s">
        <v>4704</v>
      </c>
      <c r="D262" s="2741"/>
      <c r="E262" s="2742" t="s">
        <v>1378</v>
      </c>
      <c r="F262" s="2738"/>
      <c r="G262" s="2738">
        <v>104000</v>
      </c>
      <c r="H262" s="2738"/>
      <c r="I262" s="2738"/>
      <c r="J262" s="2738"/>
      <c r="K262" s="2738"/>
      <c r="L262" s="2743"/>
      <c r="M262" s="2738">
        <f>'[10]NFMA46 '!I270</f>
        <v>104000</v>
      </c>
      <c r="N262" s="2738">
        <f>'[10]NFMA46 '!L270</f>
        <v>0</v>
      </c>
      <c r="O262" s="2738">
        <f t="shared" si="36"/>
        <v>0</v>
      </c>
      <c r="P262" s="2739">
        <f>'[10]NFMA46 '!K270</f>
        <v>104000</v>
      </c>
      <c r="Q262" s="1715">
        <f t="shared" si="37"/>
        <v>100</v>
      </c>
      <c r="R262" s="1715">
        <f>P262+N262</f>
        <v>104000</v>
      </c>
      <c r="S262" s="1715">
        <f t="shared" si="38"/>
        <v>100</v>
      </c>
      <c r="T262" s="1715"/>
      <c r="U262" s="1715">
        <f>M262-R262</f>
        <v>0</v>
      </c>
      <c r="V262" s="2658"/>
    </row>
    <row r="263" spans="1:22" s="1041" customFormat="1" ht="109.5" customHeight="1">
      <c r="A263" s="2658">
        <v>5</v>
      </c>
      <c r="B263" s="2735" t="s">
        <v>5860</v>
      </c>
      <c r="C263" s="2740" t="s">
        <v>4705</v>
      </c>
      <c r="D263" s="2741"/>
      <c r="E263" s="2742" t="s">
        <v>1385</v>
      </c>
      <c r="F263" s="2738"/>
      <c r="G263" s="2738">
        <v>104000</v>
      </c>
      <c r="H263" s="2738"/>
      <c r="I263" s="2738"/>
      <c r="J263" s="2738"/>
      <c r="K263" s="2738"/>
      <c r="L263" s="2743"/>
      <c r="M263" s="2738">
        <f>'[10]NFMA46 '!I272</f>
        <v>104000</v>
      </c>
      <c r="N263" s="2738">
        <f>'[10]NFMA46 '!L272</f>
        <v>0</v>
      </c>
      <c r="O263" s="2738">
        <f t="shared" si="36"/>
        <v>0</v>
      </c>
      <c r="P263" s="2739">
        <f>'[10]NFMA46 '!K272</f>
        <v>104000</v>
      </c>
      <c r="Q263" s="1715">
        <f t="shared" si="37"/>
        <v>100</v>
      </c>
      <c r="R263" s="1715">
        <f t="shared" ref="R263:R326" si="39">P263+N263</f>
        <v>104000</v>
      </c>
      <c r="S263" s="1715">
        <f t="shared" si="38"/>
        <v>100</v>
      </c>
      <c r="T263" s="1715"/>
      <c r="U263" s="1715">
        <f t="shared" ref="U263:U326" si="40">M263-R263</f>
        <v>0</v>
      </c>
      <c r="V263" s="2658"/>
    </row>
    <row r="264" spans="1:22" s="1041" customFormat="1" ht="109.5" customHeight="1">
      <c r="A264" s="2658">
        <v>6</v>
      </c>
      <c r="B264" s="2735" t="s">
        <v>5861</v>
      </c>
      <c r="C264" s="2740" t="s">
        <v>4706</v>
      </c>
      <c r="D264" s="2741"/>
      <c r="E264" s="2742" t="s">
        <v>559</v>
      </c>
      <c r="F264" s="2738"/>
      <c r="G264" s="2738">
        <v>104000</v>
      </c>
      <c r="H264" s="2738"/>
      <c r="I264" s="2738"/>
      <c r="J264" s="2738"/>
      <c r="K264" s="2738"/>
      <c r="L264" s="2743">
        <v>28949.64</v>
      </c>
      <c r="M264" s="2738">
        <f>'[10]NFMA46 '!I274-L264</f>
        <v>75050.36</v>
      </c>
      <c r="N264" s="2738">
        <f>'[10]NFMA46 '!L274</f>
        <v>75050.36</v>
      </c>
      <c r="O264" s="2738">
        <f t="shared" si="36"/>
        <v>100</v>
      </c>
      <c r="P264" s="2739">
        <f>'[10]NFMA46 '!K274</f>
        <v>0</v>
      </c>
      <c r="Q264" s="1715">
        <f t="shared" si="37"/>
        <v>0</v>
      </c>
      <c r="R264" s="1715">
        <f t="shared" si="39"/>
        <v>75050.36</v>
      </c>
      <c r="S264" s="1715">
        <f t="shared" si="38"/>
        <v>100</v>
      </c>
      <c r="T264" s="1715"/>
      <c r="U264" s="1715">
        <f t="shared" si="40"/>
        <v>0</v>
      </c>
      <c r="V264" s="2658"/>
    </row>
    <row r="265" spans="1:22" s="1041" customFormat="1" ht="109.5" customHeight="1">
      <c r="A265" s="2658">
        <v>7</v>
      </c>
      <c r="B265" s="2735" t="s">
        <v>5862</v>
      </c>
      <c r="C265" s="2740" t="s">
        <v>4707</v>
      </c>
      <c r="D265" s="2741"/>
      <c r="E265" s="2742" t="s">
        <v>559</v>
      </c>
      <c r="F265" s="2738"/>
      <c r="G265" s="2738">
        <v>104000</v>
      </c>
      <c r="H265" s="2738"/>
      <c r="I265" s="2738"/>
      <c r="J265" s="2738"/>
      <c r="K265" s="2738"/>
      <c r="L265" s="2743">
        <v>7700</v>
      </c>
      <c r="M265" s="2738">
        <f>'[10]NFMA46 '!I276-L265</f>
        <v>96300</v>
      </c>
      <c r="N265" s="2738">
        <f>'[10]NFMA46 '!L276</f>
        <v>0</v>
      </c>
      <c r="O265" s="2738">
        <f t="shared" si="36"/>
        <v>0</v>
      </c>
      <c r="P265" s="2739">
        <f>'[10]NFMA46 '!K276</f>
        <v>96300</v>
      </c>
      <c r="Q265" s="1715">
        <f t="shared" si="37"/>
        <v>100</v>
      </c>
      <c r="R265" s="1715">
        <f t="shared" si="39"/>
        <v>96300</v>
      </c>
      <c r="S265" s="1715">
        <f t="shared" si="38"/>
        <v>100</v>
      </c>
      <c r="T265" s="1715"/>
      <c r="U265" s="1715">
        <f t="shared" si="40"/>
        <v>0</v>
      </c>
      <c r="V265" s="2658"/>
    </row>
    <row r="266" spans="1:22" s="1041" customFormat="1" ht="109.5" customHeight="1">
      <c r="A266" s="2658">
        <v>8</v>
      </c>
      <c r="B266" s="2735" t="s">
        <v>5118</v>
      </c>
      <c r="C266" s="2740" t="s">
        <v>4709</v>
      </c>
      <c r="D266" s="2741"/>
      <c r="E266" s="2742" t="s">
        <v>559</v>
      </c>
      <c r="F266" s="2738"/>
      <c r="G266" s="2738">
        <v>104000</v>
      </c>
      <c r="H266" s="2738"/>
      <c r="I266" s="2738"/>
      <c r="J266" s="2738"/>
      <c r="K266" s="2738"/>
      <c r="L266" s="2743">
        <v>12.87</v>
      </c>
      <c r="M266" s="2738">
        <f>'[10]NFMA46 '!I277-L266</f>
        <v>103987.13</v>
      </c>
      <c r="N266" s="2738">
        <f>'[10]NFMA46 '!L277</f>
        <v>103987.13</v>
      </c>
      <c r="O266" s="2738">
        <f t="shared" si="36"/>
        <v>100</v>
      </c>
      <c r="P266" s="2739">
        <f>'[10]NFMA46 '!K277</f>
        <v>0</v>
      </c>
      <c r="Q266" s="1715">
        <f t="shared" si="37"/>
        <v>0</v>
      </c>
      <c r="R266" s="1715">
        <f t="shared" si="39"/>
        <v>103987.13</v>
      </c>
      <c r="S266" s="1715">
        <f t="shared" si="38"/>
        <v>100</v>
      </c>
      <c r="T266" s="1715"/>
      <c r="U266" s="1715">
        <f t="shared" si="40"/>
        <v>0</v>
      </c>
      <c r="V266" s="2658"/>
    </row>
    <row r="267" spans="1:22" s="1041" customFormat="1" ht="109.5" customHeight="1">
      <c r="A267" s="2658">
        <v>9</v>
      </c>
      <c r="B267" s="2735" t="s">
        <v>5863</v>
      </c>
      <c r="C267" s="2740" t="s">
        <v>4710</v>
      </c>
      <c r="D267" s="2741"/>
      <c r="E267" s="2742" t="s">
        <v>559</v>
      </c>
      <c r="F267" s="2738"/>
      <c r="G267" s="2738">
        <v>416000</v>
      </c>
      <c r="H267" s="2738"/>
      <c r="I267" s="2738"/>
      <c r="J267" s="2738"/>
      <c r="K267" s="2738"/>
      <c r="L267" s="2743"/>
      <c r="M267" s="2738">
        <f>'[10]NFMA46 '!I278</f>
        <v>416000</v>
      </c>
      <c r="N267" s="2738">
        <f>'[10]NFMA46 '!L278</f>
        <v>416000</v>
      </c>
      <c r="O267" s="2738">
        <f t="shared" si="36"/>
        <v>100</v>
      </c>
      <c r="P267" s="2739">
        <f>'[10]NFMA46 '!K278</f>
        <v>0</v>
      </c>
      <c r="Q267" s="1715">
        <f t="shared" si="37"/>
        <v>0</v>
      </c>
      <c r="R267" s="1715">
        <f t="shared" si="39"/>
        <v>416000</v>
      </c>
      <c r="S267" s="1715">
        <f t="shared" si="38"/>
        <v>100</v>
      </c>
      <c r="T267" s="1715"/>
      <c r="U267" s="1715">
        <f t="shared" si="40"/>
        <v>0</v>
      </c>
      <c r="V267" s="2658"/>
    </row>
    <row r="268" spans="1:22" s="1041" customFormat="1" ht="109.5" customHeight="1">
      <c r="A268" s="2658">
        <v>10</v>
      </c>
      <c r="B268" s="2735" t="s">
        <v>5144</v>
      </c>
      <c r="C268" s="2740" t="s">
        <v>4711</v>
      </c>
      <c r="D268" s="2741"/>
      <c r="E268" s="2742" t="s">
        <v>554</v>
      </c>
      <c r="F268" s="2738"/>
      <c r="G268" s="2738">
        <v>104000</v>
      </c>
      <c r="H268" s="2738"/>
      <c r="I268" s="2738"/>
      <c r="J268" s="2738">
        <v>9000</v>
      </c>
      <c r="K268" s="2738"/>
      <c r="L268" s="2743">
        <v>769.87</v>
      </c>
      <c r="M268" s="2738">
        <f>'[10]NFMA46 '!I280-L268</f>
        <v>94230.13</v>
      </c>
      <c r="N268" s="2738">
        <f>'[10]NFMA46 '!L280</f>
        <v>0</v>
      </c>
      <c r="O268" s="2738">
        <f t="shared" si="36"/>
        <v>0</v>
      </c>
      <c r="P268" s="2739">
        <f>'[10]NFMA46 '!K280</f>
        <v>0</v>
      </c>
      <c r="Q268" s="1715">
        <f t="shared" si="37"/>
        <v>0</v>
      </c>
      <c r="R268" s="1715">
        <f t="shared" si="39"/>
        <v>0</v>
      </c>
      <c r="S268" s="1715">
        <f t="shared" si="38"/>
        <v>0</v>
      </c>
      <c r="T268" s="1715"/>
      <c r="U268" s="1715">
        <f>M268-R268</f>
        <v>94230.13</v>
      </c>
      <c r="V268" s="2658"/>
    </row>
    <row r="269" spans="1:22" s="1041" customFormat="1" ht="109.5" customHeight="1">
      <c r="A269" s="2658">
        <v>11</v>
      </c>
      <c r="B269" s="2735" t="s">
        <v>5155</v>
      </c>
      <c r="C269" s="2740" t="s">
        <v>4712</v>
      </c>
      <c r="D269" s="2741"/>
      <c r="E269" s="2742" t="s">
        <v>554</v>
      </c>
      <c r="F269" s="2738"/>
      <c r="G269" s="2738">
        <v>104000</v>
      </c>
      <c r="H269" s="2738"/>
      <c r="I269" s="2738"/>
      <c r="J269" s="2738">
        <v>2328</v>
      </c>
      <c r="K269" s="2738"/>
      <c r="L269" s="2743"/>
      <c r="M269" s="2738">
        <f>'[10]NFMA46 '!I281</f>
        <v>101672</v>
      </c>
      <c r="N269" s="2738">
        <f>'[10]NFMA46 '!L281</f>
        <v>0</v>
      </c>
      <c r="O269" s="2738">
        <f t="shared" si="36"/>
        <v>0</v>
      </c>
      <c r="P269" s="2739">
        <f>'[10]NFMA46 '!K281</f>
        <v>97094</v>
      </c>
      <c r="Q269" s="1715">
        <f t="shared" si="37"/>
        <v>95.497285388307489</v>
      </c>
      <c r="R269" s="1715">
        <f t="shared" si="39"/>
        <v>97094</v>
      </c>
      <c r="S269" s="1715">
        <f t="shared" si="38"/>
        <v>95.497285388307489</v>
      </c>
      <c r="T269" s="1715"/>
      <c r="U269" s="1715">
        <f t="shared" si="40"/>
        <v>4578</v>
      </c>
      <c r="V269" s="2658"/>
    </row>
    <row r="270" spans="1:22" s="1041" customFormat="1" ht="109.5" customHeight="1">
      <c r="A270" s="2658">
        <v>12</v>
      </c>
      <c r="B270" s="2735" t="s">
        <v>5133</v>
      </c>
      <c r="C270" s="2740" t="s">
        <v>4713</v>
      </c>
      <c r="D270" s="2741"/>
      <c r="E270" s="2742" t="s">
        <v>554</v>
      </c>
      <c r="F270" s="2738"/>
      <c r="G270" s="2738">
        <v>208000</v>
      </c>
      <c r="H270" s="2738"/>
      <c r="I270" s="2738"/>
      <c r="J270" s="2738">
        <v>9000</v>
      </c>
      <c r="K270" s="2738"/>
      <c r="L270" s="2743">
        <v>45000</v>
      </c>
      <c r="M270" s="2738">
        <f>'[10]NFMA46 '!I282-L270</f>
        <v>154000</v>
      </c>
      <c r="N270" s="2738">
        <f>'[10]NFMA46 '!L282</f>
        <v>154000</v>
      </c>
      <c r="O270" s="2738">
        <f t="shared" si="36"/>
        <v>100</v>
      </c>
      <c r="P270" s="2739">
        <f>'[10]NFMA46 '!K282</f>
        <v>0</v>
      </c>
      <c r="Q270" s="1715">
        <f t="shared" si="37"/>
        <v>0</v>
      </c>
      <c r="R270" s="1715">
        <f t="shared" si="39"/>
        <v>154000</v>
      </c>
      <c r="S270" s="1715">
        <f t="shared" si="38"/>
        <v>100</v>
      </c>
      <c r="T270" s="1715"/>
      <c r="U270" s="1715">
        <f t="shared" si="40"/>
        <v>0</v>
      </c>
      <c r="V270" s="2658"/>
    </row>
    <row r="271" spans="1:22" s="1041" customFormat="1" ht="109.5" customHeight="1">
      <c r="A271" s="2658">
        <v>13</v>
      </c>
      <c r="B271" s="2735" t="s">
        <v>5156</v>
      </c>
      <c r="C271" s="2740" t="s">
        <v>4714</v>
      </c>
      <c r="D271" s="2741"/>
      <c r="E271" s="2742" t="s">
        <v>554</v>
      </c>
      <c r="F271" s="2738"/>
      <c r="G271" s="2738">
        <v>624000</v>
      </c>
      <c r="H271" s="2738"/>
      <c r="I271" s="2738"/>
      <c r="J271" s="2738"/>
      <c r="K271" s="2738"/>
      <c r="L271" s="2743"/>
      <c r="M271" s="2738">
        <f>'[10]NFMA46 '!I283</f>
        <v>624000</v>
      </c>
      <c r="N271" s="2738">
        <f>'[10]NFMA46 '!L283</f>
        <v>598500</v>
      </c>
      <c r="O271" s="2738">
        <f t="shared" si="36"/>
        <v>95.913461538461547</v>
      </c>
      <c r="P271" s="2739">
        <f>'[10]NFMA46 '!K283</f>
        <v>0</v>
      </c>
      <c r="Q271" s="1715">
        <f t="shared" si="37"/>
        <v>0</v>
      </c>
      <c r="R271" s="1715">
        <f t="shared" si="39"/>
        <v>598500</v>
      </c>
      <c r="S271" s="1715">
        <f t="shared" si="38"/>
        <v>95.913461538461547</v>
      </c>
      <c r="T271" s="1715"/>
      <c r="U271" s="1715">
        <f t="shared" si="40"/>
        <v>25500</v>
      </c>
      <c r="V271" s="2658"/>
    </row>
    <row r="272" spans="1:22" s="1041" customFormat="1" ht="109.5" customHeight="1">
      <c r="A272" s="2658">
        <v>14</v>
      </c>
      <c r="B272" s="2735" t="s">
        <v>5141</v>
      </c>
      <c r="C272" s="2740" t="s">
        <v>4715</v>
      </c>
      <c r="D272" s="2741"/>
      <c r="E272" s="2742" t="s">
        <v>554</v>
      </c>
      <c r="F272" s="2738"/>
      <c r="G272" s="2738">
        <v>104000</v>
      </c>
      <c r="H272" s="2738"/>
      <c r="I272" s="2738"/>
      <c r="J272" s="2738">
        <v>9000</v>
      </c>
      <c r="K272" s="2738"/>
      <c r="L272" s="2743">
        <v>13950</v>
      </c>
      <c r="M272" s="2738">
        <f>'[10]NFMA46 '!I284-L272</f>
        <v>81050</v>
      </c>
      <c r="N272" s="2738">
        <f>'[10]NFMA46 '!L284</f>
        <v>0</v>
      </c>
      <c r="O272" s="2738">
        <f t="shared" si="36"/>
        <v>0</v>
      </c>
      <c r="P272" s="2739">
        <f>'[10]NFMA46 '!K284</f>
        <v>81050</v>
      </c>
      <c r="Q272" s="1715">
        <f t="shared" si="37"/>
        <v>100</v>
      </c>
      <c r="R272" s="1715">
        <f t="shared" si="39"/>
        <v>81050</v>
      </c>
      <c r="S272" s="1715">
        <f t="shared" si="38"/>
        <v>100</v>
      </c>
      <c r="T272" s="1715"/>
      <c r="U272" s="1715">
        <f t="shared" si="40"/>
        <v>0</v>
      </c>
      <c r="V272" s="2658"/>
    </row>
    <row r="273" spans="1:22" s="1041" customFormat="1" ht="109.5" customHeight="1">
      <c r="A273" s="2658">
        <v>15</v>
      </c>
      <c r="B273" s="2735" t="s">
        <v>5146</v>
      </c>
      <c r="C273" s="2740" t="s">
        <v>4716</v>
      </c>
      <c r="D273" s="2741"/>
      <c r="E273" s="2742" t="s">
        <v>554</v>
      </c>
      <c r="F273" s="2738"/>
      <c r="G273" s="2738">
        <v>208000</v>
      </c>
      <c r="H273" s="2738"/>
      <c r="I273" s="2738"/>
      <c r="J273" s="2738">
        <v>4727</v>
      </c>
      <c r="K273" s="2738"/>
      <c r="L273" s="2743"/>
      <c r="M273" s="2738">
        <f>'[10]NFMA46 '!I285</f>
        <v>203273</v>
      </c>
      <c r="N273" s="2738">
        <f>'[10]NFMA46 '!L285</f>
        <v>203273</v>
      </c>
      <c r="O273" s="2738">
        <f t="shared" si="36"/>
        <v>100</v>
      </c>
      <c r="P273" s="2739">
        <f>'[10]NFMA46 '!K285</f>
        <v>0</v>
      </c>
      <c r="Q273" s="1715">
        <f t="shared" si="37"/>
        <v>0</v>
      </c>
      <c r="R273" s="1715">
        <f t="shared" si="39"/>
        <v>203273</v>
      </c>
      <c r="S273" s="1715">
        <f t="shared" si="38"/>
        <v>100</v>
      </c>
      <c r="T273" s="1715"/>
      <c r="U273" s="1872">
        <f t="shared" si="40"/>
        <v>0</v>
      </c>
      <c r="V273" s="2658"/>
    </row>
    <row r="274" spans="1:22" s="1041" customFormat="1" ht="109.5" customHeight="1">
      <c r="A274" s="2658">
        <v>16</v>
      </c>
      <c r="B274" s="2735" t="s">
        <v>5125</v>
      </c>
      <c r="C274" s="2740" t="s">
        <v>4718</v>
      </c>
      <c r="D274" s="2741"/>
      <c r="E274" s="2742" t="s">
        <v>554</v>
      </c>
      <c r="F274" s="2738"/>
      <c r="G274" s="2738">
        <v>312000</v>
      </c>
      <c r="H274" s="2738"/>
      <c r="I274" s="2738"/>
      <c r="J274" s="2738">
        <v>7200</v>
      </c>
      <c r="K274" s="2738"/>
      <c r="L274" s="2743"/>
      <c r="M274" s="2738">
        <f>'[10]NFMA46 '!I286</f>
        <v>304800</v>
      </c>
      <c r="N274" s="2738">
        <f>'[10]NFMA46 '!L286</f>
        <v>101600</v>
      </c>
      <c r="O274" s="2738">
        <f t="shared" si="36"/>
        <v>33.333333333333329</v>
      </c>
      <c r="P274" s="2739">
        <f>'[10]NFMA46 '!K286</f>
        <v>203200</v>
      </c>
      <c r="Q274" s="1715">
        <f t="shared" si="37"/>
        <v>66.666666666666657</v>
      </c>
      <c r="R274" s="1715">
        <f t="shared" si="39"/>
        <v>304800</v>
      </c>
      <c r="S274" s="1715">
        <f t="shared" si="38"/>
        <v>100</v>
      </c>
      <c r="T274" s="1715"/>
      <c r="U274" s="1872">
        <f t="shared" si="40"/>
        <v>0</v>
      </c>
      <c r="V274" s="2658"/>
    </row>
    <row r="275" spans="1:22" s="1041" customFormat="1" ht="109.5" customHeight="1">
      <c r="A275" s="2658">
        <v>17</v>
      </c>
      <c r="B275" s="2735" t="s">
        <v>5151</v>
      </c>
      <c r="C275" s="2740" t="s">
        <v>5412</v>
      </c>
      <c r="D275" s="2741"/>
      <c r="E275" s="2742" t="s">
        <v>554</v>
      </c>
      <c r="F275" s="2738"/>
      <c r="G275" s="2738">
        <v>832000</v>
      </c>
      <c r="H275" s="2738"/>
      <c r="I275" s="2738"/>
      <c r="J275" s="2738">
        <v>19200</v>
      </c>
      <c r="K275" s="2738"/>
      <c r="L275" s="2743"/>
      <c r="M275" s="2738">
        <f>'[10]NFMA46 '!I288</f>
        <v>812800</v>
      </c>
      <c r="N275" s="2738">
        <f>'[10]NFMA46 '!L288</f>
        <v>781803</v>
      </c>
      <c r="O275" s="2738">
        <f t="shared" si="36"/>
        <v>96.186392716535423</v>
      </c>
      <c r="P275" s="2739">
        <f>'[10]NFMA46 '!K288</f>
        <v>0</v>
      </c>
      <c r="Q275" s="1715">
        <f t="shared" si="37"/>
        <v>0</v>
      </c>
      <c r="R275" s="1715">
        <f t="shared" si="39"/>
        <v>781803</v>
      </c>
      <c r="S275" s="1715">
        <f t="shared" si="38"/>
        <v>96.186392716535423</v>
      </c>
      <c r="T275" s="1715"/>
      <c r="U275" s="1715">
        <f t="shared" si="40"/>
        <v>30997</v>
      </c>
      <c r="V275" s="2658"/>
    </row>
    <row r="276" spans="1:22" s="1041" customFormat="1" ht="109.5" customHeight="1">
      <c r="A276" s="2658">
        <v>18</v>
      </c>
      <c r="B276" s="2735" t="s">
        <v>5123</v>
      </c>
      <c r="C276" s="2740" t="s">
        <v>4720</v>
      </c>
      <c r="D276" s="2741"/>
      <c r="E276" s="2742" t="s">
        <v>554</v>
      </c>
      <c r="F276" s="2738"/>
      <c r="G276" s="2738">
        <v>104000</v>
      </c>
      <c r="H276" s="2738"/>
      <c r="I276" s="2738"/>
      <c r="J276" s="2738">
        <v>5300</v>
      </c>
      <c r="K276" s="2738"/>
      <c r="L276" s="2743"/>
      <c r="M276" s="2738">
        <f>'[10]NFMA46 '!I289</f>
        <v>98700</v>
      </c>
      <c r="N276" s="2738">
        <f>'[10]NFMA46 '!L289</f>
        <v>0</v>
      </c>
      <c r="O276" s="2738">
        <f t="shared" si="36"/>
        <v>0</v>
      </c>
      <c r="P276" s="2739">
        <f>'[10]NFMA46 '!K289</f>
        <v>98700</v>
      </c>
      <c r="Q276" s="1715">
        <f t="shared" si="37"/>
        <v>100</v>
      </c>
      <c r="R276" s="1715">
        <f t="shared" si="39"/>
        <v>98700</v>
      </c>
      <c r="S276" s="1715">
        <f t="shared" si="38"/>
        <v>100</v>
      </c>
      <c r="T276" s="1715"/>
      <c r="U276" s="1715">
        <f t="shared" si="40"/>
        <v>0</v>
      </c>
      <c r="V276" s="2658"/>
    </row>
    <row r="277" spans="1:22" s="1041" customFormat="1" ht="109.5" customHeight="1">
      <c r="A277" s="2658">
        <v>19</v>
      </c>
      <c r="B277" s="2735" t="s">
        <v>5148</v>
      </c>
      <c r="C277" s="2740" t="s">
        <v>4722</v>
      </c>
      <c r="D277" s="2741"/>
      <c r="E277" s="2742" t="s">
        <v>554</v>
      </c>
      <c r="F277" s="2738"/>
      <c r="G277" s="2738">
        <v>312000</v>
      </c>
      <c r="H277" s="2738"/>
      <c r="I277" s="2738"/>
      <c r="J277" s="2738"/>
      <c r="K277" s="2738"/>
      <c r="L277" s="2743">
        <v>14392</v>
      </c>
      <c r="M277" s="2738">
        <f>'[10]NFMA46 '!I290-L277</f>
        <v>297608</v>
      </c>
      <c r="N277" s="2738">
        <f>'[10]NFMA46 '!L290</f>
        <v>0</v>
      </c>
      <c r="O277" s="2738">
        <f t="shared" si="36"/>
        <v>0</v>
      </c>
      <c r="P277" s="2739">
        <f>'[10]NFMA46 '!K290</f>
        <v>0</v>
      </c>
      <c r="Q277" s="1715">
        <f t="shared" si="37"/>
        <v>0</v>
      </c>
      <c r="R277" s="1715">
        <f t="shared" si="39"/>
        <v>0</v>
      </c>
      <c r="S277" s="1715">
        <f t="shared" si="38"/>
        <v>0</v>
      </c>
      <c r="T277" s="1715"/>
      <c r="U277" s="1715">
        <f t="shared" si="40"/>
        <v>297608</v>
      </c>
      <c r="V277" s="2658"/>
    </row>
    <row r="278" spans="1:22" s="1041" customFormat="1" ht="109.5" customHeight="1">
      <c r="A278" s="2658">
        <v>20</v>
      </c>
      <c r="B278" s="2735" t="s">
        <v>5129</v>
      </c>
      <c r="C278" s="2740" t="s">
        <v>4724</v>
      </c>
      <c r="D278" s="2741"/>
      <c r="E278" s="2742" t="s">
        <v>554</v>
      </c>
      <c r="F278" s="2738"/>
      <c r="G278" s="2738">
        <v>104000</v>
      </c>
      <c r="H278" s="2738"/>
      <c r="I278" s="2738"/>
      <c r="J278" s="2738">
        <v>9000</v>
      </c>
      <c r="K278" s="2738"/>
      <c r="L278" s="2743">
        <v>145</v>
      </c>
      <c r="M278" s="2738">
        <f>'[10]NFMA46 '!I291-L278</f>
        <v>94855</v>
      </c>
      <c r="N278" s="2738">
        <f>'[10]NFMA46 '!L291</f>
        <v>94855</v>
      </c>
      <c r="O278" s="2738">
        <f t="shared" si="36"/>
        <v>100</v>
      </c>
      <c r="P278" s="2739">
        <f>'[10]NFMA46 '!K291</f>
        <v>0</v>
      </c>
      <c r="Q278" s="1715">
        <f t="shared" si="37"/>
        <v>0</v>
      </c>
      <c r="R278" s="1715">
        <f t="shared" si="39"/>
        <v>94855</v>
      </c>
      <c r="S278" s="1715">
        <f t="shared" si="38"/>
        <v>100</v>
      </c>
      <c r="T278" s="1715"/>
      <c r="U278" s="1715">
        <f t="shared" si="40"/>
        <v>0</v>
      </c>
      <c r="V278" s="2658"/>
    </row>
    <row r="279" spans="1:22" s="1041" customFormat="1" ht="109.5" customHeight="1">
      <c r="A279" s="2658">
        <v>21</v>
      </c>
      <c r="B279" s="2735" t="s">
        <v>5138</v>
      </c>
      <c r="C279" s="2740" t="s">
        <v>4725</v>
      </c>
      <c r="D279" s="2741"/>
      <c r="E279" s="2742" t="s">
        <v>554</v>
      </c>
      <c r="F279" s="2738"/>
      <c r="G279" s="2738">
        <v>208000</v>
      </c>
      <c r="H279" s="2738"/>
      <c r="I279" s="2738"/>
      <c r="J279" s="2738">
        <v>9000</v>
      </c>
      <c r="K279" s="2738"/>
      <c r="L279" s="2743">
        <v>17200</v>
      </c>
      <c r="M279" s="2738">
        <f>'[10]NFMA46 '!I292-L279</f>
        <v>181800</v>
      </c>
      <c r="N279" s="2738">
        <f>'[10]NFMA46 '!L292</f>
        <v>169000</v>
      </c>
      <c r="O279" s="2738">
        <f t="shared" si="36"/>
        <v>92.959295929592955</v>
      </c>
      <c r="P279" s="2739">
        <f>'[10]NFMA46 '!K292</f>
        <v>0</v>
      </c>
      <c r="Q279" s="1715">
        <f t="shared" si="37"/>
        <v>0</v>
      </c>
      <c r="R279" s="1715">
        <f t="shared" si="39"/>
        <v>169000</v>
      </c>
      <c r="S279" s="1715">
        <f t="shared" si="38"/>
        <v>92.959295929592955</v>
      </c>
      <c r="T279" s="1715"/>
      <c r="U279" s="1715">
        <f t="shared" si="40"/>
        <v>12800</v>
      </c>
      <c r="V279" s="2658"/>
    </row>
    <row r="280" spans="1:22" s="1041" customFormat="1" ht="109.5" customHeight="1">
      <c r="A280" s="2658">
        <v>22</v>
      </c>
      <c r="B280" s="2735" t="s">
        <v>5153</v>
      </c>
      <c r="C280" s="2740" t="s">
        <v>4726</v>
      </c>
      <c r="D280" s="2741"/>
      <c r="E280" s="2742" t="s">
        <v>554</v>
      </c>
      <c r="F280" s="2738"/>
      <c r="G280" s="2738">
        <v>208000</v>
      </c>
      <c r="H280" s="2738"/>
      <c r="I280" s="2738"/>
      <c r="J280" s="2738"/>
      <c r="K280" s="2738"/>
      <c r="L280" s="2743">
        <v>104000</v>
      </c>
      <c r="M280" s="2738">
        <f>'[10]NFMA46 '!I293-L280</f>
        <v>104000</v>
      </c>
      <c r="N280" s="2738">
        <f>'[10]NFMA46 '!L293</f>
        <v>104000</v>
      </c>
      <c r="O280" s="2738">
        <f t="shared" si="36"/>
        <v>100</v>
      </c>
      <c r="P280" s="2739">
        <f>'[10]NFMA46 '!K293</f>
        <v>0</v>
      </c>
      <c r="Q280" s="1715">
        <f t="shared" si="37"/>
        <v>0</v>
      </c>
      <c r="R280" s="1715">
        <f t="shared" si="39"/>
        <v>104000</v>
      </c>
      <c r="S280" s="1715">
        <f t="shared" si="38"/>
        <v>100</v>
      </c>
      <c r="T280" s="1715"/>
      <c r="U280" s="1715">
        <f t="shared" si="40"/>
        <v>0</v>
      </c>
      <c r="V280" s="2658"/>
    </row>
    <row r="281" spans="1:22" s="1041" customFormat="1" ht="109.5" customHeight="1">
      <c r="A281" s="2658">
        <v>23</v>
      </c>
      <c r="B281" s="2735" t="s">
        <v>5864</v>
      </c>
      <c r="C281" s="2740" t="s">
        <v>4727</v>
      </c>
      <c r="D281" s="2741"/>
      <c r="E281" s="2742" t="s">
        <v>2959</v>
      </c>
      <c r="F281" s="2738"/>
      <c r="G281" s="2738">
        <v>104000</v>
      </c>
      <c r="H281" s="2738"/>
      <c r="I281" s="2738"/>
      <c r="J281" s="2738"/>
      <c r="K281" s="2738"/>
      <c r="L281" s="2743">
        <v>104000</v>
      </c>
      <c r="M281" s="2738">
        <f>'[10]NFMA46 '!I294-L281</f>
        <v>0</v>
      </c>
      <c r="N281" s="2738">
        <f>'[10]NFMA46 '!L294</f>
        <v>0</v>
      </c>
      <c r="O281" s="2738" t="e">
        <f t="shared" si="36"/>
        <v>#DIV/0!</v>
      </c>
      <c r="P281" s="2739">
        <f>'[10]NFMA46 '!K294</f>
        <v>0</v>
      </c>
      <c r="Q281" s="1715" t="e">
        <f t="shared" si="37"/>
        <v>#DIV/0!</v>
      </c>
      <c r="R281" s="1715">
        <f t="shared" si="39"/>
        <v>0</v>
      </c>
      <c r="S281" s="1715" t="e">
        <f t="shared" si="38"/>
        <v>#DIV/0!</v>
      </c>
      <c r="T281" s="1715"/>
      <c r="U281" s="1715">
        <f t="shared" si="40"/>
        <v>0</v>
      </c>
      <c r="V281" s="2658"/>
    </row>
    <row r="282" spans="1:22" s="1041" customFormat="1" ht="109.5" customHeight="1">
      <c r="A282" s="2658">
        <v>24</v>
      </c>
      <c r="B282" s="2735" t="s">
        <v>5865</v>
      </c>
      <c r="C282" s="2740" t="s">
        <v>4728</v>
      </c>
      <c r="D282" s="2741"/>
      <c r="E282" s="2742" t="s">
        <v>545</v>
      </c>
      <c r="F282" s="2738"/>
      <c r="G282" s="2738">
        <v>104000</v>
      </c>
      <c r="H282" s="2738"/>
      <c r="I282" s="2738"/>
      <c r="J282" s="2738"/>
      <c r="K282" s="2738"/>
      <c r="L282" s="2743">
        <v>61170</v>
      </c>
      <c r="M282" s="2738">
        <f>'[10]NFMA46 '!I295-L282</f>
        <v>42830</v>
      </c>
      <c r="N282" s="2738">
        <f>'[10]NFMA46 '!L295</f>
        <v>42830</v>
      </c>
      <c r="O282" s="2738">
        <f t="shared" si="36"/>
        <v>100</v>
      </c>
      <c r="P282" s="2739">
        <f>'[10]NFMA46 '!K295</f>
        <v>0</v>
      </c>
      <c r="Q282" s="1715">
        <f t="shared" si="37"/>
        <v>0</v>
      </c>
      <c r="R282" s="1715">
        <f t="shared" si="39"/>
        <v>42830</v>
      </c>
      <c r="S282" s="1715">
        <f t="shared" si="38"/>
        <v>100</v>
      </c>
      <c r="T282" s="1715"/>
      <c r="U282" s="1715">
        <f t="shared" si="40"/>
        <v>0</v>
      </c>
      <c r="V282" s="2658"/>
    </row>
    <row r="283" spans="1:22" s="1041" customFormat="1" ht="109.5" customHeight="1">
      <c r="A283" s="2658">
        <v>25</v>
      </c>
      <c r="B283" s="2735" t="s">
        <v>5866</v>
      </c>
      <c r="C283" s="2740" t="s">
        <v>4729</v>
      </c>
      <c r="D283" s="2741"/>
      <c r="E283" s="2742" t="s">
        <v>1180</v>
      </c>
      <c r="F283" s="2738"/>
      <c r="G283" s="2738">
        <v>104000</v>
      </c>
      <c r="H283" s="2738"/>
      <c r="I283" s="2738"/>
      <c r="J283" s="2738"/>
      <c r="K283" s="2738"/>
      <c r="L283" s="2743"/>
      <c r="M283" s="2738">
        <f>'[10]NFMA46 '!I296</f>
        <v>104000</v>
      </c>
      <c r="N283" s="2738">
        <f>'[10]NFMA46 '!L296</f>
        <v>104000</v>
      </c>
      <c r="O283" s="2738">
        <f t="shared" si="36"/>
        <v>100</v>
      </c>
      <c r="P283" s="2739">
        <f>'[10]NFMA46 '!K296</f>
        <v>0</v>
      </c>
      <c r="Q283" s="1715">
        <f t="shared" si="37"/>
        <v>0</v>
      </c>
      <c r="R283" s="1715">
        <f t="shared" si="39"/>
        <v>104000</v>
      </c>
      <c r="S283" s="1715">
        <f t="shared" si="38"/>
        <v>100</v>
      </c>
      <c r="T283" s="1715"/>
      <c r="U283" s="1715">
        <f t="shared" si="40"/>
        <v>0</v>
      </c>
      <c r="V283" s="2658"/>
    </row>
    <row r="284" spans="1:22" s="1041" customFormat="1" ht="109.5" customHeight="1">
      <c r="A284" s="2658">
        <v>26</v>
      </c>
      <c r="B284" s="2735" t="s">
        <v>5867</v>
      </c>
      <c r="C284" s="2740" t="s">
        <v>4731</v>
      </c>
      <c r="D284" s="2741"/>
      <c r="E284" s="2742" t="s">
        <v>542</v>
      </c>
      <c r="F284" s="2738"/>
      <c r="G284" s="2738">
        <v>104000</v>
      </c>
      <c r="H284" s="2738"/>
      <c r="I284" s="2738"/>
      <c r="J284" s="2738"/>
      <c r="K284" s="2738"/>
      <c r="L284" s="2743"/>
      <c r="M284" s="2738">
        <f>'[10]NFMA46 '!I297</f>
        <v>104000</v>
      </c>
      <c r="N284" s="2738">
        <f>'[10]NFMA46 '!L297</f>
        <v>0</v>
      </c>
      <c r="O284" s="2738">
        <f t="shared" si="36"/>
        <v>0</v>
      </c>
      <c r="P284" s="2739">
        <f>'[10]NFMA46 '!K297</f>
        <v>104000</v>
      </c>
      <c r="Q284" s="1715">
        <f t="shared" si="37"/>
        <v>100</v>
      </c>
      <c r="R284" s="1715">
        <f t="shared" si="39"/>
        <v>104000</v>
      </c>
      <c r="S284" s="1715">
        <f t="shared" si="38"/>
        <v>100</v>
      </c>
      <c r="T284" s="1715"/>
      <c r="U284" s="1715">
        <f t="shared" si="40"/>
        <v>0</v>
      </c>
      <c r="V284" s="2658"/>
    </row>
    <row r="285" spans="1:22" s="1041" customFormat="1" ht="109.5" customHeight="1">
      <c r="A285" s="2658">
        <v>27</v>
      </c>
      <c r="B285" s="2735" t="s">
        <v>5164</v>
      </c>
      <c r="C285" s="2740" t="s">
        <v>4732</v>
      </c>
      <c r="D285" s="2741"/>
      <c r="E285" s="2742" t="s">
        <v>542</v>
      </c>
      <c r="F285" s="2738"/>
      <c r="G285" s="2738">
        <v>104000</v>
      </c>
      <c r="H285" s="2738"/>
      <c r="I285" s="2738"/>
      <c r="J285" s="2738"/>
      <c r="K285" s="2738"/>
      <c r="L285" s="2743">
        <v>104000</v>
      </c>
      <c r="M285" s="2738">
        <f>'[10]NFMA46 '!I298-L285</f>
        <v>0</v>
      </c>
      <c r="N285" s="2738">
        <f>'[10]NFMA46 '!L298</f>
        <v>0</v>
      </c>
      <c r="O285" s="2738" t="e">
        <f t="shared" si="36"/>
        <v>#DIV/0!</v>
      </c>
      <c r="P285" s="2739">
        <f>'[10]NFMA46 '!K298</f>
        <v>0</v>
      </c>
      <c r="Q285" s="1715" t="e">
        <f t="shared" si="37"/>
        <v>#DIV/0!</v>
      </c>
      <c r="R285" s="1715">
        <f t="shared" si="39"/>
        <v>0</v>
      </c>
      <c r="S285" s="1715" t="e">
        <f t="shared" si="38"/>
        <v>#DIV/0!</v>
      </c>
      <c r="T285" s="1715"/>
      <c r="U285" s="1715">
        <f t="shared" si="40"/>
        <v>0</v>
      </c>
      <c r="V285" s="2658"/>
    </row>
    <row r="286" spans="1:22" s="1041" customFormat="1" ht="109.5" customHeight="1">
      <c r="A286" s="2658">
        <v>28</v>
      </c>
      <c r="B286" s="2735" t="s">
        <v>5168</v>
      </c>
      <c r="C286" s="2740" t="s">
        <v>4733</v>
      </c>
      <c r="D286" s="2741"/>
      <c r="E286" s="2742" t="s">
        <v>1182</v>
      </c>
      <c r="F286" s="2738"/>
      <c r="G286" s="2738">
        <v>312000</v>
      </c>
      <c r="H286" s="2738"/>
      <c r="I286" s="2738"/>
      <c r="J286" s="2738"/>
      <c r="K286" s="2738"/>
      <c r="L286" s="2743"/>
      <c r="M286" s="2738">
        <f>'[10]NFMA46 '!I299</f>
        <v>312000</v>
      </c>
      <c r="N286" s="2738">
        <f>'[10]NFMA46 '!L299</f>
        <v>312000</v>
      </c>
      <c r="O286" s="2738">
        <f t="shared" si="36"/>
        <v>100</v>
      </c>
      <c r="P286" s="2739">
        <f>'[10]NFMA46 '!K299</f>
        <v>0</v>
      </c>
      <c r="Q286" s="1715">
        <f t="shared" si="37"/>
        <v>0</v>
      </c>
      <c r="R286" s="1715">
        <f t="shared" si="39"/>
        <v>312000</v>
      </c>
      <c r="S286" s="1715">
        <f t="shared" si="38"/>
        <v>100</v>
      </c>
      <c r="T286" s="1715"/>
      <c r="U286" s="1715">
        <f t="shared" si="40"/>
        <v>0</v>
      </c>
      <c r="V286" s="2658"/>
    </row>
    <row r="287" spans="1:22" s="1041" customFormat="1" ht="109.5" customHeight="1">
      <c r="A287" s="2658">
        <v>29</v>
      </c>
      <c r="B287" s="2735" t="s">
        <v>5868</v>
      </c>
      <c r="C287" s="2740" t="s">
        <v>4734</v>
      </c>
      <c r="D287" s="2741"/>
      <c r="E287" s="2742" t="s">
        <v>1182</v>
      </c>
      <c r="F287" s="2738"/>
      <c r="G287" s="2738">
        <v>208000</v>
      </c>
      <c r="H287" s="2738"/>
      <c r="I287" s="2738"/>
      <c r="J287" s="2738"/>
      <c r="K287" s="2738"/>
      <c r="L287" s="2743"/>
      <c r="M287" s="2738">
        <f>'[10]NFMA46 '!I300</f>
        <v>208000</v>
      </c>
      <c r="N287" s="2738">
        <f>'[10]NFMA46 '!L300</f>
        <v>208000</v>
      </c>
      <c r="O287" s="2738">
        <f t="shared" si="36"/>
        <v>100</v>
      </c>
      <c r="P287" s="2739">
        <f>'[10]NFMA46 '!K300</f>
        <v>0</v>
      </c>
      <c r="Q287" s="1715">
        <f t="shared" si="37"/>
        <v>0</v>
      </c>
      <c r="R287" s="1715">
        <f t="shared" si="39"/>
        <v>208000</v>
      </c>
      <c r="S287" s="1715">
        <f t="shared" si="38"/>
        <v>100</v>
      </c>
      <c r="T287" s="1715"/>
      <c r="U287" s="1715">
        <f t="shared" si="40"/>
        <v>0</v>
      </c>
      <c r="V287" s="2658"/>
    </row>
    <row r="288" spans="1:22" s="1041" customFormat="1" ht="109.5" customHeight="1">
      <c r="A288" s="2658">
        <v>30</v>
      </c>
      <c r="B288" s="2735" t="s">
        <v>5172</v>
      </c>
      <c r="C288" s="2740" t="s">
        <v>4735</v>
      </c>
      <c r="D288" s="2741"/>
      <c r="E288" s="2742" t="s">
        <v>1182</v>
      </c>
      <c r="F288" s="2738"/>
      <c r="G288" s="2738">
        <v>104000</v>
      </c>
      <c r="H288" s="2738"/>
      <c r="I288" s="2738"/>
      <c r="J288" s="2738"/>
      <c r="K288" s="2738"/>
      <c r="L288" s="2743">
        <v>14920.37</v>
      </c>
      <c r="M288" s="2738">
        <f>'[10]NFMA46 '!I301-L288</f>
        <v>89079.63</v>
      </c>
      <c r="N288" s="2738">
        <f>'[10]NFMA46 '!L301</f>
        <v>89079.63</v>
      </c>
      <c r="O288" s="2738">
        <f t="shared" si="36"/>
        <v>100</v>
      </c>
      <c r="P288" s="2739">
        <f>'[10]NFMA46 '!K301</f>
        <v>0</v>
      </c>
      <c r="Q288" s="1715">
        <f t="shared" si="37"/>
        <v>0</v>
      </c>
      <c r="R288" s="1715">
        <f t="shared" si="39"/>
        <v>89079.63</v>
      </c>
      <c r="S288" s="1715">
        <f t="shared" si="38"/>
        <v>100</v>
      </c>
      <c r="T288" s="1715"/>
      <c r="U288" s="1715">
        <f t="shared" si="40"/>
        <v>0</v>
      </c>
      <c r="V288" s="2658"/>
    </row>
    <row r="289" spans="1:22" s="1041" customFormat="1" ht="109.5" customHeight="1">
      <c r="A289" s="2658">
        <v>31</v>
      </c>
      <c r="B289" s="2735" t="s">
        <v>5174</v>
      </c>
      <c r="C289" s="2740" t="s">
        <v>4736</v>
      </c>
      <c r="D289" s="2741"/>
      <c r="E289" s="2742" t="s">
        <v>1182</v>
      </c>
      <c r="F289" s="2738"/>
      <c r="G289" s="2738">
        <v>312000</v>
      </c>
      <c r="H289" s="2738"/>
      <c r="I289" s="2738"/>
      <c r="J289" s="2738"/>
      <c r="K289" s="2738"/>
      <c r="L289" s="2743"/>
      <c r="M289" s="2738">
        <f>'[10]NFMA46 '!I302</f>
        <v>312000</v>
      </c>
      <c r="N289" s="2738">
        <f>'[10]NFMA46 '!L302</f>
        <v>312000</v>
      </c>
      <c r="O289" s="2738">
        <f t="shared" si="36"/>
        <v>100</v>
      </c>
      <c r="P289" s="2739">
        <f>'[10]NFMA46 '!K302</f>
        <v>0</v>
      </c>
      <c r="Q289" s="1715">
        <f t="shared" si="37"/>
        <v>0</v>
      </c>
      <c r="R289" s="1715">
        <f t="shared" si="39"/>
        <v>312000</v>
      </c>
      <c r="S289" s="1715">
        <f t="shared" si="38"/>
        <v>100</v>
      </c>
      <c r="T289" s="1715"/>
      <c r="U289" s="1715">
        <f t="shared" si="40"/>
        <v>0</v>
      </c>
      <c r="V289" s="2658"/>
    </row>
    <row r="290" spans="1:22" s="1041" customFormat="1" ht="109.5" customHeight="1">
      <c r="A290" s="2658">
        <v>32</v>
      </c>
      <c r="B290" s="2735" t="s">
        <v>5869</v>
      </c>
      <c r="C290" s="2740" t="s">
        <v>4738</v>
      </c>
      <c r="D290" s="2741"/>
      <c r="E290" s="2742" t="s">
        <v>1182</v>
      </c>
      <c r="F290" s="2738"/>
      <c r="G290" s="2738">
        <v>416000</v>
      </c>
      <c r="H290" s="2738"/>
      <c r="I290" s="2738"/>
      <c r="J290" s="2738"/>
      <c r="K290" s="2738"/>
      <c r="L290" s="2743">
        <v>9280.9500000000007</v>
      </c>
      <c r="M290" s="2738">
        <f>'[10]NFMA46 '!I303-L290</f>
        <v>406719.05</v>
      </c>
      <c r="N290" s="2738">
        <f>'[10]NFMA46 '!L303</f>
        <v>406719.05</v>
      </c>
      <c r="O290" s="2738">
        <f t="shared" si="36"/>
        <v>100</v>
      </c>
      <c r="P290" s="2739">
        <f>'[10]NFMA46 '!K303</f>
        <v>0</v>
      </c>
      <c r="Q290" s="1715">
        <f t="shared" si="37"/>
        <v>0</v>
      </c>
      <c r="R290" s="1715">
        <f t="shared" si="39"/>
        <v>406719.05</v>
      </c>
      <c r="S290" s="1715">
        <f t="shared" si="38"/>
        <v>100</v>
      </c>
      <c r="T290" s="1715"/>
      <c r="U290" s="1715">
        <f t="shared" si="40"/>
        <v>0</v>
      </c>
      <c r="V290" s="2658"/>
    </row>
    <row r="291" spans="1:22" s="1041" customFormat="1" ht="109.5" customHeight="1">
      <c r="A291" s="2658">
        <v>33</v>
      </c>
      <c r="B291" s="2735" t="s">
        <v>5870</v>
      </c>
      <c r="C291" s="2740" t="s">
        <v>4739</v>
      </c>
      <c r="D291" s="2741"/>
      <c r="E291" s="2742" t="s">
        <v>1182</v>
      </c>
      <c r="F291" s="2738"/>
      <c r="G291" s="2738">
        <v>104000</v>
      </c>
      <c r="H291" s="2738"/>
      <c r="I291" s="2738"/>
      <c r="J291" s="2738"/>
      <c r="K291" s="2738"/>
      <c r="L291" s="2743"/>
      <c r="M291" s="2738">
        <f>'[10]NFMA46 '!I304</f>
        <v>104000</v>
      </c>
      <c r="N291" s="2738">
        <f>'[10]NFMA46 '!L304</f>
        <v>104000</v>
      </c>
      <c r="O291" s="2738">
        <f t="shared" si="36"/>
        <v>100</v>
      </c>
      <c r="P291" s="2739">
        <f>'[10]NFMA46 '!K304</f>
        <v>0</v>
      </c>
      <c r="Q291" s="1715">
        <f t="shared" si="37"/>
        <v>0</v>
      </c>
      <c r="R291" s="1715">
        <f t="shared" si="39"/>
        <v>104000</v>
      </c>
      <c r="S291" s="1715">
        <f t="shared" si="38"/>
        <v>100</v>
      </c>
      <c r="T291" s="1715"/>
      <c r="U291" s="1715">
        <f t="shared" si="40"/>
        <v>0</v>
      </c>
      <c r="V291" s="2658"/>
    </row>
    <row r="292" spans="1:22" s="1041" customFormat="1" ht="109.5" customHeight="1">
      <c r="A292" s="2658">
        <v>34</v>
      </c>
      <c r="B292" s="2735" t="s">
        <v>5177</v>
      </c>
      <c r="C292" s="2740" t="s">
        <v>4740</v>
      </c>
      <c r="D292" s="2741"/>
      <c r="E292" s="2742" t="s">
        <v>1182</v>
      </c>
      <c r="F292" s="2738"/>
      <c r="G292" s="2738">
        <v>104000</v>
      </c>
      <c r="H292" s="2738"/>
      <c r="I292" s="2738"/>
      <c r="J292" s="2738"/>
      <c r="K292" s="2738"/>
      <c r="L292" s="2743">
        <v>7683</v>
      </c>
      <c r="M292" s="2738">
        <f>'[10]NFMA46 '!I305-L292</f>
        <v>96317</v>
      </c>
      <c r="N292" s="2738">
        <f>'[10]NFMA46 '!L305</f>
        <v>96317</v>
      </c>
      <c r="O292" s="2738">
        <f t="shared" si="36"/>
        <v>100</v>
      </c>
      <c r="P292" s="2739">
        <f>'[10]NFMA46 '!K305</f>
        <v>0</v>
      </c>
      <c r="Q292" s="1715">
        <f t="shared" si="37"/>
        <v>0</v>
      </c>
      <c r="R292" s="1715">
        <f t="shared" si="39"/>
        <v>96317</v>
      </c>
      <c r="S292" s="1715">
        <f t="shared" si="38"/>
        <v>100</v>
      </c>
      <c r="T292" s="1715"/>
      <c r="U292" s="1715">
        <f t="shared" si="40"/>
        <v>0</v>
      </c>
      <c r="V292" s="2658"/>
    </row>
    <row r="293" spans="1:22" s="1041" customFormat="1" ht="109.5" customHeight="1">
      <c r="A293" s="2658">
        <v>35</v>
      </c>
      <c r="B293" s="2735" t="s">
        <v>5170</v>
      </c>
      <c r="C293" s="2740" t="s">
        <v>4741</v>
      </c>
      <c r="D293" s="2741"/>
      <c r="E293" s="2742" t="s">
        <v>1182</v>
      </c>
      <c r="F293" s="2738"/>
      <c r="G293" s="2738">
        <v>104000</v>
      </c>
      <c r="H293" s="2738"/>
      <c r="I293" s="2738"/>
      <c r="J293" s="2738"/>
      <c r="K293" s="2738"/>
      <c r="L293" s="2743">
        <v>22758.400000000001</v>
      </c>
      <c r="M293" s="2738">
        <f>'[10]NFMA46 '!I306-L293</f>
        <v>81241.600000000006</v>
      </c>
      <c r="N293" s="2738">
        <f>'[10]NFMA46 '!L306</f>
        <v>81241.600000000006</v>
      </c>
      <c r="O293" s="2738">
        <f t="shared" si="36"/>
        <v>100</v>
      </c>
      <c r="P293" s="2739">
        <f>'[10]NFMA46 '!K306</f>
        <v>0</v>
      </c>
      <c r="Q293" s="1715">
        <f t="shared" si="37"/>
        <v>0</v>
      </c>
      <c r="R293" s="1715">
        <f t="shared" si="39"/>
        <v>81241.600000000006</v>
      </c>
      <c r="S293" s="1715">
        <f t="shared" si="38"/>
        <v>100</v>
      </c>
      <c r="T293" s="1715"/>
      <c r="U293" s="1715">
        <f t="shared" si="40"/>
        <v>0</v>
      </c>
      <c r="V293" s="2658"/>
    </row>
    <row r="294" spans="1:22" s="1041" customFormat="1" ht="109.5" customHeight="1">
      <c r="A294" s="2658">
        <v>36</v>
      </c>
      <c r="B294" s="2735" t="s">
        <v>5871</v>
      </c>
      <c r="C294" s="2740" t="s">
        <v>4742</v>
      </c>
      <c r="D294" s="2741"/>
      <c r="E294" s="2742" t="s">
        <v>580</v>
      </c>
      <c r="F294" s="2738"/>
      <c r="G294" s="2738">
        <v>104000</v>
      </c>
      <c r="H294" s="2738"/>
      <c r="I294" s="2738"/>
      <c r="J294" s="2738"/>
      <c r="K294" s="2738"/>
      <c r="L294" s="2743"/>
      <c r="M294" s="2738">
        <f>'[10]NFMA46 '!I307</f>
        <v>104000</v>
      </c>
      <c r="N294" s="2738">
        <f>'[10]NFMA46 '!L307</f>
        <v>104000</v>
      </c>
      <c r="O294" s="2738">
        <f t="shared" si="36"/>
        <v>100</v>
      </c>
      <c r="P294" s="2739">
        <f>'[10]NFMA46 '!K307</f>
        <v>0</v>
      </c>
      <c r="Q294" s="1715">
        <f t="shared" si="37"/>
        <v>0</v>
      </c>
      <c r="R294" s="1715">
        <f t="shared" si="39"/>
        <v>104000</v>
      </c>
      <c r="S294" s="1715">
        <f t="shared" si="38"/>
        <v>100</v>
      </c>
      <c r="T294" s="1715"/>
      <c r="U294" s="1715">
        <f t="shared" si="40"/>
        <v>0</v>
      </c>
      <c r="V294" s="2658"/>
    </row>
    <row r="295" spans="1:22" s="1041" customFormat="1" ht="109.5" customHeight="1">
      <c r="A295" s="2658">
        <v>37</v>
      </c>
      <c r="B295" s="2735" t="s">
        <v>5180</v>
      </c>
      <c r="C295" s="2740" t="s">
        <v>4744</v>
      </c>
      <c r="D295" s="2741"/>
      <c r="E295" s="2742" t="s">
        <v>580</v>
      </c>
      <c r="F295" s="2738"/>
      <c r="G295" s="2738">
        <v>104000</v>
      </c>
      <c r="H295" s="2738"/>
      <c r="I295" s="2738"/>
      <c r="J295" s="2738"/>
      <c r="K295" s="2738"/>
      <c r="L295" s="2743"/>
      <c r="M295" s="2738">
        <f>'[10]NFMA46 '!I308</f>
        <v>104000</v>
      </c>
      <c r="N295" s="2738">
        <f>'[10]NFMA46 '!L308</f>
        <v>104000</v>
      </c>
      <c r="O295" s="2738">
        <f t="shared" si="36"/>
        <v>100</v>
      </c>
      <c r="P295" s="2739">
        <f>'[10]NFMA46 '!K308</f>
        <v>0</v>
      </c>
      <c r="Q295" s="1715">
        <f t="shared" si="37"/>
        <v>0</v>
      </c>
      <c r="R295" s="1715">
        <f t="shared" si="39"/>
        <v>104000</v>
      </c>
      <c r="S295" s="1715">
        <f t="shared" si="38"/>
        <v>100</v>
      </c>
      <c r="T295" s="1715"/>
      <c r="U295" s="1715">
        <f t="shared" si="40"/>
        <v>0</v>
      </c>
      <c r="V295" s="2658"/>
    </row>
    <row r="296" spans="1:22" s="1041" customFormat="1" ht="109.5" customHeight="1">
      <c r="A296" s="2658">
        <v>38</v>
      </c>
      <c r="B296" s="2735" t="s">
        <v>5199</v>
      </c>
      <c r="C296" s="2740" t="s">
        <v>4745</v>
      </c>
      <c r="D296" s="2741"/>
      <c r="E296" s="2742" t="s">
        <v>565</v>
      </c>
      <c r="F296" s="2738"/>
      <c r="G296" s="2738">
        <v>208000</v>
      </c>
      <c r="H296" s="2738"/>
      <c r="I296" s="2738"/>
      <c r="J296" s="2738"/>
      <c r="K296" s="2738"/>
      <c r="L296" s="2743"/>
      <c r="M296" s="2738">
        <f>'[10]NFMA46 '!I309</f>
        <v>208000</v>
      </c>
      <c r="N296" s="2738">
        <f>'[10]NFMA46 '!L309</f>
        <v>208000</v>
      </c>
      <c r="O296" s="2738">
        <f t="shared" si="36"/>
        <v>100</v>
      </c>
      <c r="P296" s="2739">
        <f>'[10]NFMA46 '!K309</f>
        <v>0</v>
      </c>
      <c r="Q296" s="1715">
        <f t="shared" si="37"/>
        <v>0</v>
      </c>
      <c r="R296" s="1715">
        <f t="shared" si="39"/>
        <v>208000</v>
      </c>
      <c r="S296" s="1715">
        <f t="shared" si="38"/>
        <v>100</v>
      </c>
      <c r="T296" s="1715"/>
      <c r="U296" s="1715">
        <f t="shared" si="40"/>
        <v>0</v>
      </c>
      <c r="V296" s="2658"/>
    </row>
    <row r="297" spans="1:22" s="1041" customFormat="1" ht="109.5" customHeight="1">
      <c r="A297" s="2658">
        <v>39</v>
      </c>
      <c r="B297" s="2735" t="s">
        <v>5202</v>
      </c>
      <c r="C297" s="2740" t="s">
        <v>4747</v>
      </c>
      <c r="D297" s="2741"/>
      <c r="E297" s="2742" t="s">
        <v>565</v>
      </c>
      <c r="F297" s="2738"/>
      <c r="G297" s="2738">
        <v>104000</v>
      </c>
      <c r="H297" s="2738"/>
      <c r="I297" s="2738"/>
      <c r="J297" s="2738"/>
      <c r="K297" s="2738"/>
      <c r="L297" s="2743"/>
      <c r="M297" s="2738">
        <f>'[10]NFMA46 '!I310</f>
        <v>104000</v>
      </c>
      <c r="N297" s="2738">
        <f>'[10]NFMA46 '!L310</f>
        <v>104000</v>
      </c>
      <c r="O297" s="2738">
        <f t="shared" si="36"/>
        <v>100</v>
      </c>
      <c r="P297" s="2739">
        <f>'[10]NFMA46 '!K310</f>
        <v>0</v>
      </c>
      <c r="Q297" s="1715">
        <f t="shared" si="37"/>
        <v>0</v>
      </c>
      <c r="R297" s="1715">
        <f t="shared" si="39"/>
        <v>104000</v>
      </c>
      <c r="S297" s="1715">
        <f t="shared" si="38"/>
        <v>100</v>
      </c>
      <c r="T297" s="1715"/>
      <c r="U297" s="1715">
        <f t="shared" si="40"/>
        <v>0</v>
      </c>
      <c r="V297" s="2658"/>
    </row>
    <row r="298" spans="1:22" s="1041" customFormat="1" ht="109.5" customHeight="1">
      <c r="A298" s="2658">
        <v>40</v>
      </c>
      <c r="B298" s="2735" t="s">
        <v>5193</v>
      </c>
      <c r="C298" s="2740" t="s">
        <v>4748</v>
      </c>
      <c r="D298" s="2741"/>
      <c r="E298" s="2742" t="s">
        <v>565</v>
      </c>
      <c r="F298" s="2738"/>
      <c r="G298" s="2738">
        <v>104000</v>
      </c>
      <c r="H298" s="2738"/>
      <c r="I298" s="2738"/>
      <c r="J298" s="2738"/>
      <c r="K298" s="2738"/>
      <c r="L298" s="2743"/>
      <c r="M298" s="2738">
        <f>'[10]NFMA46 '!I311</f>
        <v>104000</v>
      </c>
      <c r="N298" s="2738">
        <f>'[10]NFMA46 '!L311</f>
        <v>0</v>
      </c>
      <c r="O298" s="2738">
        <f t="shared" si="36"/>
        <v>0</v>
      </c>
      <c r="P298" s="2739">
        <f>'[10]NFMA46 '!K311</f>
        <v>104000</v>
      </c>
      <c r="Q298" s="1715">
        <f t="shared" si="37"/>
        <v>100</v>
      </c>
      <c r="R298" s="1715">
        <f t="shared" si="39"/>
        <v>104000</v>
      </c>
      <c r="S298" s="1715">
        <f t="shared" si="38"/>
        <v>100</v>
      </c>
      <c r="T298" s="1715"/>
      <c r="U298" s="1715">
        <f t="shared" si="40"/>
        <v>0</v>
      </c>
      <c r="V298" s="2658"/>
    </row>
    <row r="299" spans="1:22" s="1041" customFormat="1" ht="109.5" customHeight="1">
      <c r="A299" s="2658">
        <v>41</v>
      </c>
      <c r="B299" s="2735" t="s">
        <v>5204</v>
      </c>
      <c r="C299" s="2740" t="s">
        <v>4749</v>
      </c>
      <c r="D299" s="2741"/>
      <c r="E299" s="2742" t="s">
        <v>565</v>
      </c>
      <c r="F299" s="2738"/>
      <c r="G299" s="2738">
        <v>104000</v>
      </c>
      <c r="H299" s="2738"/>
      <c r="I299" s="2738"/>
      <c r="J299" s="2738"/>
      <c r="K299" s="2738"/>
      <c r="L299" s="2743"/>
      <c r="M299" s="2738">
        <f>'[10]NFMA46 '!I312</f>
        <v>104000</v>
      </c>
      <c r="N299" s="2738">
        <f>'[10]NFMA46 '!L312</f>
        <v>104000</v>
      </c>
      <c r="O299" s="2738">
        <f t="shared" si="36"/>
        <v>100</v>
      </c>
      <c r="P299" s="2739">
        <f>'[10]NFMA46 '!K312</f>
        <v>0</v>
      </c>
      <c r="Q299" s="1715">
        <f t="shared" si="37"/>
        <v>0</v>
      </c>
      <c r="R299" s="1715">
        <f t="shared" si="39"/>
        <v>104000</v>
      </c>
      <c r="S299" s="1715">
        <f t="shared" si="38"/>
        <v>100</v>
      </c>
      <c r="T299" s="1715"/>
      <c r="U299" s="1715">
        <f t="shared" si="40"/>
        <v>0</v>
      </c>
      <c r="V299" s="2658"/>
    </row>
    <row r="300" spans="1:22" s="1041" customFormat="1" ht="109.5" customHeight="1">
      <c r="A300" s="2658">
        <v>42</v>
      </c>
      <c r="B300" s="2735" t="s">
        <v>5182</v>
      </c>
      <c r="C300" s="2740" t="s">
        <v>4750</v>
      </c>
      <c r="D300" s="2741"/>
      <c r="E300" s="2742" t="s">
        <v>565</v>
      </c>
      <c r="F300" s="2738"/>
      <c r="G300" s="2738">
        <v>104000</v>
      </c>
      <c r="H300" s="2738"/>
      <c r="I300" s="2738"/>
      <c r="J300" s="2738"/>
      <c r="K300" s="2738"/>
      <c r="L300" s="2743"/>
      <c r="M300" s="2738">
        <f>'[10]NFMA46 '!I313</f>
        <v>104000</v>
      </c>
      <c r="N300" s="2738">
        <f>'[10]NFMA46 '!L313</f>
        <v>0</v>
      </c>
      <c r="O300" s="2738">
        <f t="shared" si="36"/>
        <v>0</v>
      </c>
      <c r="P300" s="2739">
        <f>'[10]NFMA46 '!K313</f>
        <v>104000</v>
      </c>
      <c r="Q300" s="1715">
        <f t="shared" si="37"/>
        <v>100</v>
      </c>
      <c r="R300" s="1715">
        <f t="shared" si="39"/>
        <v>104000</v>
      </c>
      <c r="S300" s="1715">
        <f t="shared" si="38"/>
        <v>100</v>
      </c>
      <c r="T300" s="1715"/>
      <c r="U300" s="1715">
        <f t="shared" si="40"/>
        <v>0</v>
      </c>
      <c r="V300" s="2658"/>
    </row>
    <row r="301" spans="1:22" s="1041" customFormat="1" ht="109.5" customHeight="1">
      <c r="A301" s="2658">
        <v>43</v>
      </c>
      <c r="B301" s="2735" t="s">
        <v>5184</v>
      </c>
      <c r="C301" s="2740" t="s">
        <v>4751</v>
      </c>
      <c r="D301" s="2741"/>
      <c r="E301" s="2742" t="s">
        <v>565</v>
      </c>
      <c r="F301" s="2738"/>
      <c r="G301" s="2738">
        <v>208000</v>
      </c>
      <c r="H301" s="2738"/>
      <c r="I301" s="2738"/>
      <c r="J301" s="2738"/>
      <c r="K301" s="2738"/>
      <c r="L301" s="2743"/>
      <c r="M301" s="2738">
        <f>'[10]NFMA46 '!I314</f>
        <v>208000</v>
      </c>
      <c r="N301" s="2738">
        <f>'[10]NFMA46 '!L314</f>
        <v>208000</v>
      </c>
      <c r="O301" s="2738">
        <f t="shared" si="36"/>
        <v>100</v>
      </c>
      <c r="P301" s="2739">
        <f>'[10]NFMA46 '!K314</f>
        <v>0</v>
      </c>
      <c r="Q301" s="1715">
        <f t="shared" si="37"/>
        <v>0</v>
      </c>
      <c r="R301" s="1715">
        <f t="shared" si="39"/>
        <v>208000</v>
      </c>
      <c r="S301" s="1715">
        <f t="shared" si="38"/>
        <v>100</v>
      </c>
      <c r="T301" s="1715"/>
      <c r="U301" s="1715">
        <f t="shared" si="40"/>
        <v>0</v>
      </c>
      <c r="V301" s="2658"/>
    </row>
    <row r="302" spans="1:22" s="1041" customFormat="1" ht="109.5" customHeight="1">
      <c r="A302" s="2658">
        <v>44</v>
      </c>
      <c r="B302" s="2735" t="s">
        <v>5190</v>
      </c>
      <c r="C302" s="2740" t="s">
        <v>4752</v>
      </c>
      <c r="D302" s="2741"/>
      <c r="E302" s="2742" t="s">
        <v>565</v>
      </c>
      <c r="F302" s="2738"/>
      <c r="G302" s="2738">
        <v>104000</v>
      </c>
      <c r="H302" s="2738"/>
      <c r="I302" s="2738"/>
      <c r="J302" s="2738"/>
      <c r="K302" s="2738"/>
      <c r="L302" s="2743"/>
      <c r="M302" s="2738">
        <f>'[10]NFMA46 '!I315</f>
        <v>104000</v>
      </c>
      <c r="N302" s="2738">
        <f>'[10]NFMA46 '!L315</f>
        <v>104000</v>
      </c>
      <c r="O302" s="2738">
        <f t="shared" si="36"/>
        <v>100</v>
      </c>
      <c r="P302" s="2739">
        <f>'[10]NFMA46 '!K315</f>
        <v>0</v>
      </c>
      <c r="Q302" s="1715">
        <f t="shared" si="37"/>
        <v>0</v>
      </c>
      <c r="R302" s="1715">
        <f t="shared" si="39"/>
        <v>104000</v>
      </c>
      <c r="S302" s="1715">
        <f t="shared" si="38"/>
        <v>100</v>
      </c>
      <c r="T302" s="1715"/>
      <c r="U302" s="1715">
        <f t="shared" si="40"/>
        <v>0</v>
      </c>
      <c r="V302" s="2658"/>
    </row>
    <row r="303" spans="1:22" s="1041" customFormat="1" ht="109.5" customHeight="1">
      <c r="A303" s="2658">
        <v>45</v>
      </c>
      <c r="B303" s="2735" t="s">
        <v>5197</v>
      </c>
      <c r="C303" s="2740" t="s">
        <v>5413</v>
      </c>
      <c r="D303" s="2741"/>
      <c r="E303" s="2742" t="s">
        <v>565</v>
      </c>
      <c r="F303" s="2738"/>
      <c r="G303" s="2738">
        <v>104000</v>
      </c>
      <c r="H303" s="2738"/>
      <c r="I303" s="2738"/>
      <c r="J303" s="2738"/>
      <c r="K303" s="2738"/>
      <c r="L303" s="2743">
        <v>17153</v>
      </c>
      <c r="M303" s="2738">
        <f>'[10]NFMA46 '!I317-L303</f>
        <v>86847</v>
      </c>
      <c r="N303" s="2738">
        <f>'[10]NFMA46 '!L317</f>
        <v>86847</v>
      </c>
      <c r="O303" s="2738">
        <f t="shared" si="36"/>
        <v>100</v>
      </c>
      <c r="P303" s="2739">
        <f>'[10]NFMA46 '!K317</f>
        <v>0</v>
      </c>
      <c r="Q303" s="1715">
        <f t="shared" si="37"/>
        <v>0</v>
      </c>
      <c r="R303" s="1715">
        <f t="shared" si="39"/>
        <v>86847</v>
      </c>
      <c r="S303" s="1715">
        <f t="shared" si="38"/>
        <v>100</v>
      </c>
      <c r="T303" s="1715"/>
      <c r="U303" s="1715">
        <f t="shared" si="40"/>
        <v>0</v>
      </c>
      <c r="V303" s="2658"/>
    </row>
    <row r="304" spans="1:22" s="1041" customFormat="1" ht="109.5" customHeight="1">
      <c r="A304" s="2658">
        <v>46</v>
      </c>
      <c r="B304" s="2735" t="s">
        <v>5188</v>
      </c>
      <c r="C304" s="2740" t="s">
        <v>4753</v>
      </c>
      <c r="D304" s="2741"/>
      <c r="E304" s="2742" t="s">
        <v>565</v>
      </c>
      <c r="F304" s="2738"/>
      <c r="G304" s="2738">
        <v>104000</v>
      </c>
      <c r="H304" s="2738"/>
      <c r="I304" s="2738"/>
      <c r="J304" s="2738"/>
      <c r="K304" s="2738"/>
      <c r="L304" s="2743"/>
      <c r="M304" s="2738">
        <f>'[10]NFMA46 '!I318</f>
        <v>104000</v>
      </c>
      <c r="N304" s="2738">
        <f>'[10]NFMA46 '!L318</f>
        <v>104000</v>
      </c>
      <c r="O304" s="2738">
        <f t="shared" si="36"/>
        <v>100</v>
      </c>
      <c r="P304" s="2739">
        <f>'[10]NFMA46 '!K318</f>
        <v>0</v>
      </c>
      <c r="Q304" s="1715">
        <f t="shared" si="37"/>
        <v>0</v>
      </c>
      <c r="R304" s="1715">
        <f t="shared" si="39"/>
        <v>104000</v>
      </c>
      <c r="S304" s="1715">
        <f t="shared" si="38"/>
        <v>100</v>
      </c>
      <c r="T304" s="1715"/>
      <c r="U304" s="1715">
        <f t="shared" si="40"/>
        <v>0</v>
      </c>
      <c r="V304" s="2658"/>
    </row>
    <row r="305" spans="1:22" s="1041" customFormat="1" ht="109.5" customHeight="1">
      <c r="A305" s="2658">
        <v>47</v>
      </c>
      <c r="B305" s="2735" t="s">
        <v>5872</v>
      </c>
      <c r="C305" s="2740" t="s">
        <v>4754</v>
      </c>
      <c r="D305" s="2741"/>
      <c r="E305" s="2742" t="s">
        <v>347</v>
      </c>
      <c r="F305" s="2738"/>
      <c r="G305" s="2738">
        <v>208000</v>
      </c>
      <c r="H305" s="2738"/>
      <c r="I305" s="2738"/>
      <c r="J305" s="2738"/>
      <c r="K305" s="2738"/>
      <c r="L305" s="2743">
        <v>89133.13</v>
      </c>
      <c r="M305" s="2738">
        <f>'[10]NFMA46 '!I319-L305</f>
        <v>118866.87</v>
      </c>
      <c r="N305" s="2738">
        <f>'[10]NFMA46 '!L319</f>
        <v>0</v>
      </c>
      <c r="O305" s="2738">
        <f t="shared" si="36"/>
        <v>0</v>
      </c>
      <c r="P305" s="2739">
        <f>'[10]NFMA46 '!K319</f>
        <v>118866</v>
      </c>
      <c r="Q305" s="1715">
        <f t="shared" si="37"/>
        <v>99.999268088744998</v>
      </c>
      <c r="R305" s="1715">
        <f t="shared" si="39"/>
        <v>118866</v>
      </c>
      <c r="S305" s="1715">
        <f t="shared" si="38"/>
        <v>99.999268088744998</v>
      </c>
      <c r="T305" s="1715"/>
      <c r="U305" s="1715">
        <f t="shared" si="40"/>
        <v>0.86999999999534339</v>
      </c>
      <c r="V305" s="2658"/>
    </row>
    <row r="306" spans="1:22" s="1041" customFormat="1" ht="109.5" customHeight="1">
      <c r="A306" s="2658">
        <v>48</v>
      </c>
      <c r="B306" s="2735" t="s">
        <v>5394</v>
      </c>
      <c r="C306" s="2740" t="s">
        <v>5414</v>
      </c>
      <c r="D306" s="2741"/>
      <c r="E306" s="2742" t="s">
        <v>347</v>
      </c>
      <c r="F306" s="2738"/>
      <c r="G306" s="2738">
        <v>104000</v>
      </c>
      <c r="H306" s="2738"/>
      <c r="I306" s="2738"/>
      <c r="J306" s="2738"/>
      <c r="K306" s="2738"/>
      <c r="L306" s="2743">
        <v>28168</v>
      </c>
      <c r="M306" s="2738">
        <f>'[10]NFMA46 '!I320-L306</f>
        <v>75832</v>
      </c>
      <c r="N306" s="2738">
        <f>'[10]NFMA46 '!L320</f>
        <v>0</v>
      </c>
      <c r="O306" s="2738">
        <f t="shared" si="36"/>
        <v>0</v>
      </c>
      <c r="P306" s="2739">
        <f>'[10]NFMA46 '!K320</f>
        <v>75832</v>
      </c>
      <c r="Q306" s="1715">
        <f t="shared" si="37"/>
        <v>100</v>
      </c>
      <c r="R306" s="1715">
        <f t="shared" si="39"/>
        <v>75832</v>
      </c>
      <c r="S306" s="1715">
        <f t="shared" si="38"/>
        <v>100</v>
      </c>
      <c r="T306" s="1715"/>
      <c r="U306" s="1715">
        <f t="shared" si="40"/>
        <v>0</v>
      </c>
      <c r="V306" s="2658"/>
    </row>
    <row r="307" spans="1:22" s="1041" customFormat="1" ht="109.5" customHeight="1">
      <c r="A307" s="2658">
        <v>49</v>
      </c>
      <c r="B307" s="2735" t="s">
        <v>5873</v>
      </c>
      <c r="C307" s="2740" t="s">
        <v>4755</v>
      </c>
      <c r="D307" s="2741"/>
      <c r="E307" s="2742" t="s">
        <v>569</v>
      </c>
      <c r="F307" s="2738"/>
      <c r="G307" s="2738">
        <v>104000</v>
      </c>
      <c r="H307" s="2738"/>
      <c r="I307" s="2738"/>
      <c r="J307" s="2738"/>
      <c r="K307" s="2738"/>
      <c r="L307" s="2743"/>
      <c r="M307" s="2738">
        <f>'[10]NFMA46 '!I322</f>
        <v>104000</v>
      </c>
      <c r="N307" s="2738">
        <f>'[10]NFMA46 '!L322</f>
        <v>0</v>
      </c>
      <c r="O307" s="2738">
        <f t="shared" si="36"/>
        <v>0</v>
      </c>
      <c r="P307" s="2739">
        <f>'[10]NFMA46 '!K322</f>
        <v>104000</v>
      </c>
      <c r="Q307" s="1715">
        <f t="shared" si="37"/>
        <v>100</v>
      </c>
      <c r="R307" s="1715">
        <f t="shared" si="39"/>
        <v>104000</v>
      </c>
      <c r="S307" s="1715">
        <f t="shared" si="38"/>
        <v>100</v>
      </c>
      <c r="T307" s="1715"/>
      <c r="U307" s="1715">
        <f t="shared" si="40"/>
        <v>0</v>
      </c>
      <c r="V307" s="2658"/>
    </row>
    <row r="308" spans="1:22" s="1041" customFormat="1" ht="109.5" customHeight="1">
      <c r="A308" s="2658">
        <v>50</v>
      </c>
      <c r="B308" s="2735" t="s">
        <v>5874</v>
      </c>
      <c r="C308" s="2740" t="s">
        <v>4757</v>
      </c>
      <c r="D308" s="2741"/>
      <c r="E308" s="2742" t="s">
        <v>569</v>
      </c>
      <c r="F308" s="2738"/>
      <c r="G308" s="2738">
        <v>104000</v>
      </c>
      <c r="H308" s="2738"/>
      <c r="I308" s="2738"/>
      <c r="J308" s="2738"/>
      <c r="K308" s="2738"/>
      <c r="L308" s="2743"/>
      <c r="M308" s="2738">
        <f>'[10]NFMA46 '!I323</f>
        <v>104000</v>
      </c>
      <c r="N308" s="2738">
        <f>'[10]NFMA46 '!L323</f>
        <v>104000</v>
      </c>
      <c r="O308" s="2738">
        <f t="shared" si="36"/>
        <v>100</v>
      </c>
      <c r="P308" s="2739">
        <f>'[10]NFMA46 '!K323</f>
        <v>0</v>
      </c>
      <c r="Q308" s="1715">
        <f t="shared" si="37"/>
        <v>0</v>
      </c>
      <c r="R308" s="1715">
        <f t="shared" si="39"/>
        <v>104000</v>
      </c>
      <c r="S308" s="1715">
        <f t="shared" si="38"/>
        <v>100</v>
      </c>
      <c r="T308" s="1715"/>
      <c r="U308" s="1715">
        <f t="shared" si="40"/>
        <v>0</v>
      </c>
      <c r="V308" s="2658"/>
    </row>
    <row r="309" spans="1:22" s="1041" customFormat="1" ht="109.5" customHeight="1">
      <c r="A309" s="2658">
        <v>51</v>
      </c>
      <c r="B309" s="2735" t="s">
        <v>5875</v>
      </c>
      <c r="C309" s="2740" t="s">
        <v>4759</v>
      </c>
      <c r="D309" s="2741"/>
      <c r="E309" s="2742" t="s">
        <v>569</v>
      </c>
      <c r="F309" s="2738"/>
      <c r="G309" s="2738">
        <v>104000</v>
      </c>
      <c r="H309" s="2738"/>
      <c r="I309" s="2738"/>
      <c r="J309" s="2738"/>
      <c r="K309" s="2738"/>
      <c r="L309" s="2743"/>
      <c r="M309" s="2738">
        <f>'[10]NFMA46 '!I324</f>
        <v>104000</v>
      </c>
      <c r="N309" s="2738">
        <f>'[10]NFMA46 '!L324</f>
        <v>0</v>
      </c>
      <c r="O309" s="2738">
        <f t="shared" si="36"/>
        <v>0</v>
      </c>
      <c r="P309" s="2739">
        <f>'[10]NFMA46 '!K324</f>
        <v>48252</v>
      </c>
      <c r="Q309" s="1715">
        <f t="shared" si="37"/>
        <v>46.396153846153851</v>
      </c>
      <c r="R309" s="1715">
        <f t="shared" si="39"/>
        <v>48252</v>
      </c>
      <c r="S309" s="1715">
        <f t="shared" si="38"/>
        <v>46.396153846153851</v>
      </c>
      <c r="T309" s="1715"/>
      <c r="U309" s="1715">
        <f t="shared" si="40"/>
        <v>55748</v>
      </c>
      <c r="V309" s="2658"/>
    </row>
    <row r="310" spans="1:22" s="1041" customFormat="1" ht="109.5" customHeight="1">
      <c r="A310" s="2658">
        <v>52</v>
      </c>
      <c r="B310" s="2735" t="s">
        <v>5876</v>
      </c>
      <c r="C310" s="2740" t="s">
        <v>4760</v>
      </c>
      <c r="D310" s="2741"/>
      <c r="E310" s="2742" t="s">
        <v>569</v>
      </c>
      <c r="F310" s="2738"/>
      <c r="G310" s="2738">
        <v>104000</v>
      </c>
      <c r="H310" s="2738"/>
      <c r="I310" s="2738"/>
      <c r="J310" s="2738"/>
      <c r="K310" s="2738"/>
      <c r="L310" s="2743"/>
      <c r="M310" s="2738">
        <f>'[10]NFMA46 '!I325</f>
        <v>104000</v>
      </c>
      <c r="N310" s="2738">
        <f>'[10]NFMA46 '!L325</f>
        <v>0</v>
      </c>
      <c r="O310" s="2738">
        <f t="shared" si="36"/>
        <v>0</v>
      </c>
      <c r="P310" s="2739">
        <f>'[10]NFMA46 '!K325</f>
        <v>0</v>
      </c>
      <c r="Q310" s="1715">
        <f t="shared" si="37"/>
        <v>0</v>
      </c>
      <c r="R310" s="1715">
        <f t="shared" si="39"/>
        <v>0</v>
      </c>
      <c r="S310" s="1715">
        <f t="shared" si="38"/>
        <v>0</v>
      </c>
      <c r="T310" s="1715"/>
      <c r="U310" s="1715">
        <f t="shared" si="40"/>
        <v>104000</v>
      </c>
      <c r="V310" s="2658"/>
    </row>
    <row r="311" spans="1:22" s="1041" customFormat="1" ht="109.5" customHeight="1">
      <c r="A311" s="2658">
        <v>53</v>
      </c>
      <c r="B311" s="2735" t="s">
        <v>5877</v>
      </c>
      <c r="C311" s="2740" t="s">
        <v>4761</v>
      </c>
      <c r="D311" s="2741"/>
      <c r="E311" s="2742" t="s">
        <v>569</v>
      </c>
      <c r="F311" s="2738"/>
      <c r="G311" s="2738">
        <v>416000</v>
      </c>
      <c r="H311" s="2738"/>
      <c r="I311" s="2738"/>
      <c r="J311" s="2738"/>
      <c r="K311" s="2738"/>
      <c r="L311" s="2743">
        <v>35600</v>
      </c>
      <c r="M311" s="2738">
        <f>'[10]NFMA46 '!I326-L311</f>
        <v>380400</v>
      </c>
      <c r="N311" s="2738">
        <f>'[10]NFMA46 '!L326</f>
        <v>380400</v>
      </c>
      <c r="O311" s="2738">
        <f t="shared" si="36"/>
        <v>100</v>
      </c>
      <c r="P311" s="2739">
        <f>'[10]NFMA46 '!K326</f>
        <v>0</v>
      </c>
      <c r="Q311" s="1715">
        <f t="shared" si="37"/>
        <v>0</v>
      </c>
      <c r="R311" s="1715">
        <f t="shared" si="39"/>
        <v>380400</v>
      </c>
      <c r="S311" s="1715">
        <f t="shared" si="38"/>
        <v>100</v>
      </c>
      <c r="T311" s="1715"/>
      <c r="U311" s="1715">
        <f t="shared" si="40"/>
        <v>0</v>
      </c>
      <c r="V311" s="2658"/>
    </row>
    <row r="312" spans="1:22" s="1041" customFormat="1" ht="109.5" customHeight="1">
      <c r="A312" s="2658">
        <v>54</v>
      </c>
      <c r="B312" s="2735" t="s">
        <v>5226</v>
      </c>
      <c r="C312" s="2740" t="s">
        <v>4763</v>
      </c>
      <c r="D312" s="2741"/>
      <c r="E312" s="2742" t="s">
        <v>793</v>
      </c>
      <c r="F312" s="2738"/>
      <c r="G312" s="2738">
        <v>104000</v>
      </c>
      <c r="H312" s="2738"/>
      <c r="I312" s="2738"/>
      <c r="J312" s="2738"/>
      <c r="K312" s="2738"/>
      <c r="L312" s="2743"/>
      <c r="M312" s="2738">
        <f>'[10]NFMA46 '!I328</f>
        <v>104000</v>
      </c>
      <c r="N312" s="2738">
        <f>'[10]NFMA46 '!L328</f>
        <v>104000</v>
      </c>
      <c r="O312" s="2738">
        <f t="shared" si="36"/>
        <v>100</v>
      </c>
      <c r="P312" s="2739">
        <f>'[10]NFMA46 '!K328</f>
        <v>0</v>
      </c>
      <c r="Q312" s="1715">
        <f t="shared" si="37"/>
        <v>0</v>
      </c>
      <c r="R312" s="1715">
        <f t="shared" si="39"/>
        <v>104000</v>
      </c>
      <c r="S312" s="1715">
        <f t="shared" si="38"/>
        <v>100</v>
      </c>
      <c r="T312" s="1715"/>
      <c r="U312" s="1715">
        <f t="shared" si="40"/>
        <v>0</v>
      </c>
      <c r="V312" s="2658"/>
    </row>
    <row r="313" spans="1:22" s="1041" customFormat="1" ht="109.5" customHeight="1">
      <c r="A313" s="2658">
        <v>55</v>
      </c>
      <c r="B313" s="2735" t="s">
        <v>5228</v>
      </c>
      <c r="C313" s="2740" t="s">
        <v>4764</v>
      </c>
      <c r="D313" s="2741"/>
      <c r="E313" s="2742" t="s">
        <v>793</v>
      </c>
      <c r="F313" s="2738"/>
      <c r="G313" s="2738">
        <v>520000</v>
      </c>
      <c r="H313" s="2738"/>
      <c r="I313" s="2738"/>
      <c r="J313" s="2738"/>
      <c r="K313" s="2738"/>
      <c r="L313" s="2743"/>
      <c r="M313" s="2738">
        <f>'[10]NFMA46 '!I329</f>
        <v>520000</v>
      </c>
      <c r="N313" s="2738">
        <f>'[10]NFMA46 '!L329</f>
        <v>0</v>
      </c>
      <c r="O313" s="2738">
        <f t="shared" si="36"/>
        <v>0</v>
      </c>
      <c r="P313" s="2739">
        <f>'[10]NFMA46 '!K329</f>
        <v>520000</v>
      </c>
      <c r="Q313" s="1715">
        <f t="shared" si="37"/>
        <v>100</v>
      </c>
      <c r="R313" s="1715">
        <f t="shared" si="39"/>
        <v>520000</v>
      </c>
      <c r="S313" s="1715">
        <f t="shared" si="38"/>
        <v>100</v>
      </c>
      <c r="T313" s="1715"/>
      <c r="U313" s="1715">
        <f t="shared" si="40"/>
        <v>0</v>
      </c>
      <c r="V313" s="2658"/>
    </row>
    <row r="314" spans="1:22" s="1041" customFormat="1" ht="109.5" customHeight="1">
      <c r="A314" s="2658">
        <v>56</v>
      </c>
      <c r="B314" s="2735" t="s">
        <v>5232</v>
      </c>
      <c r="C314" s="2740" t="s">
        <v>4765</v>
      </c>
      <c r="D314" s="2741"/>
      <c r="E314" s="2742" t="s">
        <v>793</v>
      </c>
      <c r="F314" s="2738"/>
      <c r="G314" s="2738">
        <v>208000</v>
      </c>
      <c r="H314" s="2738"/>
      <c r="I314" s="2738"/>
      <c r="J314" s="2738"/>
      <c r="K314" s="2738"/>
      <c r="L314" s="2743">
        <v>200</v>
      </c>
      <c r="M314" s="2738">
        <f>'[10]NFMA46 '!I330-L314</f>
        <v>207800</v>
      </c>
      <c r="N314" s="2738">
        <f>'[10]NFMA46 '!L330</f>
        <v>207800</v>
      </c>
      <c r="O314" s="2738">
        <f t="shared" si="36"/>
        <v>100</v>
      </c>
      <c r="P314" s="2739">
        <f>'[10]NFMA46 '!K330</f>
        <v>0</v>
      </c>
      <c r="Q314" s="1715">
        <f t="shared" si="37"/>
        <v>0</v>
      </c>
      <c r="R314" s="1715">
        <f t="shared" si="39"/>
        <v>207800</v>
      </c>
      <c r="S314" s="1715">
        <f t="shared" si="38"/>
        <v>100</v>
      </c>
      <c r="T314" s="1715"/>
      <c r="U314" s="1715">
        <f t="shared" si="40"/>
        <v>0</v>
      </c>
      <c r="V314" s="2658"/>
    </row>
    <row r="315" spans="1:22" s="1041" customFormat="1" ht="109.5" customHeight="1">
      <c r="A315" s="2658">
        <v>57</v>
      </c>
      <c r="B315" s="2735" t="s">
        <v>5217</v>
      </c>
      <c r="C315" s="2740" t="s">
        <v>4766</v>
      </c>
      <c r="D315" s="2741"/>
      <c r="E315" s="2742" t="s">
        <v>793</v>
      </c>
      <c r="F315" s="2738"/>
      <c r="G315" s="2738">
        <v>104000</v>
      </c>
      <c r="H315" s="2738"/>
      <c r="I315" s="2738"/>
      <c r="J315" s="2738"/>
      <c r="K315" s="2738"/>
      <c r="L315" s="2743"/>
      <c r="M315" s="2738">
        <f>'[10]NFMA46 '!I331</f>
        <v>104000</v>
      </c>
      <c r="N315" s="2738">
        <f>'[10]NFMA46 '!L331</f>
        <v>0</v>
      </c>
      <c r="O315" s="2738">
        <f t="shared" si="36"/>
        <v>0</v>
      </c>
      <c r="P315" s="2739">
        <f>'[10]NFMA46 '!K331</f>
        <v>104000</v>
      </c>
      <c r="Q315" s="1715">
        <f t="shared" si="37"/>
        <v>100</v>
      </c>
      <c r="R315" s="1715">
        <f t="shared" si="39"/>
        <v>104000</v>
      </c>
      <c r="S315" s="1715">
        <f t="shared" si="38"/>
        <v>100</v>
      </c>
      <c r="T315" s="1715"/>
      <c r="U315" s="1715">
        <f t="shared" si="40"/>
        <v>0</v>
      </c>
      <c r="V315" s="2658"/>
    </row>
    <row r="316" spans="1:22" s="1041" customFormat="1" ht="109.5" customHeight="1">
      <c r="A316" s="2658">
        <v>58</v>
      </c>
      <c r="B316" s="2735" t="s">
        <v>5230</v>
      </c>
      <c r="C316" s="2740" t="s">
        <v>4768</v>
      </c>
      <c r="D316" s="2741"/>
      <c r="E316" s="2742" t="s">
        <v>793</v>
      </c>
      <c r="F316" s="2738"/>
      <c r="G316" s="2738">
        <v>208000</v>
      </c>
      <c r="H316" s="2738"/>
      <c r="I316" s="2738"/>
      <c r="J316" s="2738"/>
      <c r="K316" s="2738"/>
      <c r="L316" s="2743">
        <v>40800</v>
      </c>
      <c r="M316" s="2738">
        <f>'[10]NFMA46 '!I332-L316</f>
        <v>167200</v>
      </c>
      <c r="N316" s="2738">
        <f>'[10]NFMA46 '!L332</f>
        <v>0</v>
      </c>
      <c r="O316" s="2738">
        <f t="shared" si="36"/>
        <v>0</v>
      </c>
      <c r="P316" s="2739">
        <f>'[10]NFMA46 '!K332</f>
        <v>167200</v>
      </c>
      <c r="Q316" s="1715">
        <f t="shared" si="37"/>
        <v>100</v>
      </c>
      <c r="R316" s="1715">
        <f t="shared" si="39"/>
        <v>167200</v>
      </c>
      <c r="S316" s="1715">
        <f t="shared" si="38"/>
        <v>100</v>
      </c>
      <c r="T316" s="1715"/>
      <c r="U316" s="1715">
        <f t="shared" si="40"/>
        <v>0</v>
      </c>
      <c r="V316" s="2658"/>
    </row>
    <row r="317" spans="1:22" s="1041" customFormat="1" ht="109.5" customHeight="1">
      <c r="A317" s="2658">
        <v>59</v>
      </c>
      <c r="B317" s="2735" t="s">
        <v>5219</v>
      </c>
      <c r="C317" s="2740" t="s">
        <v>4769</v>
      </c>
      <c r="D317" s="2741"/>
      <c r="E317" s="2742" t="s">
        <v>793</v>
      </c>
      <c r="F317" s="2738"/>
      <c r="G317" s="2738">
        <v>104000</v>
      </c>
      <c r="H317" s="2738"/>
      <c r="I317" s="2738"/>
      <c r="J317" s="2738"/>
      <c r="K317" s="2738"/>
      <c r="L317" s="2743"/>
      <c r="M317" s="2738">
        <f>'[10]NFMA46 '!I333</f>
        <v>104000</v>
      </c>
      <c r="N317" s="2738">
        <f>'[10]NFMA46 '!L333</f>
        <v>104000</v>
      </c>
      <c r="O317" s="2738">
        <f t="shared" si="36"/>
        <v>100</v>
      </c>
      <c r="P317" s="2739">
        <f>'[10]NFMA46 '!K333</f>
        <v>0</v>
      </c>
      <c r="Q317" s="1715">
        <f t="shared" si="37"/>
        <v>0</v>
      </c>
      <c r="R317" s="1715">
        <f t="shared" si="39"/>
        <v>104000</v>
      </c>
      <c r="S317" s="1715">
        <f t="shared" si="38"/>
        <v>100</v>
      </c>
      <c r="T317" s="1715"/>
      <c r="U317" s="1715">
        <f t="shared" si="40"/>
        <v>0</v>
      </c>
      <c r="V317" s="2658"/>
    </row>
    <row r="318" spans="1:22" s="1041" customFormat="1" ht="109.5" customHeight="1">
      <c r="A318" s="2658">
        <v>60</v>
      </c>
      <c r="B318" s="2735" t="s">
        <v>5222</v>
      </c>
      <c r="C318" s="2740" t="s">
        <v>4771</v>
      </c>
      <c r="D318" s="2741"/>
      <c r="E318" s="2742" t="s">
        <v>793</v>
      </c>
      <c r="F318" s="2738"/>
      <c r="G318" s="2738">
        <v>416000</v>
      </c>
      <c r="H318" s="2738"/>
      <c r="I318" s="2738"/>
      <c r="J318" s="2738"/>
      <c r="K318" s="2738"/>
      <c r="L318" s="2743">
        <v>104000</v>
      </c>
      <c r="M318" s="2738">
        <f>'[10]NFMA46 '!I334-L318</f>
        <v>312000</v>
      </c>
      <c r="N318" s="2738">
        <f>'[10]NFMA46 '!L334</f>
        <v>312000</v>
      </c>
      <c r="O318" s="2738">
        <f t="shared" si="36"/>
        <v>100</v>
      </c>
      <c r="P318" s="2739">
        <f>'[10]NFMA46 '!K334</f>
        <v>0</v>
      </c>
      <c r="Q318" s="1715">
        <f t="shared" si="37"/>
        <v>0</v>
      </c>
      <c r="R318" s="1715">
        <f t="shared" si="39"/>
        <v>312000</v>
      </c>
      <c r="S318" s="1715">
        <f t="shared" si="38"/>
        <v>100</v>
      </c>
      <c r="T318" s="1715"/>
      <c r="U318" s="1715">
        <f t="shared" si="40"/>
        <v>0</v>
      </c>
      <c r="V318" s="2658"/>
    </row>
    <row r="319" spans="1:22" s="1041" customFormat="1" ht="109.5" customHeight="1">
      <c r="A319" s="2658">
        <v>61</v>
      </c>
      <c r="B319" s="2735" t="s">
        <v>5347</v>
      </c>
      <c r="C319" s="2740" t="s">
        <v>4773</v>
      </c>
      <c r="D319" s="2741"/>
      <c r="E319" s="2742" t="s">
        <v>793</v>
      </c>
      <c r="F319" s="2738"/>
      <c r="G319" s="2738">
        <v>104000</v>
      </c>
      <c r="H319" s="2738"/>
      <c r="I319" s="2738"/>
      <c r="J319" s="2738"/>
      <c r="K319" s="2738"/>
      <c r="L319" s="2743"/>
      <c r="M319" s="2738">
        <f>'[10]NFMA46 '!I335</f>
        <v>104000</v>
      </c>
      <c r="N319" s="2738">
        <f>'[10]NFMA46 '!L335</f>
        <v>104000</v>
      </c>
      <c r="O319" s="2738">
        <f t="shared" si="36"/>
        <v>100</v>
      </c>
      <c r="P319" s="2739">
        <f>'[10]NFMA46 '!K335</f>
        <v>0</v>
      </c>
      <c r="Q319" s="1715">
        <f t="shared" si="37"/>
        <v>0</v>
      </c>
      <c r="R319" s="1715">
        <f t="shared" si="39"/>
        <v>104000</v>
      </c>
      <c r="S319" s="1715">
        <f t="shared" si="38"/>
        <v>100</v>
      </c>
      <c r="T319" s="1715"/>
      <c r="U319" s="1715">
        <f t="shared" si="40"/>
        <v>0</v>
      </c>
      <c r="V319" s="2658"/>
    </row>
    <row r="320" spans="1:22" s="1041" customFormat="1" ht="109.5" customHeight="1">
      <c r="A320" s="2658">
        <v>62</v>
      </c>
      <c r="B320" s="2735" t="s">
        <v>5224</v>
      </c>
      <c r="C320" s="2740" t="s">
        <v>5380</v>
      </c>
      <c r="D320" s="2741"/>
      <c r="E320" s="2742" t="s">
        <v>793</v>
      </c>
      <c r="F320" s="2738"/>
      <c r="G320" s="2738">
        <v>104000</v>
      </c>
      <c r="H320" s="2738"/>
      <c r="I320" s="2738"/>
      <c r="J320" s="2738"/>
      <c r="K320" s="2738"/>
      <c r="L320" s="2743"/>
      <c r="M320" s="2738">
        <f>'[10]NFMA46 '!I336</f>
        <v>104000</v>
      </c>
      <c r="N320" s="2738">
        <f>'[10]NFMA46 '!L336</f>
        <v>104000</v>
      </c>
      <c r="O320" s="2738">
        <f t="shared" si="36"/>
        <v>100</v>
      </c>
      <c r="P320" s="2739">
        <f>'[10]NFMA46 '!K336</f>
        <v>0</v>
      </c>
      <c r="Q320" s="1715">
        <f t="shared" si="37"/>
        <v>0</v>
      </c>
      <c r="R320" s="1715">
        <f t="shared" si="39"/>
        <v>104000</v>
      </c>
      <c r="S320" s="1715">
        <f t="shared" si="38"/>
        <v>100</v>
      </c>
      <c r="T320" s="1715"/>
      <c r="U320" s="1715">
        <f t="shared" si="40"/>
        <v>0</v>
      </c>
      <c r="V320" s="2658"/>
    </row>
    <row r="321" spans="1:22" s="1041" customFormat="1" ht="109.5" customHeight="1">
      <c r="A321" s="2658">
        <v>63</v>
      </c>
      <c r="B321" s="2735" t="s">
        <v>5246</v>
      </c>
      <c r="C321" s="2740" t="s">
        <v>4774</v>
      </c>
      <c r="D321" s="2741"/>
      <c r="E321" s="2742" t="s">
        <v>548</v>
      </c>
      <c r="F321" s="2738"/>
      <c r="G321" s="2738">
        <v>312000</v>
      </c>
      <c r="H321" s="2738"/>
      <c r="I321" s="2738"/>
      <c r="J321" s="2738"/>
      <c r="K321" s="2738"/>
      <c r="L321" s="2743"/>
      <c r="M321" s="2738">
        <f>'[10]NFMA46 '!I337</f>
        <v>312000</v>
      </c>
      <c r="N321" s="2738">
        <f>'[10]NFMA46 '!L337</f>
        <v>104000</v>
      </c>
      <c r="O321" s="2738">
        <f t="shared" si="36"/>
        <v>33.333333333333329</v>
      </c>
      <c r="P321" s="2739">
        <f>'[10]NFMA46 '!K337</f>
        <v>173200</v>
      </c>
      <c r="Q321" s="1715">
        <f t="shared" si="37"/>
        <v>55.512820512820518</v>
      </c>
      <c r="R321" s="1715">
        <f t="shared" si="39"/>
        <v>277200</v>
      </c>
      <c r="S321" s="1715">
        <f t="shared" si="38"/>
        <v>88.84615384615384</v>
      </c>
      <c r="T321" s="1715"/>
      <c r="U321" s="1715">
        <f t="shared" si="40"/>
        <v>34800</v>
      </c>
      <c r="V321" s="2658"/>
    </row>
    <row r="322" spans="1:22" s="1041" customFormat="1" ht="109.5" customHeight="1">
      <c r="A322" s="2658">
        <v>64</v>
      </c>
      <c r="B322" s="2735" t="s">
        <v>5247</v>
      </c>
      <c r="C322" s="2740" t="s">
        <v>4775</v>
      </c>
      <c r="D322" s="2741"/>
      <c r="E322" s="2742" t="s">
        <v>548</v>
      </c>
      <c r="F322" s="2738"/>
      <c r="G322" s="2738">
        <v>104000</v>
      </c>
      <c r="H322" s="2738"/>
      <c r="I322" s="2738"/>
      <c r="J322" s="2738"/>
      <c r="K322" s="2738"/>
      <c r="L322" s="2743"/>
      <c r="M322" s="2738">
        <f>'[10]NFMA46 '!I338</f>
        <v>104000</v>
      </c>
      <c r="N322" s="2738">
        <f>'[10]NFMA46 '!L338</f>
        <v>104000</v>
      </c>
      <c r="O322" s="2738">
        <f t="shared" si="36"/>
        <v>100</v>
      </c>
      <c r="P322" s="2739">
        <f>'[10]NFMA46 '!K338</f>
        <v>0</v>
      </c>
      <c r="Q322" s="1715">
        <f t="shared" si="37"/>
        <v>0</v>
      </c>
      <c r="R322" s="1715">
        <f t="shared" si="39"/>
        <v>104000</v>
      </c>
      <c r="S322" s="1715">
        <f t="shared" si="38"/>
        <v>100</v>
      </c>
      <c r="T322" s="1715"/>
      <c r="U322" s="1715">
        <f t="shared" si="40"/>
        <v>0</v>
      </c>
      <c r="V322" s="2658"/>
    </row>
    <row r="323" spans="1:22" s="1041" customFormat="1" ht="109.5" customHeight="1">
      <c r="A323" s="2658">
        <v>65</v>
      </c>
      <c r="B323" s="2735" t="s">
        <v>5245</v>
      </c>
      <c r="C323" s="2740" t="s">
        <v>4776</v>
      </c>
      <c r="D323" s="2741"/>
      <c r="E323" s="2742" t="s">
        <v>548</v>
      </c>
      <c r="F323" s="2738"/>
      <c r="G323" s="2738">
        <v>104000</v>
      </c>
      <c r="H323" s="2738"/>
      <c r="I323" s="2738"/>
      <c r="J323" s="2738"/>
      <c r="K323" s="2738"/>
      <c r="L323" s="2743"/>
      <c r="M323" s="2738">
        <f>'[10]NFMA46 '!I339</f>
        <v>104000</v>
      </c>
      <c r="N323" s="2738">
        <f>'[10]NFMA46 '!L339</f>
        <v>0</v>
      </c>
      <c r="O323" s="2738">
        <f t="shared" si="36"/>
        <v>0</v>
      </c>
      <c r="P323" s="2739">
        <f>'[10]NFMA46 '!K339</f>
        <v>104000</v>
      </c>
      <c r="Q323" s="1715">
        <f t="shared" si="37"/>
        <v>100</v>
      </c>
      <c r="R323" s="1715">
        <f t="shared" si="39"/>
        <v>104000</v>
      </c>
      <c r="S323" s="1715">
        <f t="shared" si="38"/>
        <v>100</v>
      </c>
      <c r="T323" s="1715"/>
      <c r="U323" s="1715">
        <f t="shared" si="40"/>
        <v>0</v>
      </c>
      <c r="V323" s="2658"/>
    </row>
    <row r="324" spans="1:22" s="1041" customFormat="1" ht="109.5" customHeight="1">
      <c r="A324" s="2658">
        <v>66</v>
      </c>
      <c r="B324" s="2735" t="s">
        <v>5239</v>
      </c>
      <c r="C324" s="2740" t="s">
        <v>5382</v>
      </c>
      <c r="D324" s="2741"/>
      <c r="E324" s="2742" t="s">
        <v>548</v>
      </c>
      <c r="F324" s="2738"/>
      <c r="G324" s="2738">
        <v>416000</v>
      </c>
      <c r="H324" s="2738"/>
      <c r="I324" s="2738"/>
      <c r="J324" s="2738"/>
      <c r="K324" s="2738"/>
      <c r="L324" s="2743"/>
      <c r="M324" s="2738">
        <f>'[10]NFMA46 '!I340</f>
        <v>416000</v>
      </c>
      <c r="N324" s="2738">
        <f>'[10]NFMA46 '!L340</f>
        <v>0</v>
      </c>
      <c r="O324" s="2738">
        <f t="shared" si="36"/>
        <v>0</v>
      </c>
      <c r="P324" s="2739">
        <f>'[10]NFMA46 '!K340</f>
        <v>416000</v>
      </c>
      <c r="Q324" s="1715">
        <f t="shared" si="37"/>
        <v>100</v>
      </c>
      <c r="R324" s="1715">
        <f t="shared" si="39"/>
        <v>416000</v>
      </c>
      <c r="S324" s="1715">
        <f t="shared" si="38"/>
        <v>100</v>
      </c>
      <c r="T324" s="1715"/>
      <c r="U324" s="1715">
        <f t="shared" si="40"/>
        <v>0</v>
      </c>
      <c r="V324" s="2658"/>
    </row>
    <row r="325" spans="1:22" s="1041" customFormat="1" ht="109.5" customHeight="1">
      <c r="A325" s="2658">
        <v>67</v>
      </c>
      <c r="B325" s="2735" t="s">
        <v>5248</v>
      </c>
      <c r="C325" s="2740" t="s">
        <v>5383</v>
      </c>
      <c r="D325" s="2741"/>
      <c r="E325" s="2742" t="s">
        <v>548</v>
      </c>
      <c r="F325" s="2738"/>
      <c r="G325" s="2738">
        <v>416000</v>
      </c>
      <c r="H325" s="2738"/>
      <c r="I325" s="2738"/>
      <c r="J325" s="2738"/>
      <c r="K325" s="2738"/>
      <c r="L325" s="2743"/>
      <c r="M325" s="2738">
        <f>'[10]NFMA46 '!I341</f>
        <v>416000</v>
      </c>
      <c r="N325" s="2738">
        <f>'[10]NFMA46 '!L341</f>
        <v>312000</v>
      </c>
      <c r="O325" s="2738">
        <f t="shared" ref="O325:O388" si="41">N325/M325*100</f>
        <v>75</v>
      </c>
      <c r="P325" s="2739">
        <f>'[10]NFMA46 '!K341</f>
        <v>104000</v>
      </c>
      <c r="Q325" s="1715">
        <f t="shared" ref="Q325:Q388" si="42">P325/M325*100</f>
        <v>25</v>
      </c>
      <c r="R325" s="1715">
        <f t="shared" si="39"/>
        <v>416000</v>
      </c>
      <c r="S325" s="1715">
        <f t="shared" ref="S325:S388" si="43">R325/M325*100</f>
        <v>100</v>
      </c>
      <c r="T325" s="1715"/>
      <c r="U325" s="1715">
        <f t="shared" si="40"/>
        <v>0</v>
      </c>
      <c r="V325" s="2658"/>
    </row>
    <row r="326" spans="1:22" s="1041" customFormat="1" ht="109.5" customHeight="1">
      <c r="A326" s="2658">
        <v>68</v>
      </c>
      <c r="B326" s="2735" t="s">
        <v>5244</v>
      </c>
      <c r="C326" s="2740" t="s">
        <v>5384</v>
      </c>
      <c r="D326" s="2741"/>
      <c r="E326" s="2742" t="s">
        <v>548</v>
      </c>
      <c r="F326" s="2738"/>
      <c r="G326" s="2738">
        <v>104000</v>
      </c>
      <c r="H326" s="2738"/>
      <c r="I326" s="2738"/>
      <c r="J326" s="2738"/>
      <c r="K326" s="2738"/>
      <c r="L326" s="2743"/>
      <c r="M326" s="2738">
        <f>'[10]NFMA46 '!I342</f>
        <v>104000</v>
      </c>
      <c r="N326" s="2738">
        <f>'[10]NFMA46 '!L342</f>
        <v>104000</v>
      </c>
      <c r="O326" s="2738">
        <f t="shared" si="41"/>
        <v>100</v>
      </c>
      <c r="P326" s="2739">
        <f>'[10]NFMA46 '!K342</f>
        <v>0</v>
      </c>
      <c r="Q326" s="1715">
        <f t="shared" si="42"/>
        <v>0</v>
      </c>
      <c r="R326" s="1715">
        <f t="shared" si="39"/>
        <v>104000</v>
      </c>
      <c r="S326" s="1715">
        <f t="shared" si="43"/>
        <v>100</v>
      </c>
      <c r="T326" s="1715"/>
      <c r="U326" s="1715">
        <f t="shared" si="40"/>
        <v>0</v>
      </c>
      <c r="V326" s="2658"/>
    </row>
    <row r="327" spans="1:22" s="1041" customFormat="1" ht="109.5" customHeight="1">
      <c r="A327" s="2658">
        <v>69</v>
      </c>
      <c r="B327" s="2735" t="s">
        <v>5242</v>
      </c>
      <c r="C327" s="2740" t="s">
        <v>4778</v>
      </c>
      <c r="D327" s="2741"/>
      <c r="E327" s="2742" t="s">
        <v>548</v>
      </c>
      <c r="F327" s="2738"/>
      <c r="G327" s="2738">
        <v>520000</v>
      </c>
      <c r="H327" s="2738"/>
      <c r="I327" s="2738"/>
      <c r="J327" s="2738"/>
      <c r="K327" s="2738"/>
      <c r="L327" s="2743"/>
      <c r="M327" s="2738">
        <f>'[10]NFMA46 '!I343</f>
        <v>520000</v>
      </c>
      <c r="N327" s="2738">
        <f>'[10]NFMA46 '!L343</f>
        <v>520000</v>
      </c>
      <c r="O327" s="2738">
        <f t="shared" si="41"/>
        <v>100</v>
      </c>
      <c r="P327" s="2739">
        <f>'[10]NFMA46 '!K343</f>
        <v>0</v>
      </c>
      <c r="Q327" s="1715">
        <f t="shared" si="42"/>
        <v>0</v>
      </c>
      <c r="R327" s="1715">
        <f t="shared" ref="R327:R390" si="44">P327+N327</f>
        <v>520000</v>
      </c>
      <c r="S327" s="1715">
        <f t="shared" si="43"/>
        <v>100</v>
      </c>
      <c r="T327" s="1715"/>
      <c r="U327" s="1715">
        <f t="shared" ref="U327:U390" si="45">M327-R327</f>
        <v>0</v>
      </c>
      <c r="V327" s="2658"/>
    </row>
    <row r="328" spans="1:22" s="1041" customFormat="1" ht="109.5" customHeight="1">
      <c r="A328" s="2658">
        <v>70</v>
      </c>
      <c r="B328" s="2735" t="s">
        <v>5878</v>
      </c>
      <c r="C328" s="2740" t="s">
        <v>4779</v>
      </c>
      <c r="D328" s="2741"/>
      <c r="E328" s="2742" t="s">
        <v>548</v>
      </c>
      <c r="F328" s="2738"/>
      <c r="G328" s="2738">
        <v>416000</v>
      </c>
      <c r="H328" s="2738"/>
      <c r="I328" s="2738"/>
      <c r="J328" s="2738"/>
      <c r="K328" s="2738"/>
      <c r="L328" s="2743"/>
      <c r="M328" s="2738">
        <f>'[10]NFMA46 '!I344</f>
        <v>416000</v>
      </c>
      <c r="N328" s="2738">
        <f>'[10]NFMA46 '!L344</f>
        <v>0</v>
      </c>
      <c r="O328" s="2738">
        <f t="shared" si="41"/>
        <v>0</v>
      </c>
      <c r="P328" s="2739">
        <f>'[10]NFMA46 '!K344</f>
        <v>416000</v>
      </c>
      <c r="Q328" s="1715">
        <f t="shared" si="42"/>
        <v>100</v>
      </c>
      <c r="R328" s="1715">
        <f t="shared" si="44"/>
        <v>416000</v>
      </c>
      <c r="S328" s="1715">
        <f t="shared" si="43"/>
        <v>100</v>
      </c>
      <c r="T328" s="1715"/>
      <c r="U328" s="1715">
        <f t="shared" si="45"/>
        <v>0</v>
      </c>
      <c r="V328" s="2658"/>
    </row>
    <row r="329" spans="1:22" s="1041" customFormat="1" ht="109.5" customHeight="1">
      <c r="A329" s="2658">
        <v>71</v>
      </c>
      <c r="B329" s="2735" t="s">
        <v>5879</v>
      </c>
      <c r="C329" s="2740" t="s">
        <v>4780</v>
      </c>
      <c r="D329" s="2741"/>
      <c r="E329" s="2742" t="s">
        <v>548</v>
      </c>
      <c r="F329" s="2738"/>
      <c r="G329" s="2738">
        <v>104000</v>
      </c>
      <c r="H329" s="2738"/>
      <c r="I329" s="2738"/>
      <c r="J329" s="2738"/>
      <c r="K329" s="2738"/>
      <c r="L329" s="2743"/>
      <c r="M329" s="2738">
        <f>'[10]NFMA46 '!I345</f>
        <v>104000</v>
      </c>
      <c r="N329" s="2738">
        <f>'[10]NFMA46 '!L345</f>
        <v>104000</v>
      </c>
      <c r="O329" s="2738">
        <f t="shared" si="41"/>
        <v>100</v>
      </c>
      <c r="P329" s="2739">
        <f>'[10]NFMA46 '!K345</f>
        <v>0</v>
      </c>
      <c r="Q329" s="1715">
        <f t="shared" si="42"/>
        <v>0</v>
      </c>
      <c r="R329" s="1715">
        <f t="shared" si="44"/>
        <v>104000</v>
      </c>
      <c r="S329" s="1715">
        <f t="shared" si="43"/>
        <v>100</v>
      </c>
      <c r="T329" s="1715"/>
      <c r="U329" s="1715">
        <f t="shared" si="45"/>
        <v>0</v>
      </c>
      <c r="V329" s="2658"/>
    </row>
    <row r="330" spans="1:22" s="1041" customFormat="1" ht="109.5" customHeight="1">
      <c r="A330" s="2658">
        <v>72</v>
      </c>
      <c r="B330" s="2735" t="s">
        <v>5235</v>
      </c>
      <c r="C330" s="2740" t="s">
        <v>4781</v>
      </c>
      <c r="D330" s="2741"/>
      <c r="E330" s="2742" t="s">
        <v>548</v>
      </c>
      <c r="F330" s="2738"/>
      <c r="G330" s="2738">
        <v>208000</v>
      </c>
      <c r="H330" s="2738"/>
      <c r="I330" s="2738"/>
      <c r="J330" s="2738"/>
      <c r="K330" s="2738"/>
      <c r="L330" s="2743"/>
      <c r="M330" s="2738">
        <f>'[10]NFMA46 '!I347</f>
        <v>208000</v>
      </c>
      <c r="N330" s="2738">
        <f>'[10]NFMA46 '!L347</f>
        <v>173204.22</v>
      </c>
      <c r="O330" s="2738">
        <f t="shared" si="41"/>
        <v>83.271259615384622</v>
      </c>
      <c r="P330" s="2739">
        <f>'[10]NFMA46 '!K347</f>
        <v>0</v>
      </c>
      <c r="Q330" s="1715">
        <f t="shared" si="42"/>
        <v>0</v>
      </c>
      <c r="R330" s="1715">
        <f t="shared" si="44"/>
        <v>173204.22</v>
      </c>
      <c r="S330" s="1715">
        <f t="shared" si="43"/>
        <v>83.271259615384622</v>
      </c>
      <c r="T330" s="1715"/>
      <c r="U330" s="1715">
        <f t="shared" si="45"/>
        <v>34795.78</v>
      </c>
      <c r="V330" s="2658"/>
    </row>
    <row r="331" spans="1:22" s="1041" customFormat="1" ht="109.5" customHeight="1">
      <c r="A331" s="2658">
        <v>73</v>
      </c>
      <c r="B331" s="2735" t="s">
        <v>5241</v>
      </c>
      <c r="C331" s="2740" t="s">
        <v>4782</v>
      </c>
      <c r="D331" s="2741"/>
      <c r="E331" s="2742" t="s">
        <v>548</v>
      </c>
      <c r="F331" s="2738"/>
      <c r="G331" s="2738">
        <v>208000</v>
      </c>
      <c r="H331" s="2738"/>
      <c r="I331" s="2738"/>
      <c r="J331" s="2738"/>
      <c r="K331" s="2738"/>
      <c r="L331" s="2743"/>
      <c r="M331" s="2738">
        <f>'[10]NFMA46 '!I348</f>
        <v>208000</v>
      </c>
      <c r="N331" s="2738">
        <f>'[10]NFMA46 '!L348</f>
        <v>208000</v>
      </c>
      <c r="O331" s="2738">
        <f t="shared" si="41"/>
        <v>100</v>
      </c>
      <c r="P331" s="2739">
        <f>'[10]NFMA46 '!K348</f>
        <v>0</v>
      </c>
      <c r="Q331" s="1715">
        <f t="shared" si="42"/>
        <v>0</v>
      </c>
      <c r="R331" s="1715">
        <f t="shared" si="44"/>
        <v>208000</v>
      </c>
      <c r="S331" s="1715">
        <f t="shared" si="43"/>
        <v>100</v>
      </c>
      <c r="T331" s="1715"/>
      <c r="U331" s="1715">
        <f t="shared" si="45"/>
        <v>0</v>
      </c>
      <c r="V331" s="2658"/>
    </row>
    <row r="332" spans="1:22" s="1041" customFormat="1" ht="109.5" customHeight="1">
      <c r="A332" s="2658">
        <v>74</v>
      </c>
      <c r="B332" s="2735" t="s">
        <v>5880</v>
      </c>
      <c r="C332" s="2740" t="s">
        <v>4783</v>
      </c>
      <c r="D332" s="2741"/>
      <c r="E332" s="2742" t="s">
        <v>548</v>
      </c>
      <c r="F332" s="2738"/>
      <c r="G332" s="2738">
        <v>312000</v>
      </c>
      <c r="H332" s="2738"/>
      <c r="I332" s="2738"/>
      <c r="J332" s="2738"/>
      <c r="K332" s="2738"/>
      <c r="L332" s="2743"/>
      <c r="M332" s="2738">
        <f>'[10]NFMA46 '!I349</f>
        <v>312000</v>
      </c>
      <c r="N332" s="2738">
        <f>'[10]NFMA46 '!L349</f>
        <v>0</v>
      </c>
      <c r="O332" s="2738">
        <f t="shared" si="41"/>
        <v>0</v>
      </c>
      <c r="P332" s="2739">
        <f>'[10]NFMA46 '!K349</f>
        <v>312000</v>
      </c>
      <c r="Q332" s="1715">
        <f t="shared" si="42"/>
        <v>100</v>
      </c>
      <c r="R332" s="1715">
        <f t="shared" si="44"/>
        <v>312000</v>
      </c>
      <c r="S332" s="1715">
        <f t="shared" si="43"/>
        <v>100</v>
      </c>
      <c r="T332" s="1715"/>
      <c r="U332" s="1715">
        <f t="shared" si="45"/>
        <v>0</v>
      </c>
      <c r="V332" s="2658"/>
    </row>
    <row r="333" spans="1:22" s="1041" customFormat="1" ht="109.5" customHeight="1">
      <c r="A333" s="2658">
        <v>75</v>
      </c>
      <c r="B333" s="2735" t="s">
        <v>5237</v>
      </c>
      <c r="C333" s="2740" t="s">
        <v>4784</v>
      </c>
      <c r="D333" s="2741"/>
      <c r="E333" s="2742" t="s">
        <v>548</v>
      </c>
      <c r="F333" s="2738"/>
      <c r="G333" s="2738">
        <v>104000</v>
      </c>
      <c r="H333" s="2738"/>
      <c r="I333" s="2738"/>
      <c r="J333" s="2738"/>
      <c r="K333" s="2738"/>
      <c r="L333" s="2743"/>
      <c r="M333" s="2738">
        <f>'[10]NFMA46 '!I350</f>
        <v>104000</v>
      </c>
      <c r="N333" s="2738">
        <f>'[10]NFMA46 '!L350</f>
        <v>104000</v>
      </c>
      <c r="O333" s="2738">
        <f t="shared" si="41"/>
        <v>100</v>
      </c>
      <c r="P333" s="2739">
        <f>'[10]NFMA46 '!K350</f>
        <v>0</v>
      </c>
      <c r="Q333" s="1715">
        <f t="shared" si="42"/>
        <v>0</v>
      </c>
      <c r="R333" s="1715">
        <f t="shared" si="44"/>
        <v>104000</v>
      </c>
      <c r="S333" s="1715">
        <f t="shared" si="43"/>
        <v>100</v>
      </c>
      <c r="T333" s="1715"/>
      <c r="U333" s="1715">
        <f t="shared" si="45"/>
        <v>0</v>
      </c>
      <c r="V333" s="2658"/>
    </row>
    <row r="334" spans="1:22" s="1041" customFormat="1" ht="109.5" customHeight="1">
      <c r="A334" s="2658">
        <v>76</v>
      </c>
      <c r="B334" s="2735" t="s">
        <v>5240</v>
      </c>
      <c r="C334" s="2740" t="s">
        <v>4786</v>
      </c>
      <c r="D334" s="2741"/>
      <c r="E334" s="2742" t="s">
        <v>548</v>
      </c>
      <c r="F334" s="2738"/>
      <c r="G334" s="2738">
        <v>104000</v>
      </c>
      <c r="H334" s="2738"/>
      <c r="I334" s="2738"/>
      <c r="J334" s="2738"/>
      <c r="K334" s="2738"/>
      <c r="L334" s="2743"/>
      <c r="M334" s="2738">
        <f>'[10]NFMA46 '!I351</f>
        <v>104000</v>
      </c>
      <c r="N334" s="2738">
        <f>'[10]NFMA46 '!L351</f>
        <v>0</v>
      </c>
      <c r="O334" s="2738">
        <f t="shared" si="41"/>
        <v>0</v>
      </c>
      <c r="P334" s="2739">
        <f>'[10]NFMA46 '!K351</f>
        <v>104000</v>
      </c>
      <c r="Q334" s="1715">
        <f t="shared" si="42"/>
        <v>100</v>
      </c>
      <c r="R334" s="1715">
        <f t="shared" si="44"/>
        <v>104000</v>
      </c>
      <c r="S334" s="1715">
        <f t="shared" si="43"/>
        <v>100</v>
      </c>
      <c r="T334" s="1715"/>
      <c r="U334" s="1715">
        <f t="shared" si="45"/>
        <v>0</v>
      </c>
      <c r="V334" s="2658"/>
    </row>
    <row r="335" spans="1:22" s="1041" customFormat="1" ht="109.5" customHeight="1">
      <c r="A335" s="2658">
        <v>77</v>
      </c>
      <c r="B335" s="2735" t="s">
        <v>5881</v>
      </c>
      <c r="C335" s="2740" t="s">
        <v>4787</v>
      </c>
      <c r="D335" s="2741"/>
      <c r="E335" s="2742" t="s">
        <v>548</v>
      </c>
      <c r="F335" s="2738"/>
      <c r="G335" s="2738">
        <v>208000</v>
      </c>
      <c r="H335" s="2738"/>
      <c r="I335" s="2738"/>
      <c r="J335" s="2738"/>
      <c r="K335" s="2738"/>
      <c r="L335" s="2743"/>
      <c r="M335" s="2738">
        <f>'[10]NFMA46 '!I352</f>
        <v>208000</v>
      </c>
      <c r="N335" s="2738">
        <f>'[10]NFMA46 '!L352</f>
        <v>0</v>
      </c>
      <c r="O335" s="2738">
        <f t="shared" si="41"/>
        <v>0</v>
      </c>
      <c r="P335" s="2739">
        <f>'[10]NFMA46 '!K352</f>
        <v>208000</v>
      </c>
      <c r="Q335" s="1715">
        <f t="shared" si="42"/>
        <v>100</v>
      </c>
      <c r="R335" s="1715">
        <f t="shared" si="44"/>
        <v>208000</v>
      </c>
      <c r="S335" s="1715">
        <f t="shared" si="43"/>
        <v>100</v>
      </c>
      <c r="T335" s="1715"/>
      <c r="U335" s="1715">
        <f t="shared" si="45"/>
        <v>0</v>
      </c>
      <c r="V335" s="2658"/>
    </row>
    <row r="336" spans="1:22" s="1041" customFormat="1" ht="109.5" customHeight="1">
      <c r="A336" s="2658">
        <v>78</v>
      </c>
      <c r="B336" s="2735" t="s">
        <v>5243</v>
      </c>
      <c r="C336" s="2740" t="s">
        <v>4788</v>
      </c>
      <c r="D336" s="2741"/>
      <c r="E336" s="2742" t="s">
        <v>548</v>
      </c>
      <c r="F336" s="2738"/>
      <c r="G336" s="2738">
        <v>208000</v>
      </c>
      <c r="H336" s="2738"/>
      <c r="I336" s="2738"/>
      <c r="J336" s="2738"/>
      <c r="K336" s="2738"/>
      <c r="L336" s="2743"/>
      <c r="M336" s="2738">
        <f>'[10]NFMA46 '!I353</f>
        <v>208000</v>
      </c>
      <c r="N336" s="2738">
        <f>'[10]NFMA46 '!L353</f>
        <v>0</v>
      </c>
      <c r="O336" s="2738">
        <f t="shared" si="41"/>
        <v>0</v>
      </c>
      <c r="P336" s="2739">
        <f>'[10]NFMA46 '!K353</f>
        <v>208000</v>
      </c>
      <c r="Q336" s="1715">
        <f t="shared" si="42"/>
        <v>100</v>
      </c>
      <c r="R336" s="1715">
        <f t="shared" si="44"/>
        <v>208000</v>
      </c>
      <c r="S336" s="1715">
        <f t="shared" si="43"/>
        <v>100</v>
      </c>
      <c r="T336" s="1715"/>
      <c r="U336" s="1715">
        <f t="shared" si="45"/>
        <v>0</v>
      </c>
      <c r="V336" s="2658"/>
    </row>
    <row r="337" spans="1:22" s="1041" customFormat="1" ht="109.5" customHeight="1">
      <c r="A337" s="2658">
        <v>79</v>
      </c>
      <c r="B337" s="2735" t="s">
        <v>5238</v>
      </c>
      <c r="C337" s="2740" t="s">
        <v>4789</v>
      </c>
      <c r="D337" s="2741"/>
      <c r="E337" s="2742" t="s">
        <v>548</v>
      </c>
      <c r="F337" s="2738"/>
      <c r="G337" s="2738">
        <v>104000</v>
      </c>
      <c r="H337" s="2738"/>
      <c r="I337" s="2738"/>
      <c r="J337" s="2738"/>
      <c r="K337" s="2738"/>
      <c r="L337" s="2743"/>
      <c r="M337" s="2738">
        <f>'[10]NFMA46 '!I354</f>
        <v>104000</v>
      </c>
      <c r="N337" s="2738">
        <f>'[10]NFMA46 '!L354</f>
        <v>0</v>
      </c>
      <c r="O337" s="2738">
        <f t="shared" si="41"/>
        <v>0</v>
      </c>
      <c r="P337" s="2739">
        <f>'[10]NFMA46 '!K354</f>
        <v>104000</v>
      </c>
      <c r="Q337" s="1715">
        <f t="shared" si="42"/>
        <v>100</v>
      </c>
      <c r="R337" s="1715">
        <f t="shared" si="44"/>
        <v>104000</v>
      </c>
      <c r="S337" s="1715">
        <f t="shared" si="43"/>
        <v>100</v>
      </c>
      <c r="T337" s="1715"/>
      <c r="U337" s="1715">
        <f t="shared" si="45"/>
        <v>0</v>
      </c>
      <c r="V337" s="2658"/>
    </row>
    <row r="338" spans="1:22" s="1041" customFormat="1" ht="109.5" customHeight="1">
      <c r="A338" s="2658">
        <v>80</v>
      </c>
      <c r="B338" s="2735" t="s">
        <v>5397</v>
      </c>
      <c r="C338" s="2740" t="s">
        <v>4791</v>
      </c>
      <c r="D338" s="2741"/>
      <c r="E338" s="2742" t="s">
        <v>576</v>
      </c>
      <c r="F338" s="2738"/>
      <c r="G338" s="2738">
        <v>104000</v>
      </c>
      <c r="H338" s="2738"/>
      <c r="I338" s="2738"/>
      <c r="J338" s="2738"/>
      <c r="K338" s="2738"/>
      <c r="L338" s="2743">
        <v>5500</v>
      </c>
      <c r="M338" s="2738">
        <f>'[10]NFMA46 '!I355-L338</f>
        <v>98500</v>
      </c>
      <c r="N338" s="2738">
        <f>'[10]NFMA46 '!L355</f>
        <v>98500</v>
      </c>
      <c r="O338" s="2738">
        <f t="shared" si="41"/>
        <v>100</v>
      </c>
      <c r="P338" s="2739">
        <f>'[10]NFMA46 '!K355</f>
        <v>0</v>
      </c>
      <c r="Q338" s="1715">
        <f t="shared" si="42"/>
        <v>0</v>
      </c>
      <c r="R338" s="1715">
        <f t="shared" si="44"/>
        <v>98500</v>
      </c>
      <c r="S338" s="1715">
        <f t="shared" si="43"/>
        <v>100</v>
      </c>
      <c r="T338" s="1715"/>
      <c r="U338" s="1715">
        <f t="shared" si="45"/>
        <v>0</v>
      </c>
      <c r="V338" s="2658"/>
    </row>
    <row r="339" spans="1:22" s="1041" customFormat="1" ht="109.5" customHeight="1">
      <c r="A339" s="2658">
        <v>81</v>
      </c>
      <c r="B339" s="2735" t="s">
        <v>5249</v>
      </c>
      <c r="C339" s="2740" t="s">
        <v>4794</v>
      </c>
      <c r="D339" s="2741"/>
      <c r="E339" s="2742" t="s">
        <v>576</v>
      </c>
      <c r="F339" s="2738"/>
      <c r="G339" s="2738">
        <v>104000</v>
      </c>
      <c r="H339" s="2738"/>
      <c r="I339" s="2738"/>
      <c r="J339" s="2738"/>
      <c r="K339" s="2738"/>
      <c r="L339" s="2743"/>
      <c r="M339" s="2738">
        <f>'[10]NFMA46 '!I358</f>
        <v>104000</v>
      </c>
      <c r="N339" s="2738">
        <f>'[10]NFMA46 '!L358</f>
        <v>104000</v>
      </c>
      <c r="O339" s="2738">
        <f t="shared" si="41"/>
        <v>100</v>
      </c>
      <c r="P339" s="2739">
        <f>'[10]NFMA46 '!K358</f>
        <v>0</v>
      </c>
      <c r="Q339" s="1715">
        <f t="shared" si="42"/>
        <v>0</v>
      </c>
      <c r="R339" s="1715">
        <f t="shared" si="44"/>
        <v>104000</v>
      </c>
      <c r="S339" s="1715">
        <f t="shared" si="43"/>
        <v>100</v>
      </c>
      <c r="T339" s="1715"/>
      <c r="U339" s="1715">
        <f t="shared" si="45"/>
        <v>0</v>
      </c>
      <c r="V339" s="2658"/>
    </row>
    <row r="340" spans="1:22" s="1041" customFormat="1" ht="109.5" customHeight="1">
      <c r="A340" s="2658">
        <v>82</v>
      </c>
      <c r="B340" s="2735" t="s">
        <v>5250</v>
      </c>
      <c r="C340" s="2740" t="s">
        <v>4796</v>
      </c>
      <c r="D340" s="2741"/>
      <c r="E340" s="2742" t="s">
        <v>566</v>
      </c>
      <c r="F340" s="2738"/>
      <c r="G340" s="2738">
        <v>208000</v>
      </c>
      <c r="H340" s="2738"/>
      <c r="I340" s="2738"/>
      <c r="J340" s="2738"/>
      <c r="K340" s="2738"/>
      <c r="L340" s="2743">
        <v>42500</v>
      </c>
      <c r="M340" s="2738">
        <f>'[10]NFMA46 '!I359-L340</f>
        <v>165500</v>
      </c>
      <c r="N340" s="2738">
        <f>'[10]NFMA46 '!L359</f>
        <v>104000</v>
      </c>
      <c r="O340" s="2738">
        <f t="shared" si="41"/>
        <v>62.839879154078545</v>
      </c>
      <c r="P340" s="2739">
        <f>'[10]NFMA46 '!K359</f>
        <v>61500</v>
      </c>
      <c r="Q340" s="1715">
        <f t="shared" si="42"/>
        <v>37.160120845921455</v>
      </c>
      <c r="R340" s="1715">
        <f t="shared" si="44"/>
        <v>165500</v>
      </c>
      <c r="S340" s="1715">
        <f t="shared" si="43"/>
        <v>100</v>
      </c>
      <c r="T340" s="1715"/>
      <c r="U340" s="1715">
        <f t="shared" si="45"/>
        <v>0</v>
      </c>
      <c r="V340" s="2658"/>
    </row>
    <row r="341" spans="1:22" s="1041" customFormat="1" ht="109.5" customHeight="1">
      <c r="A341" s="2658">
        <v>83</v>
      </c>
      <c r="B341" s="2735" t="s">
        <v>5882</v>
      </c>
      <c r="C341" s="2740" t="s">
        <v>4798</v>
      </c>
      <c r="D341" s="2741"/>
      <c r="E341" s="2742" t="s">
        <v>566</v>
      </c>
      <c r="F341" s="2738"/>
      <c r="G341" s="2738">
        <v>104000</v>
      </c>
      <c r="H341" s="2738"/>
      <c r="I341" s="2738"/>
      <c r="J341" s="2738"/>
      <c r="K341" s="2738"/>
      <c r="L341" s="2743">
        <v>10800</v>
      </c>
      <c r="M341" s="2738">
        <f>'[10]NFMA46 '!I360-L341</f>
        <v>93200</v>
      </c>
      <c r="N341" s="2738">
        <f>'[10]NFMA46 '!L360</f>
        <v>0</v>
      </c>
      <c r="O341" s="2738">
        <f t="shared" si="41"/>
        <v>0</v>
      </c>
      <c r="P341" s="2739">
        <f>'[10]NFMA46 '!K360</f>
        <v>93200</v>
      </c>
      <c r="Q341" s="1715">
        <f t="shared" si="42"/>
        <v>100</v>
      </c>
      <c r="R341" s="1715">
        <f t="shared" si="44"/>
        <v>93200</v>
      </c>
      <c r="S341" s="1715">
        <f t="shared" si="43"/>
        <v>100</v>
      </c>
      <c r="T341" s="1715"/>
      <c r="U341" s="1715">
        <f t="shared" si="45"/>
        <v>0</v>
      </c>
      <c r="V341" s="2658"/>
    </row>
    <row r="342" spans="1:22" s="1041" customFormat="1" ht="109.5" customHeight="1">
      <c r="A342" s="2658">
        <v>84</v>
      </c>
      <c r="B342" s="2735" t="s">
        <v>5251</v>
      </c>
      <c r="C342" s="2740" t="s">
        <v>4799</v>
      </c>
      <c r="D342" s="2741"/>
      <c r="E342" s="2742" t="s">
        <v>566</v>
      </c>
      <c r="F342" s="2738"/>
      <c r="G342" s="2738">
        <v>104000</v>
      </c>
      <c r="H342" s="2738"/>
      <c r="I342" s="2738"/>
      <c r="J342" s="2738"/>
      <c r="K342" s="2738"/>
      <c r="L342" s="2743"/>
      <c r="M342" s="2738">
        <f>'[10]NFMA46 '!I361</f>
        <v>104000</v>
      </c>
      <c r="N342" s="2738">
        <f>'[10]NFMA46 '!L361</f>
        <v>0</v>
      </c>
      <c r="O342" s="2738">
        <f t="shared" si="41"/>
        <v>0</v>
      </c>
      <c r="P342" s="2739">
        <f>'[10]NFMA46 '!K361</f>
        <v>104000</v>
      </c>
      <c r="Q342" s="1715">
        <f t="shared" si="42"/>
        <v>100</v>
      </c>
      <c r="R342" s="1715">
        <f t="shared" si="44"/>
        <v>104000</v>
      </c>
      <c r="S342" s="1715">
        <f t="shared" si="43"/>
        <v>100</v>
      </c>
      <c r="T342" s="1715"/>
      <c r="U342" s="1715">
        <f t="shared" si="45"/>
        <v>0</v>
      </c>
      <c r="V342" s="2658"/>
    </row>
    <row r="343" spans="1:22" s="1041" customFormat="1" ht="109.5" customHeight="1">
      <c r="A343" s="2658">
        <v>85</v>
      </c>
      <c r="B343" s="2735" t="s">
        <v>5252</v>
      </c>
      <c r="C343" s="2740" t="s">
        <v>4800</v>
      </c>
      <c r="D343" s="2741"/>
      <c r="E343" s="2742" t="s">
        <v>566</v>
      </c>
      <c r="F343" s="2738"/>
      <c r="G343" s="2738">
        <v>104000</v>
      </c>
      <c r="H343" s="2738"/>
      <c r="I343" s="2738"/>
      <c r="J343" s="2738"/>
      <c r="K343" s="2738"/>
      <c r="L343" s="2743"/>
      <c r="M343" s="2738">
        <f>'[10]NFMA46 '!I362-L343</f>
        <v>104000</v>
      </c>
      <c r="N343" s="2738">
        <f>'[10]NFMA46 '!L362</f>
        <v>0</v>
      </c>
      <c r="O343" s="2738">
        <f t="shared" si="41"/>
        <v>0</v>
      </c>
      <c r="P343" s="2739">
        <f>'[10]NFMA46 '!K362</f>
        <v>84200</v>
      </c>
      <c r="Q343" s="1715">
        <f t="shared" si="42"/>
        <v>80.961538461538467</v>
      </c>
      <c r="R343" s="1715">
        <f t="shared" si="44"/>
        <v>84200</v>
      </c>
      <c r="S343" s="1715">
        <f t="shared" si="43"/>
        <v>80.961538461538467</v>
      </c>
      <c r="T343" s="1715"/>
      <c r="U343" s="1715">
        <f t="shared" si="45"/>
        <v>19800</v>
      </c>
      <c r="V343" s="2658"/>
    </row>
    <row r="344" spans="1:22" s="1041" customFormat="1" ht="109.5" customHeight="1">
      <c r="A344" s="2658">
        <v>86</v>
      </c>
      <c r="B344" s="2735" t="s">
        <v>5253</v>
      </c>
      <c r="C344" s="2740" t="s">
        <v>4801</v>
      </c>
      <c r="D344" s="2741"/>
      <c r="E344" s="2742" t="s">
        <v>563</v>
      </c>
      <c r="F344" s="2738"/>
      <c r="G344" s="2738">
        <v>104000</v>
      </c>
      <c r="H344" s="2738"/>
      <c r="I344" s="2738"/>
      <c r="J344" s="2738"/>
      <c r="K344" s="2738"/>
      <c r="L344" s="2743">
        <v>26549.74</v>
      </c>
      <c r="M344" s="2738">
        <f>'[10]NFMA46 '!I364-L344</f>
        <v>77450.259999999995</v>
      </c>
      <c r="N344" s="2738">
        <f>'[10]NFMA46 '!L364</f>
        <v>77450.259999999995</v>
      </c>
      <c r="O344" s="2738">
        <f t="shared" si="41"/>
        <v>100</v>
      </c>
      <c r="P344" s="2739">
        <f>'[10]NFMA46 '!K364</f>
        <v>0</v>
      </c>
      <c r="Q344" s="1715">
        <f t="shared" si="42"/>
        <v>0</v>
      </c>
      <c r="R344" s="1715">
        <f t="shared" si="44"/>
        <v>77450.259999999995</v>
      </c>
      <c r="S344" s="1715">
        <f t="shared" si="43"/>
        <v>100</v>
      </c>
      <c r="T344" s="1715"/>
      <c r="U344" s="1715">
        <f t="shared" si="45"/>
        <v>0</v>
      </c>
      <c r="V344" s="2658"/>
    </row>
    <row r="345" spans="1:22" s="1041" customFormat="1" ht="109.5" customHeight="1">
      <c r="A345" s="2658">
        <v>87</v>
      </c>
      <c r="B345" s="2735" t="s">
        <v>5258</v>
      </c>
      <c r="C345" s="2740" t="s">
        <v>4803</v>
      </c>
      <c r="D345" s="2741"/>
      <c r="E345" s="2742" t="s">
        <v>586</v>
      </c>
      <c r="F345" s="2738"/>
      <c r="G345" s="2738">
        <v>832000</v>
      </c>
      <c r="H345" s="2738"/>
      <c r="I345" s="2738"/>
      <c r="J345" s="2738"/>
      <c r="K345" s="2738"/>
      <c r="L345" s="2743">
        <f>136128+34242</f>
        <v>170370</v>
      </c>
      <c r="M345" s="2738">
        <f>'[10]NFMA46 '!I365-L345</f>
        <v>661630</v>
      </c>
      <c r="N345" s="2738">
        <f>'[10]NFMA46 '!L365</f>
        <v>661630</v>
      </c>
      <c r="O345" s="2738">
        <f t="shared" si="41"/>
        <v>100</v>
      </c>
      <c r="P345" s="2739">
        <f>'[10]NFMA46 '!K365</f>
        <v>0</v>
      </c>
      <c r="Q345" s="1715">
        <f t="shared" si="42"/>
        <v>0</v>
      </c>
      <c r="R345" s="1715">
        <f t="shared" si="44"/>
        <v>661630</v>
      </c>
      <c r="S345" s="1715">
        <f t="shared" si="43"/>
        <v>100</v>
      </c>
      <c r="T345" s="1715"/>
      <c r="U345" s="1715">
        <f t="shared" si="45"/>
        <v>0</v>
      </c>
      <c r="V345" s="2658"/>
    </row>
    <row r="346" spans="1:22" s="1041" customFormat="1" ht="109.5" customHeight="1">
      <c r="A346" s="2658">
        <v>88</v>
      </c>
      <c r="B346" s="2735" t="s">
        <v>5255</v>
      </c>
      <c r="C346" s="2740" t="s">
        <v>4804</v>
      </c>
      <c r="D346" s="2741"/>
      <c r="E346" s="2742" t="s">
        <v>586</v>
      </c>
      <c r="F346" s="2738"/>
      <c r="G346" s="2738">
        <v>416000</v>
      </c>
      <c r="H346" s="2738"/>
      <c r="I346" s="2738"/>
      <c r="J346" s="2738"/>
      <c r="K346" s="2738"/>
      <c r="L346" s="2743"/>
      <c r="M346" s="2738">
        <f>'[10]NFMA46 '!I366</f>
        <v>416000</v>
      </c>
      <c r="N346" s="2738">
        <f>'[10]NFMA46 '!L366</f>
        <v>208000</v>
      </c>
      <c r="O346" s="2738">
        <f t="shared" si="41"/>
        <v>50</v>
      </c>
      <c r="P346" s="2739">
        <f>'[10]NFMA46 '!K366</f>
        <v>208000</v>
      </c>
      <c r="Q346" s="1715">
        <f t="shared" si="42"/>
        <v>50</v>
      </c>
      <c r="R346" s="1715">
        <f t="shared" si="44"/>
        <v>416000</v>
      </c>
      <c r="S346" s="1715">
        <f t="shared" si="43"/>
        <v>100</v>
      </c>
      <c r="T346" s="1715"/>
      <c r="U346" s="1715">
        <f t="shared" si="45"/>
        <v>0</v>
      </c>
      <c r="V346" s="2658"/>
    </row>
    <row r="347" spans="1:22" s="1041" customFormat="1" ht="109.5" customHeight="1">
      <c r="A347" s="2658">
        <v>89</v>
      </c>
      <c r="B347" s="2735" t="s">
        <v>5256</v>
      </c>
      <c r="C347" s="2740" t="s">
        <v>4805</v>
      </c>
      <c r="D347" s="2741"/>
      <c r="E347" s="2742" t="s">
        <v>586</v>
      </c>
      <c r="F347" s="2738"/>
      <c r="G347" s="2738">
        <v>520000</v>
      </c>
      <c r="H347" s="2738"/>
      <c r="I347" s="2738"/>
      <c r="J347" s="2738"/>
      <c r="K347" s="2738"/>
      <c r="L347" s="2743"/>
      <c r="M347" s="2738">
        <f>'[10]NFMA46 '!I367</f>
        <v>520000</v>
      </c>
      <c r="N347" s="2738">
        <f>'[10]NFMA46 '!L367</f>
        <v>104000</v>
      </c>
      <c r="O347" s="2738">
        <f t="shared" si="41"/>
        <v>20</v>
      </c>
      <c r="P347" s="2739">
        <f>'[10]NFMA46 '!K367</f>
        <v>416000</v>
      </c>
      <c r="Q347" s="1715">
        <f t="shared" si="42"/>
        <v>80</v>
      </c>
      <c r="R347" s="1715">
        <f t="shared" si="44"/>
        <v>520000</v>
      </c>
      <c r="S347" s="1715">
        <f t="shared" si="43"/>
        <v>100</v>
      </c>
      <c r="T347" s="1715"/>
      <c r="U347" s="1715">
        <f t="shared" si="45"/>
        <v>0</v>
      </c>
      <c r="V347" s="2658"/>
    </row>
    <row r="348" spans="1:22" s="1041" customFormat="1" ht="109.5" customHeight="1">
      <c r="A348" s="2658">
        <v>90</v>
      </c>
      <c r="B348" s="2735" t="s">
        <v>5260</v>
      </c>
      <c r="C348" s="2740" t="s">
        <v>4807</v>
      </c>
      <c r="D348" s="2741"/>
      <c r="E348" s="2742" t="s">
        <v>586</v>
      </c>
      <c r="F348" s="2738"/>
      <c r="G348" s="2738">
        <v>208000</v>
      </c>
      <c r="H348" s="2738"/>
      <c r="I348" s="2738"/>
      <c r="J348" s="2738"/>
      <c r="K348" s="2738"/>
      <c r="L348" s="2743"/>
      <c r="M348" s="2738">
        <f>'[10]NFMA46 '!I368</f>
        <v>208000</v>
      </c>
      <c r="N348" s="2738">
        <f>'[10]NFMA46 '!L368</f>
        <v>0</v>
      </c>
      <c r="O348" s="2738">
        <f t="shared" si="41"/>
        <v>0</v>
      </c>
      <c r="P348" s="2739">
        <f>'[10]NFMA46 '!K368</f>
        <v>208000</v>
      </c>
      <c r="Q348" s="1715">
        <f t="shared" si="42"/>
        <v>100</v>
      </c>
      <c r="R348" s="1715">
        <f t="shared" si="44"/>
        <v>208000</v>
      </c>
      <c r="S348" s="1715">
        <f t="shared" si="43"/>
        <v>100</v>
      </c>
      <c r="T348" s="1715"/>
      <c r="U348" s="1715">
        <f t="shared" si="45"/>
        <v>0</v>
      </c>
      <c r="V348" s="2658"/>
    </row>
    <row r="349" spans="1:22" s="1041" customFormat="1" ht="109.5" customHeight="1">
      <c r="A349" s="2658">
        <v>91</v>
      </c>
      <c r="B349" s="2735" t="s">
        <v>5257</v>
      </c>
      <c r="C349" s="2740" t="s">
        <v>4809</v>
      </c>
      <c r="D349" s="2741"/>
      <c r="E349" s="2742" t="s">
        <v>586</v>
      </c>
      <c r="F349" s="2738"/>
      <c r="G349" s="2738">
        <v>208000</v>
      </c>
      <c r="H349" s="2738"/>
      <c r="I349" s="2738"/>
      <c r="J349" s="2738"/>
      <c r="K349" s="2738"/>
      <c r="L349" s="2743"/>
      <c r="M349" s="2738">
        <f>'[10]NFMA46 '!I369</f>
        <v>208000</v>
      </c>
      <c r="N349" s="2738">
        <f>'[10]NFMA46 '!L369</f>
        <v>104000</v>
      </c>
      <c r="O349" s="2738">
        <f t="shared" si="41"/>
        <v>50</v>
      </c>
      <c r="P349" s="2739">
        <f>'[10]NFMA46 '!K369</f>
        <v>104000</v>
      </c>
      <c r="Q349" s="1715">
        <f t="shared" si="42"/>
        <v>50</v>
      </c>
      <c r="R349" s="1715">
        <f t="shared" si="44"/>
        <v>208000</v>
      </c>
      <c r="S349" s="1715">
        <f t="shared" si="43"/>
        <v>100</v>
      </c>
      <c r="T349" s="1715"/>
      <c r="U349" s="1715">
        <f t="shared" si="45"/>
        <v>0</v>
      </c>
      <c r="V349" s="2658"/>
    </row>
    <row r="350" spans="1:22" s="1041" customFormat="1" ht="109.5" customHeight="1">
      <c r="A350" s="2658">
        <v>92</v>
      </c>
      <c r="B350" s="2735" t="s">
        <v>5259</v>
      </c>
      <c r="C350" s="2740" t="s">
        <v>4810</v>
      </c>
      <c r="D350" s="2741"/>
      <c r="E350" s="2742" t="s">
        <v>586</v>
      </c>
      <c r="F350" s="2738"/>
      <c r="G350" s="2738">
        <v>312000</v>
      </c>
      <c r="H350" s="2738"/>
      <c r="I350" s="2738"/>
      <c r="J350" s="2738"/>
      <c r="K350" s="2738"/>
      <c r="L350" s="2743"/>
      <c r="M350" s="2738">
        <f>'[10]NFMA46 '!I370</f>
        <v>312000</v>
      </c>
      <c r="N350" s="2738">
        <f>'[10]NFMA46 '!L370</f>
        <v>104000</v>
      </c>
      <c r="O350" s="2738">
        <f t="shared" si="41"/>
        <v>33.333333333333329</v>
      </c>
      <c r="P350" s="2739">
        <f>'[10]NFMA46 '!K370</f>
        <v>208000</v>
      </c>
      <c r="Q350" s="1715">
        <f t="shared" si="42"/>
        <v>66.666666666666657</v>
      </c>
      <c r="R350" s="1715">
        <f t="shared" si="44"/>
        <v>312000</v>
      </c>
      <c r="S350" s="1715">
        <f t="shared" si="43"/>
        <v>100</v>
      </c>
      <c r="T350" s="1715"/>
      <c r="U350" s="1715">
        <f t="shared" si="45"/>
        <v>0</v>
      </c>
      <c r="V350" s="2658"/>
    </row>
    <row r="351" spans="1:22" s="1041" customFormat="1" ht="109.5" customHeight="1">
      <c r="A351" s="2658">
        <v>93</v>
      </c>
      <c r="B351" s="2735" t="s">
        <v>5254</v>
      </c>
      <c r="C351" s="2740" t="s">
        <v>4811</v>
      </c>
      <c r="D351" s="2741"/>
      <c r="E351" s="2742" t="s">
        <v>586</v>
      </c>
      <c r="F351" s="2738"/>
      <c r="G351" s="2738">
        <v>624000</v>
      </c>
      <c r="H351" s="2738"/>
      <c r="I351" s="2738"/>
      <c r="J351" s="2738"/>
      <c r="K351" s="2738"/>
      <c r="L351" s="2743"/>
      <c r="M351" s="2738">
        <f>'[10]NFMA46 '!I371</f>
        <v>624000</v>
      </c>
      <c r="N351" s="2738">
        <f>'[10]NFMA46 '!L371</f>
        <v>312000</v>
      </c>
      <c r="O351" s="2738">
        <f t="shared" si="41"/>
        <v>50</v>
      </c>
      <c r="P351" s="2739">
        <f>'[10]NFMA46 '!K371</f>
        <v>312000</v>
      </c>
      <c r="Q351" s="1715">
        <f t="shared" si="42"/>
        <v>50</v>
      </c>
      <c r="R351" s="1715">
        <f t="shared" si="44"/>
        <v>624000</v>
      </c>
      <c r="S351" s="1715">
        <f t="shared" si="43"/>
        <v>100</v>
      </c>
      <c r="T351" s="1715"/>
      <c r="U351" s="1715">
        <f t="shared" si="45"/>
        <v>0</v>
      </c>
      <c r="V351" s="2658"/>
    </row>
    <row r="352" spans="1:22" s="1041" customFormat="1" ht="109.5" customHeight="1">
      <c r="A352" s="2658">
        <v>94</v>
      </c>
      <c r="B352" s="2735" t="s">
        <v>5265</v>
      </c>
      <c r="C352" s="2740" t="s">
        <v>4813</v>
      </c>
      <c r="D352" s="2741"/>
      <c r="E352" s="2742" t="s">
        <v>549</v>
      </c>
      <c r="F352" s="2738"/>
      <c r="G352" s="2738">
        <v>416000</v>
      </c>
      <c r="H352" s="2738"/>
      <c r="I352" s="2738"/>
      <c r="J352" s="2738"/>
      <c r="K352" s="2738"/>
      <c r="L352" s="2743"/>
      <c r="M352" s="2738">
        <f>'[10]NFMA46 '!I372</f>
        <v>416000</v>
      </c>
      <c r="N352" s="2738">
        <f>'[10]NFMA46 '!L372</f>
        <v>416000</v>
      </c>
      <c r="O352" s="2738">
        <f t="shared" si="41"/>
        <v>100</v>
      </c>
      <c r="P352" s="2739">
        <f>'[10]NFMA46 '!K372</f>
        <v>0</v>
      </c>
      <c r="Q352" s="1715">
        <f t="shared" si="42"/>
        <v>0</v>
      </c>
      <c r="R352" s="1715">
        <f t="shared" si="44"/>
        <v>416000</v>
      </c>
      <c r="S352" s="1715">
        <f t="shared" si="43"/>
        <v>100</v>
      </c>
      <c r="T352" s="1715"/>
      <c r="U352" s="1715">
        <f t="shared" si="45"/>
        <v>0</v>
      </c>
      <c r="V352" s="2658"/>
    </row>
    <row r="353" spans="1:22" s="1041" customFormat="1" ht="109.5" customHeight="1">
      <c r="A353" s="2658">
        <v>95</v>
      </c>
      <c r="B353" s="2735" t="s">
        <v>5883</v>
      </c>
      <c r="C353" s="2740" t="s">
        <v>4814</v>
      </c>
      <c r="D353" s="2741"/>
      <c r="E353" s="2742" t="s">
        <v>549</v>
      </c>
      <c r="F353" s="2738"/>
      <c r="G353" s="2738">
        <v>208000</v>
      </c>
      <c r="H353" s="2738"/>
      <c r="I353" s="2738"/>
      <c r="J353" s="2738"/>
      <c r="K353" s="2738"/>
      <c r="L353" s="2743">
        <v>34700</v>
      </c>
      <c r="M353" s="2738">
        <f>'[10]NFMA46 '!I373-L353</f>
        <v>173300</v>
      </c>
      <c r="N353" s="2738">
        <f>'[10]NFMA46 '!L373</f>
        <v>173300</v>
      </c>
      <c r="O353" s="2738">
        <f t="shared" si="41"/>
        <v>100</v>
      </c>
      <c r="P353" s="2739">
        <f>'[10]NFMA46 '!K373</f>
        <v>0</v>
      </c>
      <c r="Q353" s="1715">
        <f t="shared" si="42"/>
        <v>0</v>
      </c>
      <c r="R353" s="1715">
        <f t="shared" si="44"/>
        <v>173300</v>
      </c>
      <c r="S353" s="1715">
        <f t="shared" si="43"/>
        <v>100</v>
      </c>
      <c r="T353" s="1715"/>
      <c r="U353" s="1715">
        <f t="shared" si="45"/>
        <v>0</v>
      </c>
      <c r="V353" s="2658"/>
    </row>
    <row r="354" spans="1:22" s="1041" customFormat="1" ht="109.5" customHeight="1">
      <c r="A354" s="2658">
        <v>96</v>
      </c>
      <c r="B354" s="2735" t="s">
        <v>5264</v>
      </c>
      <c r="C354" s="2740" t="s">
        <v>4815</v>
      </c>
      <c r="D354" s="2741"/>
      <c r="E354" s="2742" t="s">
        <v>549</v>
      </c>
      <c r="F354" s="2738"/>
      <c r="G354" s="2738">
        <v>104000</v>
      </c>
      <c r="H354" s="2738"/>
      <c r="I354" s="2738"/>
      <c r="J354" s="2738"/>
      <c r="K354" s="2738"/>
      <c r="L354" s="2743"/>
      <c r="M354" s="2738">
        <f>'[10]NFMA46 '!I374</f>
        <v>104000</v>
      </c>
      <c r="N354" s="2738">
        <f>'[10]NFMA46 '!L374</f>
        <v>104000</v>
      </c>
      <c r="O354" s="2738">
        <f t="shared" si="41"/>
        <v>100</v>
      </c>
      <c r="P354" s="2739">
        <f>'[10]NFMA46 '!K374</f>
        <v>0</v>
      </c>
      <c r="Q354" s="1715">
        <f t="shared" si="42"/>
        <v>0</v>
      </c>
      <c r="R354" s="1715">
        <f t="shared" si="44"/>
        <v>104000</v>
      </c>
      <c r="S354" s="1715">
        <f t="shared" si="43"/>
        <v>100</v>
      </c>
      <c r="T354" s="1715"/>
      <c r="U354" s="1715">
        <f t="shared" si="45"/>
        <v>0</v>
      </c>
      <c r="V354" s="2658"/>
    </row>
    <row r="355" spans="1:22" s="1041" customFormat="1" ht="109.5" customHeight="1">
      <c r="A355" s="2658">
        <v>97</v>
      </c>
      <c r="B355" s="2735" t="s">
        <v>5884</v>
      </c>
      <c r="C355" s="2740" t="s">
        <v>4817</v>
      </c>
      <c r="D355" s="2741"/>
      <c r="E355" s="2742" t="s">
        <v>549</v>
      </c>
      <c r="F355" s="2738"/>
      <c r="G355" s="2738">
        <v>208000</v>
      </c>
      <c r="H355" s="2738"/>
      <c r="I355" s="2738"/>
      <c r="J355" s="2738"/>
      <c r="K355" s="2738"/>
      <c r="L355" s="2743"/>
      <c r="M355" s="2738">
        <f>'[10]NFMA46 '!I375</f>
        <v>208000</v>
      </c>
      <c r="N355" s="2738">
        <f>'[10]NFMA46 '!L375</f>
        <v>187800</v>
      </c>
      <c r="O355" s="2738">
        <f t="shared" si="41"/>
        <v>90.288461538461533</v>
      </c>
      <c r="P355" s="2739">
        <f>'[10]NFMA46 '!K375</f>
        <v>0</v>
      </c>
      <c r="Q355" s="1715">
        <f t="shared" si="42"/>
        <v>0</v>
      </c>
      <c r="R355" s="1715">
        <f t="shared" si="44"/>
        <v>187800</v>
      </c>
      <c r="S355" s="1715">
        <f t="shared" si="43"/>
        <v>90.288461538461533</v>
      </c>
      <c r="T355" s="1715"/>
      <c r="U355" s="1715">
        <f t="shared" si="45"/>
        <v>20200</v>
      </c>
      <c r="V355" s="2658"/>
    </row>
    <row r="356" spans="1:22" s="1041" customFormat="1" ht="109.5" customHeight="1">
      <c r="A356" s="2658">
        <v>98</v>
      </c>
      <c r="B356" s="2735" t="s">
        <v>5263</v>
      </c>
      <c r="C356" s="2740" t="s">
        <v>4818</v>
      </c>
      <c r="D356" s="2741"/>
      <c r="E356" s="2742" t="s">
        <v>549</v>
      </c>
      <c r="F356" s="2738"/>
      <c r="G356" s="2738">
        <v>104000</v>
      </c>
      <c r="H356" s="2738"/>
      <c r="I356" s="2738"/>
      <c r="J356" s="2738"/>
      <c r="K356" s="2738"/>
      <c r="L356" s="2743"/>
      <c r="M356" s="2738">
        <f>'[10]NFMA46 '!I376</f>
        <v>104000</v>
      </c>
      <c r="N356" s="2738">
        <f>'[10]NFMA46 '!L376</f>
        <v>104000</v>
      </c>
      <c r="O356" s="2738">
        <f t="shared" si="41"/>
        <v>100</v>
      </c>
      <c r="P356" s="2739">
        <f>'[10]NFMA46 '!K376</f>
        <v>0</v>
      </c>
      <c r="Q356" s="1715">
        <f t="shared" si="42"/>
        <v>0</v>
      </c>
      <c r="R356" s="1715">
        <f t="shared" si="44"/>
        <v>104000</v>
      </c>
      <c r="S356" s="1715">
        <f t="shared" si="43"/>
        <v>100</v>
      </c>
      <c r="T356" s="1715"/>
      <c r="U356" s="1715">
        <f t="shared" si="45"/>
        <v>0</v>
      </c>
      <c r="V356" s="2658"/>
    </row>
    <row r="357" spans="1:22" s="1041" customFormat="1" ht="109.5" customHeight="1">
      <c r="A357" s="2658">
        <v>99</v>
      </c>
      <c r="B357" s="2735" t="s">
        <v>5885</v>
      </c>
      <c r="C357" s="2740" t="s">
        <v>4820</v>
      </c>
      <c r="D357" s="2741"/>
      <c r="E357" s="2742" t="s">
        <v>549</v>
      </c>
      <c r="F357" s="2738"/>
      <c r="G357" s="2738">
        <v>208000</v>
      </c>
      <c r="H357" s="2738"/>
      <c r="I357" s="2738"/>
      <c r="J357" s="2738"/>
      <c r="K357" s="2738"/>
      <c r="L357" s="2743">
        <v>96100</v>
      </c>
      <c r="M357" s="2738">
        <f>'[10]NFMA46 '!I377-L357</f>
        <v>111900</v>
      </c>
      <c r="N357" s="2738">
        <f>'[10]NFMA46 '!L377</f>
        <v>111900</v>
      </c>
      <c r="O357" s="2738">
        <f t="shared" si="41"/>
        <v>100</v>
      </c>
      <c r="P357" s="2739">
        <f>'[10]NFMA46 '!K377</f>
        <v>0</v>
      </c>
      <c r="Q357" s="1715">
        <f t="shared" si="42"/>
        <v>0</v>
      </c>
      <c r="R357" s="1715">
        <f t="shared" si="44"/>
        <v>111900</v>
      </c>
      <c r="S357" s="1715">
        <f t="shared" si="43"/>
        <v>100</v>
      </c>
      <c r="T357" s="1715"/>
      <c r="U357" s="1715">
        <f t="shared" si="45"/>
        <v>0</v>
      </c>
      <c r="V357" s="2658"/>
    </row>
    <row r="358" spans="1:22" s="1041" customFormat="1" ht="109.5" customHeight="1">
      <c r="A358" s="2658">
        <v>100</v>
      </c>
      <c r="B358" s="2735" t="s">
        <v>5267</v>
      </c>
      <c r="C358" s="2740" t="s">
        <v>4821</v>
      </c>
      <c r="D358" s="2741"/>
      <c r="E358" s="2742" t="s">
        <v>549</v>
      </c>
      <c r="F358" s="2738"/>
      <c r="G358" s="2738">
        <v>104000</v>
      </c>
      <c r="H358" s="2738"/>
      <c r="I358" s="2738"/>
      <c r="J358" s="2738"/>
      <c r="K358" s="2738"/>
      <c r="L358" s="2743">
        <v>1957.34</v>
      </c>
      <c r="M358" s="2738">
        <f>'[10]NFMA46 '!I378-L358</f>
        <v>102042.66</v>
      </c>
      <c r="N358" s="2738">
        <f>'[10]NFMA46 '!L378</f>
        <v>102042.66</v>
      </c>
      <c r="O358" s="2738">
        <f t="shared" si="41"/>
        <v>100</v>
      </c>
      <c r="P358" s="2739">
        <f>'[10]NFMA46 '!K378</f>
        <v>0</v>
      </c>
      <c r="Q358" s="1715">
        <f t="shared" si="42"/>
        <v>0</v>
      </c>
      <c r="R358" s="1715">
        <f t="shared" si="44"/>
        <v>102042.66</v>
      </c>
      <c r="S358" s="1715">
        <f t="shared" si="43"/>
        <v>100</v>
      </c>
      <c r="T358" s="1715"/>
      <c r="U358" s="1715">
        <f t="shared" si="45"/>
        <v>0</v>
      </c>
      <c r="V358" s="2658"/>
    </row>
    <row r="359" spans="1:22" s="1041" customFormat="1" ht="109.5" customHeight="1">
      <c r="A359" s="2658">
        <v>101</v>
      </c>
      <c r="B359" s="2735" t="s">
        <v>5266</v>
      </c>
      <c r="C359" s="2740" t="s">
        <v>4822</v>
      </c>
      <c r="D359" s="2741"/>
      <c r="E359" s="2742" t="s">
        <v>549</v>
      </c>
      <c r="F359" s="2738"/>
      <c r="G359" s="2738">
        <v>104000</v>
      </c>
      <c r="H359" s="2738"/>
      <c r="I359" s="2738"/>
      <c r="J359" s="2738"/>
      <c r="K359" s="2738"/>
      <c r="L359" s="2743">
        <v>10300</v>
      </c>
      <c r="M359" s="2738">
        <f>'[10]NFMA46 '!I379-L359</f>
        <v>93700</v>
      </c>
      <c r="N359" s="2738">
        <f>'[10]NFMA46 '!L379</f>
        <v>93700</v>
      </c>
      <c r="O359" s="2738">
        <f t="shared" si="41"/>
        <v>100</v>
      </c>
      <c r="P359" s="2739">
        <f>'[10]NFMA46 '!K379</f>
        <v>0</v>
      </c>
      <c r="Q359" s="1715">
        <f t="shared" si="42"/>
        <v>0</v>
      </c>
      <c r="R359" s="1715">
        <f t="shared" si="44"/>
        <v>93700</v>
      </c>
      <c r="S359" s="1715">
        <f t="shared" si="43"/>
        <v>100</v>
      </c>
      <c r="T359" s="1715"/>
      <c r="U359" s="1715">
        <f t="shared" si="45"/>
        <v>0</v>
      </c>
      <c r="V359" s="2658"/>
    </row>
    <row r="360" spans="1:22" s="1041" customFormat="1" ht="109.5" customHeight="1">
      <c r="A360" s="2658">
        <v>102</v>
      </c>
      <c r="B360" s="2735" t="s">
        <v>5261</v>
      </c>
      <c r="C360" s="2740" t="s">
        <v>4823</v>
      </c>
      <c r="D360" s="2741"/>
      <c r="E360" s="2742" t="s">
        <v>549</v>
      </c>
      <c r="F360" s="2738"/>
      <c r="G360" s="2738">
        <v>104000</v>
      </c>
      <c r="H360" s="2738"/>
      <c r="I360" s="2738"/>
      <c r="J360" s="2738"/>
      <c r="K360" s="2738"/>
      <c r="L360" s="2743"/>
      <c r="M360" s="2738">
        <f>'[10]NFMA46 '!I380</f>
        <v>104000</v>
      </c>
      <c r="N360" s="2738">
        <f>'[10]NFMA46 '!L380</f>
        <v>104000</v>
      </c>
      <c r="O360" s="2738">
        <f t="shared" si="41"/>
        <v>100</v>
      </c>
      <c r="P360" s="2739">
        <f>'[10]NFMA46 '!K380</f>
        <v>0</v>
      </c>
      <c r="Q360" s="1715">
        <f t="shared" si="42"/>
        <v>0</v>
      </c>
      <c r="R360" s="1715">
        <f t="shared" si="44"/>
        <v>104000</v>
      </c>
      <c r="S360" s="1715">
        <f t="shared" si="43"/>
        <v>100</v>
      </c>
      <c r="T360" s="1715"/>
      <c r="U360" s="1715">
        <f t="shared" si="45"/>
        <v>0</v>
      </c>
      <c r="V360" s="2658"/>
    </row>
    <row r="361" spans="1:22" s="1041" customFormat="1" ht="109.5" customHeight="1">
      <c r="A361" s="2658">
        <v>103</v>
      </c>
      <c r="B361" s="2735" t="s">
        <v>5262</v>
      </c>
      <c r="C361" s="2740" t="s">
        <v>4824</v>
      </c>
      <c r="D361" s="2741"/>
      <c r="E361" s="2742" t="s">
        <v>549</v>
      </c>
      <c r="F361" s="2738"/>
      <c r="G361" s="2738">
        <v>104000</v>
      </c>
      <c r="H361" s="2738"/>
      <c r="I361" s="2738"/>
      <c r="J361" s="2738"/>
      <c r="K361" s="2738"/>
      <c r="L361" s="2743"/>
      <c r="M361" s="2738">
        <f>'[10]NFMA46 '!I381</f>
        <v>104000</v>
      </c>
      <c r="N361" s="2738">
        <f>'[10]NFMA46 '!L381</f>
        <v>104000</v>
      </c>
      <c r="O361" s="2738">
        <f t="shared" si="41"/>
        <v>100</v>
      </c>
      <c r="P361" s="2739">
        <f>'[10]NFMA46 '!K381</f>
        <v>0</v>
      </c>
      <c r="Q361" s="1715">
        <f t="shared" si="42"/>
        <v>0</v>
      </c>
      <c r="R361" s="1715">
        <f t="shared" si="44"/>
        <v>104000</v>
      </c>
      <c r="S361" s="1715">
        <f t="shared" si="43"/>
        <v>100</v>
      </c>
      <c r="T361" s="1715"/>
      <c r="U361" s="1715">
        <f t="shared" si="45"/>
        <v>0</v>
      </c>
      <c r="V361" s="2658"/>
    </row>
    <row r="362" spans="1:22" s="1041" customFormat="1" ht="109.5" customHeight="1">
      <c r="A362" s="2658">
        <v>104</v>
      </c>
      <c r="B362" s="2735" t="s">
        <v>5886</v>
      </c>
      <c r="C362" s="2740" t="s">
        <v>4826</v>
      </c>
      <c r="D362" s="2741"/>
      <c r="E362" s="2742" t="s">
        <v>1181</v>
      </c>
      <c r="F362" s="2738"/>
      <c r="G362" s="2738">
        <v>208000</v>
      </c>
      <c r="H362" s="2738"/>
      <c r="I362" s="2738"/>
      <c r="J362" s="2738"/>
      <c r="K362" s="2738"/>
      <c r="L362" s="2743"/>
      <c r="M362" s="2738">
        <f>'[10]NFMA46 '!I384</f>
        <v>208000</v>
      </c>
      <c r="N362" s="2738">
        <f>'[10]NFMA46 '!L384</f>
        <v>0</v>
      </c>
      <c r="O362" s="2738">
        <f t="shared" si="41"/>
        <v>0</v>
      </c>
      <c r="P362" s="2739">
        <f>'[10]NFMA46 '!K384</f>
        <v>208000</v>
      </c>
      <c r="Q362" s="1715">
        <f t="shared" si="42"/>
        <v>100</v>
      </c>
      <c r="R362" s="1715">
        <f t="shared" si="44"/>
        <v>208000</v>
      </c>
      <c r="S362" s="1715">
        <f t="shared" si="43"/>
        <v>100</v>
      </c>
      <c r="T362" s="1715"/>
      <c r="U362" s="1715">
        <f t="shared" si="45"/>
        <v>0</v>
      </c>
      <c r="V362" s="2658"/>
    </row>
    <row r="363" spans="1:22" s="1041" customFormat="1" ht="109.5" customHeight="1">
      <c r="A363" s="2658">
        <v>105</v>
      </c>
      <c r="B363" s="2735" t="s">
        <v>5268</v>
      </c>
      <c r="C363" s="2740" t="s">
        <v>4827</v>
      </c>
      <c r="D363" s="2741"/>
      <c r="E363" s="2742" t="s">
        <v>1181</v>
      </c>
      <c r="F363" s="2738"/>
      <c r="G363" s="2738">
        <v>104000</v>
      </c>
      <c r="H363" s="2738"/>
      <c r="I363" s="2738"/>
      <c r="J363" s="2738"/>
      <c r="K363" s="2738"/>
      <c r="L363" s="2743"/>
      <c r="M363" s="2738">
        <f>'[10]NFMA46 '!I385</f>
        <v>104000</v>
      </c>
      <c r="N363" s="2738">
        <f>'[10]NFMA46 '!L385</f>
        <v>0</v>
      </c>
      <c r="O363" s="2738">
        <f t="shared" si="41"/>
        <v>0</v>
      </c>
      <c r="P363" s="2739">
        <f>'[10]NFMA46 '!K385</f>
        <v>104000</v>
      </c>
      <c r="Q363" s="1715">
        <f t="shared" si="42"/>
        <v>100</v>
      </c>
      <c r="R363" s="1715">
        <f t="shared" si="44"/>
        <v>104000</v>
      </c>
      <c r="S363" s="1715">
        <f t="shared" si="43"/>
        <v>100</v>
      </c>
      <c r="T363" s="1715"/>
      <c r="U363" s="1715">
        <f t="shared" si="45"/>
        <v>0</v>
      </c>
      <c r="V363" s="2658"/>
    </row>
    <row r="364" spans="1:22" s="1041" customFormat="1" ht="109.5" customHeight="1">
      <c r="A364" s="2658">
        <v>106</v>
      </c>
      <c r="B364" s="2735" t="s">
        <v>5269</v>
      </c>
      <c r="C364" s="2740" t="s">
        <v>4828</v>
      </c>
      <c r="D364" s="2741"/>
      <c r="E364" s="2742" t="s">
        <v>1181</v>
      </c>
      <c r="F364" s="2738"/>
      <c r="G364" s="2738">
        <v>208000</v>
      </c>
      <c r="H364" s="2738"/>
      <c r="I364" s="2738"/>
      <c r="J364" s="2738"/>
      <c r="K364" s="2738"/>
      <c r="L364" s="2743"/>
      <c r="M364" s="2738">
        <f>'[10]NFMA46 '!I386</f>
        <v>208000</v>
      </c>
      <c r="N364" s="2738">
        <f>'[10]NFMA46 '!L386</f>
        <v>0</v>
      </c>
      <c r="O364" s="2738">
        <f t="shared" si="41"/>
        <v>0</v>
      </c>
      <c r="P364" s="2739">
        <f>'[10]NFMA46 '!K386</f>
        <v>208000</v>
      </c>
      <c r="Q364" s="1715">
        <f t="shared" si="42"/>
        <v>100</v>
      </c>
      <c r="R364" s="1715">
        <f t="shared" si="44"/>
        <v>208000</v>
      </c>
      <c r="S364" s="1715">
        <f t="shared" si="43"/>
        <v>100</v>
      </c>
      <c r="T364" s="1715"/>
      <c r="U364" s="1715">
        <f t="shared" si="45"/>
        <v>0</v>
      </c>
      <c r="V364" s="2658"/>
    </row>
    <row r="365" spans="1:22" s="1041" customFormat="1" ht="109.5" customHeight="1">
      <c r="A365" s="2658">
        <v>107</v>
      </c>
      <c r="B365" s="2735" t="s">
        <v>5887</v>
      </c>
      <c r="C365" s="2740" t="s">
        <v>4829</v>
      </c>
      <c r="D365" s="2741"/>
      <c r="E365" s="2742" t="s">
        <v>1188</v>
      </c>
      <c r="F365" s="2738"/>
      <c r="G365" s="2738">
        <v>104000</v>
      </c>
      <c r="H365" s="2738"/>
      <c r="I365" s="2738"/>
      <c r="J365" s="2738"/>
      <c r="K365" s="2738"/>
      <c r="L365" s="2743">
        <v>104000</v>
      </c>
      <c r="M365" s="2738">
        <f>'[10]NFMA46 '!I387-L365</f>
        <v>0</v>
      </c>
      <c r="N365" s="2738">
        <f>'[10]NFMA46 '!L387</f>
        <v>0</v>
      </c>
      <c r="O365" s="2738" t="e">
        <f t="shared" si="41"/>
        <v>#DIV/0!</v>
      </c>
      <c r="P365" s="2739">
        <f>'[10]NFMA46 '!K387</f>
        <v>0</v>
      </c>
      <c r="Q365" s="1715" t="e">
        <f t="shared" si="42"/>
        <v>#DIV/0!</v>
      </c>
      <c r="R365" s="1715">
        <f t="shared" si="44"/>
        <v>0</v>
      </c>
      <c r="S365" s="1715" t="e">
        <f t="shared" si="43"/>
        <v>#DIV/0!</v>
      </c>
      <c r="T365" s="1715"/>
      <c r="U365" s="1715">
        <f t="shared" si="45"/>
        <v>0</v>
      </c>
      <c r="V365" s="2658"/>
    </row>
    <row r="366" spans="1:22" s="1041" customFormat="1" ht="109.5" customHeight="1">
      <c r="A366" s="2658">
        <v>108</v>
      </c>
      <c r="B366" s="2735" t="s">
        <v>5888</v>
      </c>
      <c r="C366" s="2740" t="s">
        <v>4831</v>
      </c>
      <c r="D366" s="2741"/>
      <c r="E366" s="2742" t="s">
        <v>339</v>
      </c>
      <c r="F366" s="2738"/>
      <c r="G366" s="2738">
        <v>104000</v>
      </c>
      <c r="H366" s="2738"/>
      <c r="I366" s="2738"/>
      <c r="J366" s="2738"/>
      <c r="K366" s="2738"/>
      <c r="L366" s="2743">
        <v>17610</v>
      </c>
      <c r="M366" s="2738">
        <f>'[10]NFMA46 '!I389-L366</f>
        <v>86390</v>
      </c>
      <c r="N366" s="2738">
        <f>'[10]NFMA46 '!L389</f>
        <v>86390</v>
      </c>
      <c r="O366" s="2738">
        <f t="shared" si="41"/>
        <v>100</v>
      </c>
      <c r="P366" s="2739">
        <f>'[10]NFMA46 '!K389</f>
        <v>0</v>
      </c>
      <c r="Q366" s="1715">
        <f t="shared" si="42"/>
        <v>0</v>
      </c>
      <c r="R366" s="1715">
        <f t="shared" si="44"/>
        <v>86390</v>
      </c>
      <c r="S366" s="1715">
        <f t="shared" si="43"/>
        <v>100</v>
      </c>
      <c r="T366" s="1715"/>
      <c r="U366" s="1715">
        <f t="shared" si="45"/>
        <v>0</v>
      </c>
      <c r="V366" s="2658"/>
    </row>
    <row r="367" spans="1:22" s="1041" customFormat="1" ht="109.5" customHeight="1">
      <c r="A367" s="2658">
        <v>109</v>
      </c>
      <c r="B367" s="2735" t="s">
        <v>5889</v>
      </c>
      <c r="C367" s="2740" t="s">
        <v>4832</v>
      </c>
      <c r="D367" s="2741"/>
      <c r="E367" s="2742" t="s">
        <v>339</v>
      </c>
      <c r="F367" s="2738"/>
      <c r="G367" s="2738">
        <v>104000</v>
      </c>
      <c r="H367" s="2738"/>
      <c r="I367" s="2738"/>
      <c r="J367" s="2738"/>
      <c r="K367" s="2738"/>
      <c r="L367" s="2743">
        <f>28700+7595</f>
        <v>36295</v>
      </c>
      <c r="M367" s="2738">
        <f>75300-7595</f>
        <v>67705</v>
      </c>
      <c r="N367" s="2738">
        <f>'[10]NFMA46 '!L390</f>
        <v>67705</v>
      </c>
      <c r="O367" s="2738">
        <f t="shared" si="41"/>
        <v>100</v>
      </c>
      <c r="P367" s="2739">
        <f>'[10]NFMA46 '!K390</f>
        <v>0</v>
      </c>
      <c r="Q367" s="1715">
        <f t="shared" si="42"/>
        <v>0</v>
      </c>
      <c r="R367" s="1715">
        <f t="shared" si="44"/>
        <v>67705</v>
      </c>
      <c r="S367" s="1715">
        <f t="shared" si="43"/>
        <v>100</v>
      </c>
      <c r="T367" s="1715"/>
      <c r="U367" s="1715">
        <f t="shared" si="45"/>
        <v>0</v>
      </c>
      <c r="V367" s="2658"/>
    </row>
    <row r="368" spans="1:22" s="1041" customFormat="1" ht="109.5" customHeight="1">
      <c r="A368" s="2658">
        <v>110</v>
      </c>
      <c r="B368" s="2735" t="s">
        <v>5271</v>
      </c>
      <c r="C368" s="2740" t="s">
        <v>5385</v>
      </c>
      <c r="D368" s="2741"/>
      <c r="E368" s="2742" t="s">
        <v>564</v>
      </c>
      <c r="F368" s="2738"/>
      <c r="G368" s="2738">
        <v>104000</v>
      </c>
      <c r="H368" s="2738"/>
      <c r="I368" s="2738"/>
      <c r="J368" s="2738"/>
      <c r="K368" s="2738"/>
      <c r="L368" s="2743"/>
      <c r="M368" s="2738">
        <f>'[10]NFMA46 '!I391</f>
        <v>104000</v>
      </c>
      <c r="N368" s="2738">
        <f>'[10]NFMA46 '!L391</f>
        <v>0</v>
      </c>
      <c r="O368" s="2738">
        <f t="shared" si="41"/>
        <v>0</v>
      </c>
      <c r="P368" s="2739">
        <f>'[10]NFMA46 '!K391</f>
        <v>104000</v>
      </c>
      <c r="Q368" s="1715">
        <f t="shared" si="42"/>
        <v>100</v>
      </c>
      <c r="R368" s="1715">
        <f t="shared" si="44"/>
        <v>104000</v>
      </c>
      <c r="S368" s="1715">
        <f t="shared" si="43"/>
        <v>100</v>
      </c>
      <c r="T368" s="1715"/>
      <c r="U368" s="1715">
        <f t="shared" si="45"/>
        <v>0</v>
      </c>
      <c r="V368" s="2658"/>
    </row>
    <row r="369" spans="1:22" s="1041" customFormat="1" ht="109.5" customHeight="1">
      <c r="A369" s="2658">
        <v>111</v>
      </c>
      <c r="B369" s="2735" t="s">
        <v>5270</v>
      </c>
      <c r="C369" s="2740" t="s">
        <v>4833</v>
      </c>
      <c r="D369" s="2741"/>
      <c r="E369" s="2742" t="s">
        <v>564</v>
      </c>
      <c r="F369" s="2738"/>
      <c r="G369" s="2738">
        <v>104000</v>
      </c>
      <c r="H369" s="2738"/>
      <c r="I369" s="2738"/>
      <c r="J369" s="2738"/>
      <c r="K369" s="2738"/>
      <c r="L369" s="2743"/>
      <c r="M369" s="2738">
        <f>'[10]NFMA46 '!I392</f>
        <v>104000</v>
      </c>
      <c r="N369" s="2738">
        <f>'[10]NFMA46 '!L392</f>
        <v>0</v>
      </c>
      <c r="O369" s="2738">
        <f t="shared" si="41"/>
        <v>0</v>
      </c>
      <c r="P369" s="2739">
        <f>'[10]NFMA46 '!K392</f>
        <v>104000</v>
      </c>
      <c r="Q369" s="1715">
        <f t="shared" si="42"/>
        <v>100</v>
      </c>
      <c r="R369" s="1715">
        <f t="shared" si="44"/>
        <v>104000</v>
      </c>
      <c r="S369" s="1715">
        <f t="shared" si="43"/>
        <v>100</v>
      </c>
      <c r="T369" s="1715"/>
      <c r="U369" s="1715">
        <f t="shared" si="45"/>
        <v>0</v>
      </c>
      <c r="V369" s="2658"/>
    </row>
    <row r="370" spans="1:22" s="1041" customFormat="1" ht="109.5" customHeight="1">
      <c r="A370" s="2658">
        <v>112</v>
      </c>
      <c r="B370" s="2735" t="s">
        <v>5890</v>
      </c>
      <c r="C370" s="2740" t="s">
        <v>4834</v>
      </c>
      <c r="D370" s="2741"/>
      <c r="E370" s="2742" t="s">
        <v>583</v>
      </c>
      <c r="F370" s="2738"/>
      <c r="G370" s="2738">
        <v>104000</v>
      </c>
      <c r="H370" s="2738"/>
      <c r="I370" s="2738"/>
      <c r="J370" s="2738"/>
      <c r="K370" s="2738"/>
      <c r="L370" s="2743"/>
      <c r="M370" s="2738">
        <f>'[10]NFMA46 '!I393</f>
        <v>104000</v>
      </c>
      <c r="N370" s="2738">
        <f>'[10]NFMA46 '!L393</f>
        <v>0</v>
      </c>
      <c r="O370" s="2738">
        <f t="shared" si="41"/>
        <v>0</v>
      </c>
      <c r="P370" s="2739">
        <f>'[10]NFMA46 '!K393</f>
        <v>104000</v>
      </c>
      <c r="Q370" s="1715">
        <f t="shared" si="42"/>
        <v>100</v>
      </c>
      <c r="R370" s="1715">
        <f t="shared" si="44"/>
        <v>104000</v>
      </c>
      <c r="S370" s="1715">
        <f t="shared" si="43"/>
        <v>100</v>
      </c>
      <c r="T370" s="1715"/>
      <c r="U370" s="1715">
        <f t="shared" si="45"/>
        <v>0</v>
      </c>
      <c r="V370" s="2658"/>
    </row>
    <row r="371" spans="1:22" s="1041" customFormat="1" ht="109.5" customHeight="1">
      <c r="A371" s="2658">
        <v>113</v>
      </c>
      <c r="B371" s="2735" t="s">
        <v>5891</v>
      </c>
      <c r="C371" s="2740" t="s">
        <v>5386</v>
      </c>
      <c r="D371" s="2741"/>
      <c r="E371" s="2742" t="s">
        <v>583</v>
      </c>
      <c r="F371" s="2738"/>
      <c r="G371" s="2738">
        <v>208000</v>
      </c>
      <c r="H371" s="2738"/>
      <c r="I371" s="2738"/>
      <c r="J371" s="2738"/>
      <c r="K371" s="2738"/>
      <c r="L371" s="2743">
        <v>10500</v>
      </c>
      <c r="M371" s="2738">
        <f>'[10]NFMA46 '!I394-L371</f>
        <v>197500</v>
      </c>
      <c r="N371" s="2738">
        <f>'[10]NFMA46 '!L394</f>
        <v>0</v>
      </c>
      <c r="O371" s="2738">
        <f t="shared" si="41"/>
        <v>0</v>
      </c>
      <c r="P371" s="2739">
        <f>'[10]NFMA46 '!K394</f>
        <v>197500</v>
      </c>
      <c r="Q371" s="1715">
        <f t="shared" si="42"/>
        <v>100</v>
      </c>
      <c r="R371" s="1715">
        <f t="shared" si="44"/>
        <v>197500</v>
      </c>
      <c r="S371" s="1715">
        <f t="shared" si="43"/>
        <v>100</v>
      </c>
      <c r="T371" s="1715"/>
      <c r="U371" s="1715">
        <f t="shared" si="45"/>
        <v>0</v>
      </c>
      <c r="V371" s="2658"/>
    </row>
    <row r="372" spans="1:22" s="1041" customFormat="1" ht="109.5" customHeight="1">
      <c r="A372" s="2658">
        <v>114</v>
      </c>
      <c r="B372" s="2735" t="s">
        <v>5892</v>
      </c>
      <c r="C372" s="2740" t="s">
        <v>4835</v>
      </c>
      <c r="D372" s="2741"/>
      <c r="E372" s="2742" t="s">
        <v>572</v>
      </c>
      <c r="F372" s="2738"/>
      <c r="G372" s="2738">
        <v>104000</v>
      </c>
      <c r="H372" s="2738"/>
      <c r="I372" s="2738"/>
      <c r="J372" s="2738"/>
      <c r="K372" s="2738"/>
      <c r="L372" s="2743"/>
      <c r="M372" s="2738">
        <f>'[10]NFMA46 '!I395</f>
        <v>104000</v>
      </c>
      <c r="N372" s="2738">
        <f>'[10]NFMA46 '!L395</f>
        <v>0</v>
      </c>
      <c r="O372" s="2738">
        <f t="shared" si="41"/>
        <v>0</v>
      </c>
      <c r="P372" s="2739">
        <f>'[10]NFMA46 '!K395</f>
        <v>104000</v>
      </c>
      <c r="Q372" s="1715">
        <f t="shared" si="42"/>
        <v>100</v>
      </c>
      <c r="R372" s="1715">
        <f t="shared" si="44"/>
        <v>104000</v>
      </c>
      <c r="S372" s="1715">
        <f t="shared" si="43"/>
        <v>100</v>
      </c>
      <c r="T372" s="1715"/>
      <c r="U372" s="1715">
        <f t="shared" si="45"/>
        <v>0</v>
      </c>
      <c r="V372" s="2658"/>
    </row>
    <row r="373" spans="1:22" s="1041" customFormat="1" ht="109.5" customHeight="1">
      <c r="A373" s="2658">
        <v>115</v>
      </c>
      <c r="B373" s="2735" t="s">
        <v>5893</v>
      </c>
      <c r="C373" s="2740" t="s">
        <v>4836</v>
      </c>
      <c r="D373" s="2741"/>
      <c r="E373" s="2742" t="s">
        <v>571</v>
      </c>
      <c r="F373" s="2738"/>
      <c r="G373" s="2738">
        <v>104000</v>
      </c>
      <c r="H373" s="2738"/>
      <c r="I373" s="2738"/>
      <c r="J373" s="2738"/>
      <c r="K373" s="2738"/>
      <c r="L373" s="2743">
        <v>104000</v>
      </c>
      <c r="M373" s="2738">
        <f>'[10]NFMA46 '!I396-L373</f>
        <v>0</v>
      </c>
      <c r="N373" s="2738">
        <f>'[10]NFMA46 '!L396</f>
        <v>0</v>
      </c>
      <c r="O373" s="2738" t="e">
        <f t="shared" si="41"/>
        <v>#DIV/0!</v>
      </c>
      <c r="P373" s="2739">
        <f>'[10]NFMA46 '!K396</f>
        <v>0</v>
      </c>
      <c r="Q373" s="1715" t="e">
        <f t="shared" si="42"/>
        <v>#DIV/0!</v>
      </c>
      <c r="R373" s="1715">
        <f t="shared" si="44"/>
        <v>0</v>
      </c>
      <c r="S373" s="1715" t="e">
        <f t="shared" si="43"/>
        <v>#DIV/0!</v>
      </c>
      <c r="T373" s="1715"/>
      <c r="U373" s="1715">
        <f t="shared" si="45"/>
        <v>0</v>
      </c>
      <c r="V373" s="2658"/>
    </row>
    <row r="374" spans="1:22" s="1041" customFormat="1" ht="109.5" customHeight="1">
      <c r="A374" s="2658">
        <v>116</v>
      </c>
      <c r="B374" s="2735" t="s">
        <v>5894</v>
      </c>
      <c r="C374" s="2740" t="s">
        <v>4837</v>
      </c>
      <c r="D374" s="2741"/>
      <c r="E374" s="2742" t="s">
        <v>342</v>
      </c>
      <c r="F374" s="2738"/>
      <c r="G374" s="2738">
        <v>104000</v>
      </c>
      <c r="H374" s="2738"/>
      <c r="I374" s="2738"/>
      <c r="J374" s="2738"/>
      <c r="K374" s="2738"/>
      <c r="L374" s="2743"/>
      <c r="M374" s="2738">
        <f>'[10]NFMA46 '!I397</f>
        <v>104000</v>
      </c>
      <c r="N374" s="2738">
        <f>'[10]NFMA46 '!L397</f>
        <v>104000</v>
      </c>
      <c r="O374" s="2738">
        <f t="shared" si="41"/>
        <v>100</v>
      </c>
      <c r="P374" s="2739">
        <f>'[10]NFMA46 '!K397</f>
        <v>0</v>
      </c>
      <c r="Q374" s="1715">
        <f t="shared" si="42"/>
        <v>0</v>
      </c>
      <c r="R374" s="1715">
        <f t="shared" si="44"/>
        <v>104000</v>
      </c>
      <c r="S374" s="1715">
        <f t="shared" si="43"/>
        <v>100</v>
      </c>
      <c r="T374" s="1715"/>
      <c r="U374" s="1715">
        <f t="shared" si="45"/>
        <v>0</v>
      </c>
      <c r="V374" s="2658"/>
    </row>
    <row r="375" spans="1:22" s="1041" customFormat="1" ht="109.5" customHeight="1">
      <c r="A375" s="2658">
        <v>117</v>
      </c>
      <c r="B375" s="2735" t="s">
        <v>5895</v>
      </c>
      <c r="C375" s="2740" t="s">
        <v>4838</v>
      </c>
      <c r="D375" s="2741"/>
      <c r="E375" s="2742" t="s">
        <v>342</v>
      </c>
      <c r="F375" s="2738"/>
      <c r="G375" s="2738">
        <v>104000</v>
      </c>
      <c r="H375" s="2738"/>
      <c r="I375" s="2738"/>
      <c r="J375" s="2738"/>
      <c r="K375" s="2738"/>
      <c r="L375" s="2743">
        <v>20280</v>
      </c>
      <c r="M375" s="2738">
        <f>'[10]NFMA46 '!I398-L375</f>
        <v>83720</v>
      </c>
      <c r="N375" s="2738">
        <f>'[10]NFMA46 '!L398</f>
        <v>83720</v>
      </c>
      <c r="O375" s="2738">
        <f t="shared" si="41"/>
        <v>100</v>
      </c>
      <c r="P375" s="2739">
        <f>'[10]NFMA46 '!K398</f>
        <v>0</v>
      </c>
      <c r="Q375" s="1715">
        <f t="shared" si="42"/>
        <v>0</v>
      </c>
      <c r="R375" s="1715">
        <f t="shared" si="44"/>
        <v>83720</v>
      </c>
      <c r="S375" s="1715">
        <f t="shared" si="43"/>
        <v>100</v>
      </c>
      <c r="T375" s="1715"/>
      <c r="U375" s="1715">
        <f t="shared" si="45"/>
        <v>0</v>
      </c>
      <c r="V375" s="2658"/>
    </row>
    <row r="376" spans="1:22" s="1041" customFormat="1" ht="109.5" customHeight="1">
      <c r="A376" s="2658">
        <v>118</v>
      </c>
      <c r="B376" s="2735" t="s">
        <v>5896</v>
      </c>
      <c r="C376" s="2740" t="s">
        <v>4839</v>
      </c>
      <c r="D376" s="2741"/>
      <c r="E376" s="2742" t="s">
        <v>573</v>
      </c>
      <c r="F376" s="2738"/>
      <c r="G376" s="2738">
        <v>208000</v>
      </c>
      <c r="H376" s="2738"/>
      <c r="I376" s="2738"/>
      <c r="J376" s="2738"/>
      <c r="K376" s="2738"/>
      <c r="L376" s="2743">
        <v>208000</v>
      </c>
      <c r="M376" s="2738">
        <f>'[10]NFMA46 '!I399-L376</f>
        <v>0</v>
      </c>
      <c r="N376" s="2738">
        <f>'[10]NFMA46 '!L399</f>
        <v>0</v>
      </c>
      <c r="O376" s="2738" t="e">
        <f t="shared" si="41"/>
        <v>#DIV/0!</v>
      </c>
      <c r="P376" s="2739">
        <f>'[10]NFMA46 '!K399</f>
        <v>0</v>
      </c>
      <c r="Q376" s="1715" t="e">
        <f t="shared" si="42"/>
        <v>#DIV/0!</v>
      </c>
      <c r="R376" s="1715">
        <f t="shared" si="44"/>
        <v>0</v>
      </c>
      <c r="S376" s="1715" t="e">
        <f t="shared" si="43"/>
        <v>#DIV/0!</v>
      </c>
      <c r="T376" s="1715"/>
      <c r="U376" s="1715">
        <f t="shared" si="45"/>
        <v>0</v>
      </c>
      <c r="V376" s="2658"/>
    </row>
    <row r="377" spans="1:22" s="1041" customFormat="1" ht="109.5" customHeight="1">
      <c r="A377" s="2658">
        <v>119</v>
      </c>
      <c r="B377" s="2735" t="s">
        <v>5897</v>
      </c>
      <c r="C377" s="2740" t="s">
        <v>4840</v>
      </c>
      <c r="D377" s="2741"/>
      <c r="E377" s="2742" t="s">
        <v>573</v>
      </c>
      <c r="F377" s="2738"/>
      <c r="G377" s="2738">
        <v>104000</v>
      </c>
      <c r="H377" s="2738"/>
      <c r="I377" s="2738"/>
      <c r="J377" s="2738"/>
      <c r="K377" s="2738"/>
      <c r="L377" s="2743"/>
      <c r="M377" s="2738">
        <f>'[10]NFMA46 '!I400</f>
        <v>104000</v>
      </c>
      <c r="N377" s="2738">
        <f>'[10]NFMA46 '!L400</f>
        <v>0</v>
      </c>
      <c r="O377" s="2738">
        <f t="shared" si="41"/>
        <v>0</v>
      </c>
      <c r="P377" s="2739">
        <f>'[10]NFMA46 '!K400</f>
        <v>104000</v>
      </c>
      <c r="Q377" s="1715">
        <f t="shared" si="42"/>
        <v>100</v>
      </c>
      <c r="R377" s="1715">
        <f t="shared" si="44"/>
        <v>104000</v>
      </c>
      <c r="S377" s="1715">
        <f t="shared" si="43"/>
        <v>100</v>
      </c>
      <c r="T377" s="1715"/>
      <c r="U377" s="1715">
        <f t="shared" si="45"/>
        <v>0</v>
      </c>
      <c r="V377" s="2658"/>
    </row>
    <row r="378" spans="1:22" s="1041" customFormat="1" ht="109.5" customHeight="1">
      <c r="A378" s="2658">
        <v>120</v>
      </c>
      <c r="B378" s="2735" t="s">
        <v>5272</v>
      </c>
      <c r="C378" s="2740" t="s">
        <v>4841</v>
      </c>
      <c r="D378" s="2741"/>
      <c r="E378" s="2742" t="s">
        <v>1185</v>
      </c>
      <c r="F378" s="2738"/>
      <c r="G378" s="2738">
        <v>104000</v>
      </c>
      <c r="H378" s="2738"/>
      <c r="I378" s="2738"/>
      <c r="J378" s="2738"/>
      <c r="K378" s="2738"/>
      <c r="L378" s="2743"/>
      <c r="M378" s="2738">
        <f>'[10]NFMA46 '!I402</f>
        <v>104000</v>
      </c>
      <c r="N378" s="2738">
        <f>'[10]NFMA46 '!L402</f>
        <v>104000</v>
      </c>
      <c r="O378" s="2738">
        <f t="shared" si="41"/>
        <v>100</v>
      </c>
      <c r="P378" s="2739">
        <f>'[10]NFMA46 '!K402</f>
        <v>0</v>
      </c>
      <c r="Q378" s="1715">
        <f t="shared" si="42"/>
        <v>0</v>
      </c>
      <c r="R378" s="1715">
        <f t="shared" si="44"/>
        <v>104000</v>
      </c>
      <c r="S378" s="1715">
        <f t="shared" si="43"/>
        <v>100</v>
      </c>
      <c r="T378" s="1715"/>
      <c r="U378" s="1715">
        <f t="shared" si="45"/>
        <v>0</v>
      </c>
      <c r="V378" s="2658"/>
    </row>
    <row r="379" spans="1:22" s="1041" customFormat="1" ht="109.5" customHeight="1">
      <c r="A379" s="2658">
        <v>121</v>
      </c>
      <c r="B379" s="2735" t="s">
        <v>5273</v>
      </c>
      <c r="C379" s="2740" t="s">
        <v>4842</v>
      </c>
      <c r="D379" s="2741"/>
      <c r="E379" s="2742" t="s">
        <v>1185</v>
      </c>
      <c r="F379" s="2738"/>
      <c r="G379" s="2738">
        <v>104000</v>
      </c>
      <c r="H379" s="2738"/>
      <c r="I379" s="2738"/>
      <c r="J379" s="2738"/>
      <c r="K379" s="2738"/>
      <c r="L379" s="2743">
        <f>58400+6250</f>
        <v>64650</v>
      </c>
      <c r="M379" s="2738">
        <f>'[10]NFMA46 '!I403-L379</f>
        <v>39350</v>
      </c>
      <c r="N379" s="2738">
        <f>'[10]NFMA46 '!L403</f>
        <v>39350</v>
      </c>
      <c r="O379" s="2738">
        <f t="shared" si="41"/>
        <v>100</v>
      </c>
      <c r="P379" s="2739">
        <f>'[10]NFMA46 '!K403</f>
        <v>0</v>
      </c>
      <c r="Q379" s="1715">
        <f t="shared" si="42"/>
        <v>0</v>
      </c>
      <c r="R379" s="1715">
        <f t="shared" si="44"/>
        <v>39350</v>
      </c>
      <c r="S379" s="1715">
        <f t="shared" si="43"/>
        <v>100</v>
      </c>
      <c r="T379" s="1715"/>
      <c r="U379" s="1715">
        <f t="shared" si="45"/>
        <v>0</v>
      </c>
      <c r="V379" s="2658"/>
    </row>
    <row r="380" spans="1:22" s="1041" customFormat="1" ht="109.5" customHeight="1">
      <c r="A380" s="2658">
        <v>122</v>
      </c>
      <c r="B380" s="2735" t="s">
        <v>5274</v>
      </c>
      <c r="C380" s="2740" t="s">
        <v>4843</v>
      </c>
      <c r="D380" s="2741"/>
      <c r="E380" s="2742" t="s">
        <v>557</v>
      </c>
      <c r="F380" s="2738"/>
      <c r="G380" s="2738">
        <v>208000</v>
      </c>
      <c r="H380" s="2738"/>
      <c r="I380" s="2738"/>
      <c r="J380" s="2738"/>
      <c r="K380" s="2738"/>
      <c r="L380" s="2743">
        <v>20034</v>
      </c>
      <c r="M380" s="2738">
        <f>'[10]NFMA46 '!I404-L380</f>
        <v>187966</v>
      </c>
      <c r="N380" s="2738">
        <f>'[10]NFMA46 '!L404</f>
        <v>187966</v>
      </c>
      <c r="O380" s="2738">
        <f t="shared" si="41"/>
        <v>100</v>
      </c>
      <c r="P380" s="2739">
        <f>'[10]NFMA46 '!K404</f>
        <v>0</v>
      </c>
      <c r="Q380" s="1715">
        <f t="shared" si="42"/>
        <v>0</v>
      </c>
      <c r="R380" s="1715">
        <f t="shared" si="44"/>
        <v>187966</v>
      </c>
      <c r="S380" s="1715">
        <f t="shared" si="43"/>
        <v>100</v>
      </c>
      <c r="T380" s="1715"/>
      <c r="U380" s="1715">
        <f t="shared" si="45"/>
        <v>0</v>
      </c>
      <c r="V380" s="2658"/>
    </row>
    <row r="381" spans="1:22" s="1041" customFormat="1" ht="109.5" customHeight="1">
      <c r="A381" s="2658">
        <v>123</v>
      </c>
      <c r="B381" s="2735" t="s">
        <v>5276</v>
      </c>
      <c r="C381" s="2740" t="s">
        <v>4844</v>
      </c>
      <c r="D381" s="2741"/>
      <c r="E381" s="2742" t="s">
        <v>557</v>
      </c>
      <c r="F381" s="2738"/>
      <c r="G381" s="2738">
        <v>208000</v>
      </c>
      <c r="H381" s="2738"/>
      <c r="I381" s="2738"/>
      <c r="J381" s="2738"/>
      <c r="K381" s="2738"/>
      <c r="L381" s="2743"/>
      <c r="M381" s="2738">
        <f>'[10]NFMA46 '!I405</f>
        <v>208000</v>
      </c>
      <c r="N381" s="2738">
        <f>'[10]NFMA46 '!L405</f>
        <v>208000</v>
      </c>
      <c r="O381" s="2738">
        <f t="shared" si="41"/>
        <v>100</v>
      </c>
      <c r="P381" s="2739">
        <f>'[10]NFMA46 '!K405</f>
        <v>0</v>
      </c>
      <c r="Q381" s="1715">
        <f t="shared" si="42"/>
        <v>0</v>
      </c>
      <c r="R381" s="1715">
        <f t="shared" si="44"/>
        <v>208000</v>
      </c>
      <c r="S381" s="1715">
        <f t="shared" si="43"/>
        <v>100</v>
      </c>
      <c r="T381" s="1715"/>
      <c r="U381" s="1715">
        <f t="shared" si="45"/>
        <v>0</v>
      </c>
      <c r="V381" s="2658"/>
    </row>
    <row r="382" spans="1:22" s="1041" customFormat="1" ht="109.5" customHeight="1">
      <c r="A382" s="2658">
        <v>124</v>
      </c>
      <c r="B382" s="2735" t="s">
        <v>5277</v>
      </c>
      <c r="C382" s="2740" t="s">
        <v>4845</v>
      </c>
      <c r="D382" s="2741"/>
      <c r="E382" s="2742" t="s">
        <v>557</v>
      </c>
      <c r="F382" s="2738"/>
      <c r="G382" s="2738">
        <v>728000</v>
      </c>
      <c r="H382" s="2738"/>
      <c r="I382" s="2738"/>
      <c r="J382" s="2738"/>
      <c r="K382" s="2738"/>
      <c r="L382" s="2743">
        <v>22649.35</v>
      </c>
      <c r="M382" s="2738">
        <f>'[10]NFMA46 '!I406-L382</f>
        <v>705350.65</v>
      </c>
      <c r="N382" s="2738">
        <f>'[10]NFMA46 '!L406</f>
        <v>705350.65</v>
      </c>
      <c r="O382" s="2738">
        <f t="shared" si="41"/>
        <v>100</v>
      </c>
      <c r="P382" s="2739">
        <f>'[10]NFMA46 '!K406</f>
        <v>0</v>
      </c>
      <c r="Q382" s="1715">
        <f t="shared" si="42"/>
        <v>0</v>
      </c>
      <c r="R382" s="1715">
        <f t="shared" si="44"/>
        <v>705350.65</v>
      </c>
      <c r="S382" s="1715">
        <f t="shared" si="43"/>
        <v>100</v>
      </c>
      <c r="T382" s="1715"/>
      <c r="U382" s="1715">
        <f t="shared" si="45"/>
        <v>0</v>
      </c>
      <c r="V382" s="2658"/>
    </row>
    <row r="383" spans="1:22" s="1041" customFormat="1" ht="109.5" customHeight="1">
      <c r="A383" s="2658">
        <v>125</v>
      </c>
      <c r="B383" s="2735" t="s">
        <v>5898</v>
      </c>
      <c r="C383" s="2740" t="s">
        <v>4846</v>
      </c>
      <c r="D383" s="2741"/>
      <c r="E383" s="2742" t="s">
        <v>557</v>
      </c>
      <c r="F383" s="2738"/>
      <c r="G383" s="2738">
        <v>104000</v>
      </c>
      <c r="H383" s="2738"/>
      <c r="I383" s="2738"/>
      <c r="J383" s="2738"/>
      <c r="K383" s="2738"/>
      <c r="L383" s="2743">
        <v>26518.52</v>
      </c>
      <c r="M383" s="2738">
        <v>77481.48</v>
      </c>
      <c r="N383" s="2738">
        <f>'[10]NFMA46 '!L407</f>
        <v>77481.48</v>
      </c>
      <c r="O383" s="2738">
        <f t="shared" si="41"/>
        <v>100</v>
      </c>
      <c r="P383" s="2739">
        <f>'[10]NFMA46 '!K407</f>
        <v>0</v>
      </c>
      <c r="Q383" s="1715">
        <f t="shared" si="42"/>
        <v>0</v>
      </c>
      <c r="R383" s="1715">
        <f t="shared" si="44"/>
        <v>77481.48</v>
      </c>
      <c r="S383" s="1715">
        <f t="shared" si="43"/>
        <v>100</v>
      </c>
      <c r="T383" s="1715"/>
      <c r="U383" s="1715">
        <f t="shared" si="45"/>
        <v>0</v>
      </c>
      <c r="V383" s="2658"/>
    </row>
    <row r="384" spans="1:22" s="1041" customFormat="1" ht="109.5" customHeight="1">
      <c r="A384" s="2658">
        <v>126</v>
      </c>
      <c r="B384" s="2735" t="s">
        <v>5275</v>
      </c>
      <c r="C384" s="2740" t="s">
        <v>4847</v>
      </c>
      <c r="D384" s="2741"/>
      <c r="E384" s="2742" t="s">
        <v>557</v>
      </c>
      <c r="F384" s="2738"/>
      <c r="G384" s="2738">
        <v>312000</v>
      </c>
      <c r="H384" s="2738"/>
      <c r="I384" s="2738"/>
      <c r="J384" s="2738"/>
      <c r="K384" s="2738"/>
      <c r="L384" s="2743">
        <v>30500</v>
      </c>
      <c r="M384" s="2738">
        <f>'[10]NFMA46 '!I408-L384</f>
        <v>281500</v>
      </c>
      <c r="N384" s="2738">
        <f>'[10]NFMA46 '!L408</f>
        <v>281500</v>
      </c>
      <c r="O384" s="2738">
        <f t="shared" si="41"/>
        <v>100</v>
      </c>
      <c r="P384" s="2739">
        <f>'[10]NFMA46 '!K408</f>
        <v>0</v>
      </c>
      <c r="Q384" s="1715">
        <f t="shared" si="42"/>
        <v>0</v>
      </c>
      <c r="R384" s="1715">
        <f t="shared" si="44"/>
        <v>281500</v>
      </c>
      <c r="S384" s="1715">
        <f t="shared" si="43"/>
        <v>100</v>
      </c>
      <c r="T384" s="1715"/>
      <c r="U384" s="1715">
        <f t="shared" si="45"/>
        <v>0</v>
      </c>
      <c r="V384" s="2658"/>
    </row>
    <row r="385" spans="1:22" s="1041" customFormat="1" ht="109.5" customHeight="1">
      <c r="A385" s="2658">
        <v>127</v>
      </c>
      <c r="B385" s="2735" t="s">
        <v>5280</v>
      </c>
      <c r="C385" s="2740" t="s">
        <v>4848</v>
      </c>
      <c r="D385" s="2741"/>
      <c r="E385" s="2742" t="s">
        <v>557</v>
      </c>
      <c r="F385" s="2738"/>
      <c r="G385" s="2738">
        <v>208000</v>
      </c>
      <c r="H385" s="2738"/>
      <c r="I385" s="2738"/>
      <c r="J385" s="2738"/>
      <c r="K385" s="2738"/>
      <c r="L385" s="2743">
        <v>21956.68</v>
      </c>
      <c r="M385" s="2738">
        <f>'[10]NFMA46 '!I409-L385</f>
        <v>186043.32</v>
      </c>
      <c r="N385" s="2738">
        <f>'[10]NFMA46 '!L409</f>
        <v>186043.32</v>
      </c>
      <c r="O385" s="2738">
        <f t="shared" si="41"/>
        <v>100</v>
      </c>
      <c r="P385" s="2739">
        <f>'[10]NFMA46 '!K409</f>
        <v>0</v>
      </c>
      <c r="Q385" s="1715">
        <f t="shared" si="42"/>
        <v>0</v>
      </c>
      <c r="R385" s="1715">
        <f t="shared" si="44"/>
        <v>186043.32</v>
      </c>
      <c r="S385" s="1715">
        <f t="shared" si="43"/>
        <v>100</v>
      </c>
      <c r="T385" s="1715"/>
      <c r="U385" s="1715">
        <f t="shared" si="45"/>
        <v>0</v>
      </c>
      <c r="V385" s="2658"/>
    </row>
    <row r="386" spans="1:22" s="1041" customFormat="1" ht="109.5" customHeight="1">
      <c r="A386" s="2658">
        <v>128</v>
      </c>
      <c r="B386" s="2735" t="s">
        <v>5278</v>
      </c>
      <c r="C386" s="2740" t="s">
        <v>4849</v>
      </c>
      <c r="D386" s="2741"/>
      <c r="E386" s="2742" t="s">
        <v>557</v>
      </c>
      <c r="F386" s="2738"/>
      <c r="G386" s="2738">
        <v>208000</v>
      </c>
      <c r="H386" s="2738"/>
      <c r="I386" s="2738"/>
      <c r="J386" s="2738"/>
      <c r="K386" s="2738"/>
      <c r="L386" s="2743">
        <v>14500.32</v>
      </c>
      <c r="M386" s="2738">
        <f>'[10]NFMA46 '!I410-L386</f>
        <v>193499.68</v>
      </c>
      <c r="N386" s="2738">
        <f>'[10]NFMA46 '!L410</f>
        <v>193499.68</v>
      </c>
      <c r="O386" s="2738">
        <f t="shared" si="41"/>
        <v>100</v>
      </c>
      <c r="P386" s="2739">
        <f>'[10]NFMA46 '!K410</f>
        <v>0</v>
      </c>
      <c r="Q386" s="1715">
        <f t="shared" si="42"/>
        <v>0</v>
      </c>
      <c r="R386" s="1715">
        <f t="shared" si="44"/>
        <v>193499.68</v>
      </c>
      <c r="S386" s="1715">
        <f t="shared" si="43"/>
        <v>100</v>
      </c>
      <c r="T386" s="1715"/>
      <c r="U386" s="1715">
        <f t="shared" si="45"/>
        <v>0</v>
      </c>
      <c r="V386" s="2658"/>
    </row>
    <row r="387" spans="1:22" s="1041" customFormat="1" ht="109.5" customHeight="1">
      <c r="A387" s="2658">
        <v>129</v>
      </c>
      <c r="B387" s="2735" t="s">
        <v>5279</v>
      </c>
      <c r="C387" s="2740" t="s">
        <v>4850</v>
      </c>
      <c r="D387" s="2741"/>
      <c r="E387" s="2742" t="s">
        <v>557</v>
      </c>
      <c r="F387" s="2738"/>
      <c r="G387" s="2738">
        <v>104000</v>
      </c>
      <c r="H387" s="2738"/>
      <c r="I387" s="2738"/>
      <c r="J387" s="2738"/>
      <c r="K387" s="2738"/>
      <c r="L387" s="2743">
        <f>80+24339.76</f>
        <v>24419.759999999998</v>
      </c>
      <c r="M387" s="2738">
        <f>'[10]NFMA46 '!I411-L387</f>
        <v>79580.240000000005</v>
      </c>
      <c r="N387" s="2738">
        <f>'[10]NFMA46 '!L411</f>
        <v>79580.240000000005</v>
      </c>
      <c r="O387" s="2738">
        <f t="shared" si="41"/>
        <v>100</v>
      </c>
      <c r="P387" s="2739">
        <f>'[10]NFMA46 '!K411</f>
        <v>0</v>
      </c>
      <c r="Q387" s="1715">
        <f t="shared" si="42"/>
        <v>0</v>
      </c>
      <c r="R387" s="1715">
        <f t="shared" si="44"/>
        <v>79580.240000000005</v>
      </c>
      <c r="S387" s="1715">
        <f t="shared" si="43"/>
        <v>100</v>
      </c>
      <c r="T387" s="1715"/>
      <c r="U387" s="1715">
        <f t="shared" si="45"/>
        <v>0</v>
      </c>
      <c r="V387" s="2658"/>
    </row>
    <row r="388" spans="1:22" s="1041" customFormat="1" ht="109.5" customHeight="1">
      <c r="A388" s="2658">
        <v>130</v>
      </c>
      <c r="B388" s="2735" t="s">
        <v>5281</v>
      </c>
      <c r="C388" s="2740" t="s">
        <v>4851</v>
      </c>
      <c r="D388" s="2741"/>
      <c r="E388" s="2742" t="s">
        <v>561</v>
      </c>
      <c r="F388" s="2738"/>
      <c r="G388" s="2738">
        <v>104000</v>
      </c>
      <c r="H388" s="2738"/>
      <c r="I388" s="2738"/>
      <c r="J388" s="2738"/>
      <c r="K388" s="2738"/>
      <c r="L388" s="2743"/>
      <c r="M388" s="2738">
        <f>'[10]NFMA46 '!I412</f>
        <v>104000</v>
      </c>
      <c r="N388" s="2738">
        <f>'[10]NFMA46 '!L412</f>
        <v>104000</v>
      </c>
      <c r="O388" s="2738">
        <f t="shared" si="41"/>
        <v>100</v>
      </c>
      <c r="P388" s="2739">
        <f>'[10]NFMA46 '!K412</f>
        <v>0</v>
      </c>
      <c r="Q388" s="1715">
        <f t="shared" si="42"/>
        <v>0</v>
      </c>
      <c r="R388" s="1715">
        <f t="shared" si="44"/>
        <v>104000</v>
      </c>
      <c r="S388" s="1715">
        <f t="shared" si="43"/>
        <v>100</v>
      </c>
      <c r="T388" s="1715"/>
      <c r="U388" s="1715">
        <f t="shared" si="45"/>
        <v>0</v>
      </c>
      <c r="V388" s="2658"/>
    </row>
    <row r="389" spans="1:22" s="1041" customFormat="1" ht="109.5" customHeight="1">
      <c r="A389" s="2658">
        <v>131</v>
      </c>
      <c r="B389" s="2735" t="s">
        <v>5899</v>
      </c>
      <c r="C389" s="2740" t="s">
        <v>4852</v>
      </c>
      <c r="D389" s="2741"/>
      <c r="E389" s="2742" t="s">
        <v>561</v>
      </c>
      <c r="F389" s="2738"/>
      <c r="G389" s="2738">
        <v>104000</v>
      </c>
      <c r="H389" s="2738"/>
      <c r="I389" s="2738"/>
      <c r="J389" s="2738"/>
      <c r="K389" s="2738"/>
      <c r="L389" s="2743">
        <v>4386</v>
      </c>
      <c r="M389" s="2738">
        <f>'[10]NFMA46 '!I413-L389</f>
        <v>99614</v>
      </c>
      <c r="N389" s="2738">
        <f>'[10]NFMA46 '!L413</f>
        <v>99614</v>
      </c>
      <c r="O389" s="2738">
        <f t="shared" ref="O389:O452" si="46">N389/M389*100</f>
        <v>100</v>
      </c>
      <c r="P389" s="2739">
        <f>'[10]NFMA46 '!K413</f>
        <v>0</v>
      </c>
      <c r="Q389" s="1715">
        <f t="shared" ref="Q389:Q452" si="47">P389/M389*100</f>
        <v>0</v>
      </c>
      <c r="R389" s="1715">
        <f t="shared" si="44"/>
        <v>99614</v>
      </c>
      <c r="S389" s="1715">
        <f t="shared" ref="S389:S452" si="48">R389/M389*100</f>
        <v>100</v>
      </c>
      <c r="T389" s="1715"/>
      <c r="U389" s="1715">
        <f t="shared" si="45"/>
        <v>0</v>
      </c>
      <c r="V389" s="2658"/>
    </row>
    <row r="390" spans="1:22" s="1041" customFormat="1" ht="109.5" customHeight="1">
      <c r="A390" s="2658">
        <v>132</v>
      </c>
      <c r="B390" s="2735" t="s">
        <v>5285</v>
      </c>
      <c r="C390" s="2740" t="s">
        <v>4853</v>
      </c>
      <c r="D390" s="2741"/>
      <c r="E390" s="2742" t="s">
        <v>552</v>
      </c>
      <c r="F390" s="2738"/>
      <c r="G390" s="2738">
        <v>104000</v>
      </c>
      <c r="H390" s="2738"/>
      <c r="I390" s="2738"/>
      <c r="J390" s="2738"/>
      <c r="K390" s="2738"/>
      <c r="L390" s="2743"/>
      <c r="M390" s="2738">
        <f>'[10]NFMA46 '!I414</f>
        <v>104000</v>
      </c>
      <c r="N390" s="2738">
        <f>'[10]NFMA46 '!L414</f>
        <v>0</v>
      </c>
      <c r="O390" s="2738">
        <f t="shared" si="46"/>
        <v>0</v>
      </c>
      <c r="P390" s="2739">
        <f>'[10]NFMA46 '!K414</f>
        <v>104000</v>
      </c>
      <c r="Q390" s="1715">
        <f t="shared" si="47"/>
        <v>100</v>
      </c>
      <c r="R390" s="1715">
        <f t="shared" si="44"/>
        <v>104000</v>
      </c>
      <c r="S390" s="1715">
        <f t="shared" si="48"/>
        <v>100</v>
      </c>
      <c r="T390" s="1715"/>
      <c r="U390" s="1715">
        <f t="shared" si="45"/>
        <v>0</v>
      </c>
      <c r="V390" s="2658"/>
    </row>
    <row r="391" spans="1:22" s="1041" customFormat="1" ht="109.5" customHeight="1">
      <c r="A391" s="2658">
        <v>133</v>
      </c>
      <c r="B391" s="2735" t="s">
        <v>5283</v>
      </c>
      <c r="C391" s="2740" t="s">
        <v>4855</v>
      </c>
      <c r="D391" s="2741"/>
      <c r="E391" s="2742" t="s">
        <v>552</v>
      </c>
      <c r="F391" s="2738"/>
      <c r="G391" s="2738">
        <v>104000</v>
      </c>
      <c r="H391" s="2738"/>
      <c r="I391" s="2738"/>
      <c r="J391" s="2738"/>
      <c r="K391" s="2738"/>
      <c r="L391" s="2743">
        <v>36900</v>
      </c>
      <c r="M391" s="2738">
        <f>'[10]NFMA46 '!I415-L391</f>
        <v>67100</v>
      </c>
      <c r="N391" s="2738">
        <f>'[10]NFMA46 '!L415</f>
        <v>0</v>
      </c>
      <c r="O391" s="2738">
        <f t="shared" si="46"/>
        <v>0</v>
      </c>
      <c r="P391" s="2739">
        <f>'[10]NFMA46 '!K415</f>
        <v>67100</v>
      </c>
      <c r="Q391" s="1715">
        <f t="shared" si="47"/>
        <v>100</v>
      </c>
      <c r="R391" s="1715">
        <f t="shared" ref="R391:R454" si="49">P391+N391</f>
        <v>67100</v>
      </c>
      <c r="S391" s="1715">
        <f t="shared" si="48"/>
        <v>100</v>
      </c>
      <c r="T391" s="1715"/>
      <c r="U391" s="1715">
        <f t="shared" ref="U391:U454" si="50">M391-R391</f>
        <v>0</v>
      </c>
      <c r="V391" s="2658"/>
    </row>
    <row r="392" spans="1:22" s="1041" customFormat="1" ht="109.5" customHeight="1">
      <c r="A392" s="2658">
        <v>134</v>
      </c>
      <c r="B392" s="2735" t="s">
        <v>5286</v>
      </c>
      <c r="C392" s="2740" t="s">
        <v>4856</v>
      </c>
      <c r="D392" s="2741"/>
      <c r="E392" s="2742" t="s">
        <v>552</v>
      </c>
      <c r="F392" s="2738"/>
      <c r="G392" s="2738">
        <v>728000</v>
      </c>
      <c r="H392" s="2738"/>
      <c r="I392" s="2738"/>
      <c r="J392" s="2738"/>
      <c r="K392" s="2738"/>
      <c r="L392" s="2743"/>
      <c r="M392" s="2738">
        <f>'[10]NFMA46 '!I416</f>
        <v>728000</v>
      </c>
      <c r="N392" s="2738">
        <f>'[10]NFMA46 '!L416</f>
        <v>0</v>
      </c>
      <c r="O392" s="2738">
        <f t="shared" si="46"/>
        <v>0</v>
      </c>
      <c r="P392" s="2739">
        <f>'[10]NFMA46 '!K416</f>
        <v>728000</v>
      </c>
      <c r="Q392" s="1715">
        <f t="shared" si="47"/>
        <v>100</v>
      </c>
      <c r="R392" s="1715">
        <f t="shared" si="49"/>
        <v>728000</v>
      </c>
      <c r="S392" s="1715">
        <f t="shared" si="48"/>
        <v>100</v>
      </c>
      <c r="T392" s="1715"/>
      <c r="U392" s="1715">
        <f t="shared" si="50"/>
        <v>0</v>
      </c>
      <c r="V392" s="2658"/>
    </row>
    <row r="393" spans="1:22" s="1041" customFormat="1" ht="106.5" customHeight="1">
      <c r="A393" s="2658">
        <v>135</v>
      </c>
      <c r="B393" s="2735" t="s">
        <v>5284</v>
      </c>
      <c r="C393" s="2740" t="s">
        <v>4858</v>
      </c>
      <c r="D393" s="2741"/>
      <c r="E393" s="2742" t="s">
        <v>552</v>
      </c>
      <c r="F393" s="2738"/>
      <c r="G393" s="2738">
        <v>104000</v>
      </c>
      <c r="H393" s="2738"/>
      <c r="I393" s="2738"/>
      <c r="J393" s="2738"/>
      <c r="K393" s="2738"/>
      <c r="L393" s="2743"/>
      <c r="M393" s="2738">
        <f>'[10]NFMA46 '!I418</f>
        <v>104000</v>
      </c>
      <c r="N393" s="2738">
        <f>'[10]NFMA46 '!L418</f>
        <v>0</v>
      </c>
      <c r="O393" s="2738">
        <f t="shared" si="46"/>
        <v>0</v>
      </c>
      <c r="P393" s="2739">
        <f>'[10]NFMA46 '!K418</f>
        <v>104000</v>
      </c>
      <c r="Q393" s="1715">
        <f t="shared" si="47"/>
        <v>100</v>
      </c>
      <c r="R393" s="1715">
        <f t="shared" si="49"/>
        <v>104000</v>
      </c>
      <c r="S393" s="1715">
        <f t="shared" si="48"/>
        <v>100</v>
      </c>
      <c r="T393" s="1715"/>
      <c r="U393" s="1715">
        <f t="shared" si="50"/>
        <v>0</v>
      </c>
      <c r="V393" s="2658"/>
    </row>
    <row r="394" spans="1:22" s="1041" customFormat="1" ht="106.5" customHeight="1">
      <c r="A394" s="2658">
        <v>136</v>
      </c>
      <c r="B394" s="2735" t="s">
        <v>5282</v>
      </c>
      <c r="C394" s="2740" t="s">
        <v>4860</v>
      </c>
      <c r="D394" s="2741"/>
      <c r="E394" s="2742" t="s">
        <v>552</v>
      </c>
      <c r="F394" s="2738"/>
      <c r="G394" s="2738">
        <v>208000</v>
      </c>
      <c r="H394" s="2738"/>
      <c r="I394" s="2738"/>
      <c r="J394" s="2738"/>
      <c r="K394" s="2738"/>
      <c r="L394" s="2743">
        <v>42040</v>
      </c>
      <c r="M394" s="2738">
        <f>'[10]NFMA46 '!I419-L394</f>
        <v>165960</v>
      </c>
      <c r="N394" s="2738">
        <f>'[10]NFMA46 '!L419</f>
        <v>165960</v>
      </c>
      <c r="O394" s="2738">
        <f t="shared" si="46"/>
        <v>100</v>
      </c>
      <c r="P394" s="2739">
        <f>'[10]NFMA46 '!K419</f>
        <v>0</v>
      </c>
      <c r="Q394" s="1715">
        <f t="shared" si="47"/>
        <v>0</v>
      </c>
      <c r="R394" s="1715">
        <f t="shared" si="49"/>
        <v>165960</v>
      </c>
      <c r="S394" s="1715">
        <f t="shared" si="48"/>
        <v>100</v>
      </c>
      <c r="T394" s="1715"/>
      <c r="U394" s="1715">
        <f t="shared" si="50"/>
        <v>0</v>
      </c>
      <c r="V394" s="2658"/>
    </row>
    <row r="395" spans="1:22" s="1041" customFormat="1" ht="106.5" customHeight="1">
      <c r="A395" s="2658">
        <v>137</v>
      </c>
      <c r="B395" s="2735" t="s">
        <v>5900</v>
      </c>
      <c r="C395" s="2740" t="s">
        <v>4861</v>
      </c>
      <c r="D395" s="2741"/>
      <c r="E395" s="2742" t="s">
        <v>584</v>
      </c>
      <c r="F395" s="2738"/>
      <c r="G395" s="2738">
        <v>208000</v>
      </c>
      <c r="H395" s="2738"/>
      <c r="I395" s="2738"/>
      <c r="J395" s="2738"/>
      <c r="K395" s="2738"/>
      <c r="L395" s="2743"/>
      <c r="M395" s="2738">
        <f>'[10]NFMA46 '!I420</f>
        <v>208000</v>
      </c>
      <c r="N395" s="2738">
        <f>'[10]NFMA46 '!L420</f>
        <v>208000</v>
      </c>
      <c r="O395" s="2738">
        <f t="shared" si="46"/>
        <v>100</v>
      </c>
      <c r="P395" s="2739">
        <f>'[10]NFMA46 '!K420</f>
        <v>0</v>
      </c>
      <c r="Q395" s="1715">
        <f t="shared" si="47"/>
        <v>0</v>
      </c>
      <c r="R395" s="1715">
        <f t="shared" si="49"/>
        <v>208000</v>
      </c>
      <c r="S395" s="1715">
        <f t="shared" si="48"/>
        <v>100</v>
      </c>
      <c r="T395" s="1715"/>
      <c r="U395" s="1715">
        <f t="shared" si="50"/>
        <v>0</v>
      </c>
      <c r="V395" s="2658"/>
    </row>
    <row r="396" spans="1:22" s="1041" customFormat="1" ht="106.5" customHeight="1">
      <c r="A396" s="2658">
        <v>138</v>
      </c>
      <c r="B396" s="2735" t="s">
        <v>5287</v>
      </c>
      <c r="C396" s="2740" t="s">
        <v>4862</v>
      </c>
      <c r="D396" s="2741"/>
      <c r="E396" s="2742" t="s">
        <v>558</v>
      </c>
      <c r="F396" s="2738"/>
      <c r="G396" s="2738">
        <v>104000</v>
      </c>
      <c r="H396" s="2738"/>
      <c r="I396" s="2738"/>
      <c r="J396" s="2738"/>
      <c r="K396" s="2738"/>
      <c r="L396" s="2743"/>
      <c r="M396" s="2738">
        <f>'[10]NFMA46 '!I421</f>
        <v>104000</v>
      </c>
      <c r="N396" s="2738">
        <f>'[10]NFMA46 '!L421</f>
        <v>0</v>
      </c>
      <c r="O396" s="2738">
        <f t="shared" si="46"/>
        <v>0</v>
      </c>
      <c r="P396" s="2739">
        <f>'[10]NFMA46 '!K421</f>
        <v>104000</v>
      </c>
      <c r="Q396" s="1715">
        <f t="shared" si="47"/>
        <v>100</v>
      </c>
      <c r="R396" s="1715">
        <f t="shared" si="49"/>
        <v>104000</v>
      </c>
      <c r="S396" s="1715">
        <f t="shared" si="48"/>
        <v>100</v>
      </c>
      <c r="T396" s="1715"/>
      <c r="U396" s="1715">
        <f t="shared" si="50"/>
        <v>0</v>
      </c>
      <c r="V396" s="2658"/>
    </row>
    <row r="397" spans="1:22" s="1041" customFormat="1" ht="106.5" customHeight="1">
      <c r="A397" s="2658">
        <v>139</v>
      </c>
      <c r="B397" s="2735" t="s">
        <v>5901</v>
      </c>
      <c r="C397" s="2740" t="s">
        <v>4863</v>
      </c>
      <c r="D397" s="2741"/>
      <c r="E397" s="2742" t="s">
        <v>558</v>
      </c>
      <c r="F397" s="2738"/>
      <c r="G397" s="2738">
        <v>104000</v>
      </c>
      <c r="H397" s="2738"/>
      <c r="I397" s="2738"/>
      <c r="J397" s="2738"/>
      <c r="K397" s="2738"/>
      <c r="L397" s="2743">
        <v>18740</v>
      </c>
      <c r="M397" s="2738">
        <f>'[10]NFMA46 '!I422-L397</f>
        <v>85260</v>
      </c>
      <c r="N397" s="2738">
        <f>'[10]NFMA46 '!L422</f>
        <v>85260</v>
      </c>
      <c r="O397" s="2738">
        <f t="shared" si="46"/>
        <v>100</v>
      </c>
      <c r="P397" s="2739">
        <f>'[10]NFMA46 '!K422</f>
        <v>0</v>
      </c>
      <c r="Q397" s="1715">
        <f t="shared" si="47"/>
        <v>0</v>
      </c>
      <c r="R397" s="1715">
        <f t="shared" si="49"/>
        <v>85260</v>
      </c>
      <c r="S397" s="1715">
        <f t="shared" si="48"/>
        <v>100</v>
      </c>
      <c r="T397" s="1715"/>
      <c r="U397" s="1715">
        <f t="shared" si="50"/>
        <v>0</v>
      </c>
      <c r="V397" s="2658"/>
    </row>
    <row r="398" spans="1:22" s="1041" customFormat="1" ht="106.5" customHeight="1">
      <c r="A398" s="2658">
        <v>140</v>
      </c>
      <c r="B398" s="2735" t="s">
        <v>5288</v>
      </c>
      <c r="C398" s="2740" t="s">
        <v>4864</v>
      </c>
      <c r="D398" s="2741"/>
      <c r="E398" s="2742" t="s">
        <v>558</v>
      </c>
      <c r="F398" s="2738"/>
      <c r="G398" s="2738">
        <v>208000</v>
      </c>
      <c r="H398" s="2738"/>
      <c r="I398" s="2738"/>
      <c r="J398" s="2738"/>
      <c r="K398" s="2738"/>
      <c r="L398" s="2743">
        <v>104000</v>
      </c>
      <c r="M398" s="2738">
        <f>'[10]NFMA46 '!I423-L398</f>
        <v>104000</v>
      </c>
      <c r="N398" s="2738">
        <f>'[10]NFMA46 '!L423</f>
        <v>104000</v>
      </c>
      <c r="O398" s="2738">
        <f t="shared" si="46"/>
        <v>100</v>
      </c>
      <c r="P398" s="2739">
        <f>'[10]NFMA46 '!K423</f>
        <v>0</v>
      </c>
      <c r="Q398" s="1715">
        <f t="shared" si="47"/>
        <v>0</v>
      </c>
      <c r="R398" s="1715">
        <f t="shared" si="49"/>
        <v>104000</v>
      </c>
      <c r="S398" s="1715">
        <f t="shared" si="48"/>
        <v>100</v>
      </c>
      <c r="T398" s="1715"/>
      <c r="U398" s="1715">
        <f t="shared" si="50"/>
        <v>0</v>
      </c>
      <c r="V398" s="2658"/>
    </row>
    <row r="399" spans="1:22" s="1041" customFormat="1" ht="106.5" customHeight="1">
      <c r="A399" s="2658">
        <v>141</v>
      </c>
      <c r="B399" s="2735" t="s">
        <v>5902</v>
      </c>
      <c r="C399" s="2740" t="s">
        <v>4866</v>
      </c>
      <c r="D399" s="2741"/>
      <c r="E399" s="2742" t="s">
        <v>558</v>
      </c>
      <c r="F399" s="2738"/>
      <c r="G399" s="2738">
        <v>312000</v>
      </c>
      <c r="H399" s="2738"/>
      <c r="I399" s="2738"/>
      <c r="J399" s="2738"/>
      <c r="K399" s="2738"/>
      <c r="L399" s="2743"/>
      <c r="M399" s="2738">
        <f>'[10]NFMA46 '!I424</f>
        <v>312000</v>
      </c>
      <c r="N399" s="2738">
        <f>'[10]NFMA46 '!L424</f>
        <v>312000</v>
      </c>
      <c r="O399" s="2738">
        <f t="shared" si="46"/>
        <v>100</v>
      </c>
      <c r="P399" s="2739">
        <f>'[10]NFMA46 '!K424</f>
        <v>0</v>
      </c>
      <c r="Q399" s="1715">
        <f t="shared" si="47"/>
        <v>0</v>
      </c>
      <c r="R399" s="1715">
        <f t="shared" si="49"/>
        <v>312000</v>
      </c>
      <c r="S399" s="1715">
        <f t="shared" si="48"/>
        <v>100</v>
      </c>
      <c r="T399" s="1715"/>
      <c r="U399" s="1715">
        <f t="shared" si="50"/>
        <v>0</v>
      </c>
      <c r="V399" s="2658"/>
    </row>
    <row r="400" spans="1:22" s="1041" customFormat="1" ht="106.5" customHeight="1">
      <c r="A400" s="2658">
        <v>142</v>
      </c>
      <c r="B400" s="2735" t="s">
        <v>5289</v>
      </c>
      <c r="C400" s="2740" t="s">
        <v>4867</v>
      </c>
      <c r="D400" s="2741"/>
      <c r="E400" s="2742" t="s">
        <v>558</v>
      </c>
      <c r="F400" s="2738"/>
      <c r="G400" s="2738">
        <v>624000</v>
      </c>
      <c r="H400" s="2738"/>
      <c r="I400" s="2738"/>
      <c r="J400" s="2738"/>
      <c r="K400" s="2738"/>
      <c r="L400" s="2743"/>
      <c r="M400" s="2738">
        <f>'[10]NFMA46 '!I425</f>
        <v>624000</v>
      </c>
      <c r="N400" s="2738">
        <f>'[10]NFMA46 '!L425</f>
        <v>624000</v>
      </c>
      <c r="O400" s="2738">
        <f t="shared" si="46"/>
        <v>100</v>
      </c>
      <c r="P400" s="2739">
        <f>'[10]NFMA46 '!K425</f>
        <v>0</v>
      </c>
      <c r="Q400" s="1715">
        <f t="shared" si="47"/>
        <v>0</v>
      </c>
      <c r="R400" s="1715">
        <f t="shared" si="49"/>
        <v>624000</v>
      </c>
      <c r="S400" s="1715">
        <f t="shared" si="48"/>
        <v>100</v>
      </c>
      <c r="T400" s="1715"/>
      <c r="U400" s="1715">
        <f t="shared" si="50"/>
        <v>0</v>
      </c>
      <c r="V400" s="2658"/>
    </row>
    <row r="401" spans="1:22" s="1041" customFormat="1" ht="106.5" customHeight="1">
      <c r="A401" s="2658">
        <v>143</v>
      </c>
      <c r="B401" s="2735" t="s">
        <v>5903</v>
      </c>
      <c r="C401" s="2740" t="s">
        <v>4868</v>
      </c>
      <c r="D401" s="2741"/>
      <c r="E401" s="2742" t="s">
        <v>558</v>
      </c>
      <c r="F401" s="2738"/>
      <c r="G401" s="2738">
        <v>104000</v>
      </c>
      <c r="H401" s="2738"/>
      <c r="I401" s="2738"/>
      <c r="J401" s="2738"/>
      <c r="K401" s="2738"/>
      <c r="L401" s="2743"/>
      <c r="M401" s="2738">
        <f>'[10]NFMA46 '!I426</f>
        <v>104000</v>
      </c>
      <c r="N401" s="2738">
        <f>'[10]NFMA46 '!L426</f>
        <v>104000</v>
      </c>
      <c r="O401" s="2738">
        <f t="shared" si="46"/>
        <v>100</v>
      </c>
      <c r="P401" s="2739">
        <f>'[10]NFMA46 '!K426</f>
        <v>0</v>
      </c>
      <c r="Q401" s="1715">
        <f t="shared" si="47"/>
        <v>0</v>
      </c>
      <c r="R401" s="1715">
        <f t="shared" si="49"/>
        <v>104000</v>
      </c>
      <c r="S401" s="1715">
        <f t="shared" si="48"/>
        <v>100</v>
      </c>
      <c r="T401" s="1715"/>
      <c r="U401" s="1715">
        <f t="shared" si="50"/>
        <v>0</v>
      </c>
      <c r="V401" s="2658"/>
    </row>
    <row r="402" spans="1:22" s="1041" customFormat="1" ht="106.5" customHeight="1">
      <c r="A402" s="2658">
        <v>144</v>
      </c>
      <c r="B402" s="2735" t="s">
        <v>5290</v>
      </c>
      <c r="C402" s="2740" t="s">
        <v>4869</v>
      </c>
      <c r="D402" s="2741"/>
      <c r="E402" s="2742" t="s">
        <v>558</v>
      </c>
      <c r="F402" s="2738"/>
      <c r="G402" s="2738">
        <v>208000</v>
      </c>
      <c r="H402" s="2738"/>
      <c r="I402" s="2738"/>
      <c r="J402" s="2738"/>
      <c r="K402" s="2738"/>
      <c r="L402" s="2743"/>
      <c r="M402" s="2738">
        <f>'[10]NFMA46 '!I427</f>
        <v>208000</v>
      </c>
      <c r="N402" s="2738">
        <f>'[10]NFMA46 '!L427</f>
        <v>0</v>
      </c>
      <c r="O402" s="2738">
        <f t="shared" si="46"/>
        <v>0</v>
      </c>
      <c r="P402" s="2739">
        <f>'[10]NFMA46 '!K427</f>
        <v>208000</v>
      </c>
      <c r="Q402" s="1715">
        <f t="shared" si="47"/>
        <v>100</v>
      </c>
      <c r="R402" s="1715">
        <f t="shared" si="49"/>
        <v>208000</v>
      </c>
      <c r="S402" s="1715">
        <f t="shared" si="48"/>
        <v>100</v>
      </c>
      <c r="T402" s="1715"/>
      <c r="U402" s="1715">
        <f t="shared" si="50"/>
        <v>0</v>
      </c>
      <c r="V402" s="2658"/>
    </row>
    <row r="403" spans="1:22" s="1041" customFormat="1" ht="106.5" customHeight="1">
      <c r="A403" s="2658">
        <v>145</v>
      </c>
      <c r="B403" s="2735" t="s">
        <v>5904</v>
      </c>
      <c r="C403" s="2740" t="s">
        <v>4870</v>
      </c>
      <c r="D403" s="2741"/>
      <c r="E403" s="2742" t="s">
        <v>1186</v>
      </c>
      <c r="F403" s="2738"/>
      <c r="G403" s="2738">
        <v>416000</v>
      </c>
      <c r="H403" s="2738"/>
      <c r="I403" s="2738"/>
      <c r="J403" s="2738"/>
      <c r="K403" s="2738"/>
      <c r="L403" s="2743"/>
      <c r="M403" s="2738">
        <f>'[10]NFMA46 '!I428</f>
        <v>416000</v>
      </c>
      <c r="N403" s="2738">
        <f>'[10]NFMA46 '!L428</f>
        <v>104000</v>
      </c>
      <c r="O403" s="2738">
        <f t="shared" si="46"/>
        <v>25</v>
      </c>
      <c r="P403" s="2739">
        <f>'[10]NFMA46 '!K428</f>
        <v>312000</v>
      </c>
      <c r="Q403" s="1715">
        <f t="shared" si="47"/>
        <v>75</v>
      </c>
      <c r="R403" s="1715">
        <f t="shared" si="49"/>
        <v>416000</v>
      </c>
      <c r="S403" s="1715">
        <f t="shared" si="48"/>
        <v>100</v>
      </c>
      <c r="T403" s="1715"/>
      <c r="U403" s="1715">
        <f t="shared" si="50"/>
        <v>0</v>
      </c>
      <c r="V403" s="2658"/>
    </row>
    <row r="404" spans="1:22" s="1041" customFormat="1" ht="106.5" customHeight="1">
      <c r="A404" s="2658">
        <v>146</v>
      </c>
      <c r="B404" s="2735" t="s">
        <v>5905</v>
      </c>
      <c r="C404" s="2740" t="s">
        <v>4871</v>
      </c>
      <c r="D404" s="2741"/>
      <c r="E404" s="2742" t="s">
        <v>2978</v>
      </c>
      <c r="F404" s="2738"/>
      <c r="G404" s="2738">
        <v>104000</v>
      </c>
      <c r="H404" s="2738"/>
      <c r="I404" s="2738"/>
      <c r="J404" s="2738"/>
      <c r="K404" s="2738"/>
      <c r="L404" s="2743"/>
      <c r="M404" s="2738">
        <f>'[10]NFMA46 '!I429</f>
        <v>104000</v>
      </c>
      <c r="N404" s="2738">
        <f>'[10]NFMA46 '!L429</f>
        <v>104000</v>
      </c>
      <c r="O404" s="2738">
        <f t="shared" si="46"/>
        <v>100</v>
      </c>
      <c r="P404" s="2739">
        <f>'[10]NFMA46 '!K429</f>
        <v>0</v>
      </c>
      <c r="Q404" s="1715">
        <f t="shared" si="47"/>
        <v>0</v>
      </c>
      <c r="R404" s="1715">
        <f t="shared" si="49"/>
        <v>104000</v>
      </c>
      <c r="S404" s="1715">
        <f t="shared" si="48"/>
        <v>100</v>
      </c>
      <c r="T404" s="1715"/>
      <c r="U404" s="1715">
        <f t="shared" si="50"/>
        <v>0</v>
      </c>
      <c r="V404" s="2658"/>
    </row>
    <row r="405" spans="1:22" s="1041" customFormat="1" ht="106.5" customHeight="1">
      <c r="A405" s="2658">
        <v>147</v>
      </c>
      <c r="B405" s="2735" t="s">
        <v>5291</v>
      </c>
      <c r="C405" s="2740" t="s">
        <v>4872</v>
      </c>
      <c r="D405" s="2741"/>
      <c r="E405" s="2742" t="s">
        <v>2978</v>
      </c>
      <c r="F405" s="2738"/>
      <c r="G405" s="2738">
        <v>104000</v>
      </c>
      <c r="H405" s="2738"/>
      <c r="I405" s="2738"/>
      <c r="J405" s="2738"/>
      <c r="K405" s="2738"/>
      <c r="L405" s="2743">
        <v>22400</v>
      </c>
      <c r="M405" s="2738">
        <f>'[10]NFMA46 '!I430-L405</f>
        <v>81600</v>
      </c>
      <c r="N405" s="2738">
        <f>'[10]NFMA46 '!L430</f>
        <v>81600</v>
      </c>
      <c r="O405" s="2738">
        <f t="shared" si="46"/>
        <v>100</v>
      </c>
      <c r="P405" s="2739">
        <f>'[10]NFMA46 '!K430</f>
        <v>0</v>
      </c>
      <c r="Q405" s="1715">
        <f t="shared" si="47"/>
        <v>0</v>
      </c>
      <c r="R405" s="1715">
        <f t="shared" si="49"/>
        <v>81600</v>
      </c>
      <c r="S405" s="1715">
        <f t="shared" si="48"/>
        <v>100</v>
      </c>
      <c r="T405" s="1715"/>
      <c r="U405" s="1715">
        <f t="shared" si="50"/>
        <v>0</v>
      </c>
      <c r="V405" s="2658"/>
    </row>
    <row r="406" spans="1:22" s="1041" customFormat="1" ht="106.5" customHeight="1">
      <c r="A406" s="2658">
        <v>148</v>
      </c>
      <c r="B406" s="2735" t="s">
        <v>5906</v>
      </c>
      <c r="C406" s="2740" t="s">
        <v>4873</v>
      </c>
      <c r="D406" s="2741"/>
      <c r="E406" s="2742" t="s">
        <v>2978</v>
      </c>
      <c r="F406" s="2738"/>
      <c r="G406" s="2738">
        <v>104000</v>
      </c>
      <c r="H406" s="2738"/>
      <c r="I406" s="2738"/>
      <c r="J406" s="2738"/>
      <c r="K406" s="2738"/>
      <c r="L406" s="2743"/>
      <c r="M406" s="2738">
        <f>'[10]NFMA46 '!I431</f>
        <v>104000</v>
      </c>
      <c r="N406" s="2738">
        <f>'[10]NFMA46 '!L431</f>
        <v>104000</v>
      </c>
      <c r="O406" s="2738">
        <f t="shared" si="46"/>
        <v>100</v>
      </c>
      <c r="P406" s="2739">
        <f>'[10]NFMA46 '!K431</f>
        <v>0</v>
      </c>
      <c r="Q406" s="1715">
        <f t="shared" si="47"/>
        <v>0</v>
      </c>
      <c r="R406" s="1715">
        <f t="shared" si="49"/>
        <v>104000</v>
      </c>
      <c r="S406" s="1715">
        <f t="shared" si="48"/>
        <v>100</v>
      </c>
      <c r="T406" s="1715"/>
      <c r="U406" s="1715">
        <f t="shared" si="50"/>
        <v>0</v>
      </c>
      <c r="V406" s="2658"/>
    </row>
    <row r="407" spans="1:22" s="1041" customFormat="1" ht="106.5" customHeight="1">
      <c r="A407" s="2658">
        <v>149</v>
      </c>
      <c r="B407" s="2735" t="s">
        <v>5292</v>
      </c>
      <c r="C407" s="2740" t="s">
        <v>4874</v>
      </c>
      <c r="D407" s="2741"/>
      <c r="E407" s="2742" t="s">
        <v>358</v>
      </c>
      <c r="F407" s="2738"/>
      <c r="G407" s="2738">
        <v>104000</v>
      </c>
      <c r="H407" s="2738"/>
      <c r="I407" s="2738"/>
      <c r="J407" s="2738"/>
      <c r="K407" s="2738"/>
      <c r="L407" s="2743"/>
      <c r="M407" s="2738">
        <f>'[10]NFMA46 '!I432</f>
        <v>104000</v>
      </c>
      <c r="N407" s="2738">
        <f>'[10]NFMA46 '!L432</f>
        <v>104000</v>
      </c>
      <c r="O407" s="2738">
        <f t="shared" si="46"/>
        <v>100</v>
      </c>
      <c r="P407" s="2739">
        <f>'[10]NFMA46 '!K432</f>
        <v>0</v>
      </c>
      <c r="Q407" s="1715">
        <f t="shared" si="47"/>
        <v>0</v>
      </c>
      <c r="R407" s="1715">
        <f t="shared" si="49"/>
        <v>104000</v>
      </c>
      <c r="S407" s="1715">
        <f t="shared" si="48"/>
        <v>100</v>
      </c>
      <c r="T407" s="1715"/>
      <c r="U407" s="1715">
        <f t="shared" si="50"/>
        <v>0</v>
      </c>
      <c r="V407" s="2658"/>
    </row>
    <row r="408" spans="1:22" s="1041" customFormat="1" ht="106.5" customHeight="1">
      <c r="A408" s="2658">
        <v>150</v>
      </c>
      <c r="B408" s="2735" t="s">
        <v>5907</v>
      </c>
      <c r="C408" s="2740" t="s">
        <v>4876</v>
      </c>
      <c r="D408" s="2741"/>
      <c r="E408" s="2742" t="s">
        <v>357</v>
      </c>
      <c r="F408" s="2738"/>
      <c r="G408" s="2738">
        <v>104000</v>
      </c>
      <c r="H408" s="2738"/>
      <c r="I408" s="2738"/>
      <c r="J408" s="2738"/>
      <c r="K408" s="2738"/>
      <c r="L408" s="2743">
        <v>60200</v>
      </c>
      <c r="M408" s="2738">
        <f>'[10]NFMA46 '!I434-L408</f>
        <v>43800</v>
      </c>
      <c r="N408" s="2738">
        <f>'[10]NFMA46 '!L434</f>
        <v>0</v>
      </c>
      <c r="O408" s="2738">
        <f t="shared" si="46"/>
        <v>0</v>
      </c>
      <c r="P408" s="2739">
        <f>'[10]NFMA46 '!K434</f>
        <v>43800</v>
      </c>
      <c r="Q408" s="1715">
        <f t="shared" si="47"/>
        <v>100</v>
      </c>
      <c r="R408" s="1715">
        <f t="shared" si="49"/>
        <v>43800</v>
      </c>
      <c r="S408" s="1715">
        <f t="shared" si="48"/>
        <v>100</v>
      </c>
      <c r="T408" s="1715"/>
      <c r="U408" s="1715">
        <f t="shared" si="50"/>
        <v>0</v>
      </c>
      <c r="V408" s="2658"/>
    </row>
    <row r="409" spans="1:22" s="1041" customFormat="1" ht="106.5" customHeight="1">
      <c r="A409" s="2658">
        <v>151</v>
      </c>
      <c r="B409" s="2735" t="s">
        <v>5908</v>
      </c>
      <c r="C409" s="2740" t="s">
        <v>4877</v>
      </c>
      <c r="D409" s="2741"/>
      <c r="E409" s="2742" t="s">
        <v>357</v>
      </c>
      <c r="F409" s="2738"/>
      <c r="G409" s="2738">
        <v>104000</v>
      </c>
      <c r="H409" s="2738"/>
      <c r="I409" s="2738"/>
      <c r="J409" s="2738"/>
      <c r="K409" s="2738"/>
      <c r="L409" s="2743">
        <v>29100</v>
      </c>
      <c r="M409" s="2738">
        <f>'[10]NFMA46 '!I435-L409</f>
        <v>74900</v>
      </c>
      <c r="N409" s="2738">
        <f>'[10]NFMA46 '!L435</f>
        <v>0</v>
      </c>
      <c r="O409" s="2738">
        <f t="shared" si="46"/>
        <v>0</v>
      </c>
      <c r="P409" s="2739">
        <f>'[10]NFMA46 '!K435</f>
        <v>74900</v>
      </c>
      <c r="Q409" s="1715">
        <f t="shared" si="47"/>
        <v>100</v>
      </c>
      <c r="R409" s="1715">
        <f t="shared" si="49"/>
        <v>74900</v>
      </c>
      <c r="S409" s="1715">
        <f t="shared" si="48"/>
        <v>100</v>
      </c>
      <c r="T409" s="1715"/>
      <c r="U409" s="1715">
        <f t="shared" si="50"/>
        <v>0</v>
      </c>
      <c r="V409" s="2658"/>
    </row>
    <row r="410" spans="1:22" s="1041" customFormat="1" ht="106.5" customHeight="1">
      <c r="A410" s="2658">
        <v>152</v>
      </c>
      <c r="B410" s="2735" t="s">
        <v>5293</v>
      </c>
      <c r="C410" s="2740" t="s">
        <v>4878</v>
      </c>
      <c r="D410" s="2741"/>
      <c r="E410" s="2742" t="s">
        <v>555</v>
      </c>
      <c r="F410" s="2738"/>
      <c r="G410" s="2738">
        <v>104000</v>
      </c>
      <c r="H410" s="2738"/>
      <c r="I410" s="2738"/>
      <c r="J410" s="2738"/>
      <c r="K410" s="2738"/>
      <c r="L410" s="2743"/>
      <c r="M410" s="2738">
        <f>'[10]NFMA46 '!I436</f>
        <v>104000</v>
      </c>
      <c r="N410" s="2738">
        <f>'[10]NFMA46 '!L436</f>
        <v>104000</v>
      </c>
      <c r="O410" s="2738">
        <f t="shared" si="46"/>
        <v>100</v>
      </c>
      <c r="P410" s="2739">
        <f>'[10]NFMA46 '!K436</f>
        <v>0</v>
      </c>
      <c r="Q410" s="1715">
        <f t="shared" si="47"/>
        <v>0</v>
      </c>
      <c r="R410" s="1715">
        <f t="shared" si="49"/>
        <v>104000</v>
      </c>
      <c r="S410" s="1715">
        <f t="shared" si="48"/>
        <v>100</v>
      </c>
      <c r="T410" s="1715"/>
      <c r="U410" s="1715">
        <f t="shared" si="50"/>
        <v>0</v>
      </c>
      <c r="V410" s="2658"/>
    </row>
    <row r="411" spans="1:22" s="1041" customFormat="1" ht="106.5" customHeight="1">
      <c r="A411" s="2658">
        <v>153</v>
      </c>
      <c r="B411" s="2735" t="s">
        <v>5300</v>
      </c>
      <c r="C411" s="2740" t="s">
        <v>4879</v>
      </c>
      <c r="D411" s="2741"/>
      <c r="E411" s="2742" t="s">
        <v>555</v>
      </c>
      <c r="F411" s="2738"/>
      <c r="G411" s="2738">
        <v>104000</v>
      </c>
      <c r="H411" s="2738"/>
      <c r="I411" s="2738"/>
      <c r="J411" s="2738"/>
      <c r="K411" s="2738"/>
      <c r="L411" s="2743"/>
      <c r="M411" s="2738">
        <f>'[10]NFMA46 '!I437</f>
        <v>104000</v>
      </c>
      <c r="N411" s="2738">
        <f>'[10]NFMA46 '!L437</f>
        <v>104000</v>
      </c>
      <c r="O411" s="2738">
        <f t="shared" si="46"/>
        <v>100</v>
      </c>
      <c r="P411" s="2739">
        <f>'[10]NFMA46 '!K437</f>
        <v>0</v>
      </c>
      <c r="Q411" s="1715">
        <f t="shared" si="47"/>
        <v>0</v>
      </c>
      <c r="R411" s="1715">
        <f t="shared" si="49"/>
        <v>104000</v>
      </c>
      <c r="S411" s="1715">
        <f t="shared" si="48"/>
        <v>100</v>
      </c>
      <c r="T411" s="1715"/>
      <c r="U411" s="1715">
        <f t="shared" si="50"/>
        <v>0</v>
      </c>
      <c r="V411" s="2658"/>
    </row>
    <row r="412" spans="1:22" s="1041" customFormat="1" ht="106.5" customHeight="1">
      <c r="A412" s="2658">
        <v>154</v>
      </c>
      <c r="B412" s="2735" t="s">
        <v>5295</v>
      </c>
      <c r="C412" s="2740" t="s">
        <v>4881</v>
      </c>
      <c r="D412" s="2741"/>
      <c r="E412" s="2742" t="s">
        <v>555</v>
      </c>
      <c r="F412" s="2738"/>
      <c r="G412" s="2738">
        <v>104000</v>
      </c>
      <c r="H412" s="2738"/>
      <c r="I412" s="2738"/>
      <c r="J412" s="2738"/>
      <c r="K412" s="2738"/>
      <c r="L412" s="2743"/>
      <c r="M412" s="2738">
        <f>'[10]NFMA46 '!I438</f>
        <v>104000</v>
      </c>
      <c r="N412" s="2738">
        <f>'[10]NFMA46 '!L438</f>
        <v>104000</v>
      </c>
      <c r="O412" s="2738">
        <f t="shared" si="46"/>
        <v>100</v>
      </c>
      <c r="P412" s="2739">
        <f>'[10]NFMA46 '!K438</f>
        <v>0</v>
      </c>
      <c r="Q412" s="1715">
        <f t="shared" si="47"/>
        <v>0</v>
      </c>
      <c r="R412" s="1715">
        <f t="shared" si="49"/>
        <v>104000</v>
      </c>
      <c r="S412" s="1715">
        <f t="shared" si="48"/>
        <v>100</v>
      </c>
      <c r="T412" s="1715"/>
      <c r="U412" s="1715">
        <f t="shared" si="50"/>
        <v>0</v>
      </c>
      <c r="V412" s="2658"/>
    </row>
    <row r="413" spans="1:22" s="1041" customFormat="1" ht="106.5" customHeight="1">
      <c r="A413" s="2658">
        <v>155</v>
      </c>
      <c r="B413" s="2735" t="s">
        <v>5298</v>
      </c>
      <c r="C413" s="2740" t="s">
        <v>4883</v>
      </c>
      <c r="D413" s="2741"/>
      <c r="E413" s="2742" t="s">
        <v>555</v>
      </c>
      <c r="F413" s="2738"/>
      <c r="G413" s="2738">
        <v>520000</v>
      </c>
      <c r="H413" s="2738"/>
      <c r="I413" s="2738"/>
      <c r="J413" s="2738"/>
      <c r="K413" s="2738"/>
      <c r="L413" s="2743"/>
      <c r="M413" s="2738">
        <f>'[10]NFMA46 '!I439</f>
        <v>520000</v>
      </c>
      <c r="N413" s="2738">
        <f>'[10]NFMA46 '!L439</f>
        <v>520000</v>
      </c>
      <c r="O413" s="2738">
        <f t="shared" si="46"/>
        <v>100</v>
      </c>
      <c r="P413" s="2739">
        <f>'[10]NFMA46 '!K439</f>
        <v>0</v>
      </c>
      <c r="Q413" s="1715">
        <f t="shared" si="47"/>
        <v>0</v>
      </c>
      <c r="R413" s="1715">
        <f t="shared" si="49"/>
        <v>520000</v>
      </c>
      <c r="S413" s="1715">
        <f t="shared" si="48"/>
        <v>100</v>
      </c>
      <c r="T413" s="1715"/>
      <c r="U413" s="1715">
        <f t="shared" si="50"/>
        <v>0</v>
      </c>
      <c r="V413" s="2658"/>
    </row>
    <row r="414" spans="1:22" s="1041" customFormat="1" ht="106.5" customHeight="1">
      <c r="A414" s="2658">
        <v>156</v>
      </c>
      <c r="B414" s="2735" t="s">
        <v>5294</v>
      </c>
      <c r="C414" s="2740" t="s">
        <v>4884</v>
      </c>
      <c r="D414" s="2741"/>
      <c r="E414" s="2742" t="s">
        <v>555</v>
      </c>
      <c r="F414" s="2738"/>
      <c r="G414" s="2738">
        <v>208000</v>
      </c>
      <c r="H414" s="2738"/>
      <c r="I414" s="2738"/>
      <c r="J414" s="2738"/>
      <c r="K414" s="2738"/>
      <c r="L414" s="2743"/>
      <c r="M414" s="2738">
        <f>'[10]NFMA46 '!I440</f>
        <v>208000</v>
      </c>
      <c r="N414" s="2738">
        <f>'[10]NFMA46 '!L440</f>
        <v>208000</v>
      </c>
      <c r="O414" s="2738">
        <f t="shared" si="46"/>
        <v>100</v>
      </c>
      <c r="P414" s="2739">
        <f>'[10]NFMA46 '!K440</f>
        <v>0</v>
      </c>
      <c r="Q414" s="1715">
        <f t="shared" si="47"/>
        <v>0</v>
      </c>
      <c r="R414" s="1715">
        <f t="shared" si="49"/>
        <v>208000</v>
      </c>
      <c r="S414" s="1715">
        <f t="shared" si="48"/>
        <v>100</v>
      </c>
      <c r="T414" s="1715"/>
      <c r="U414" s="1715">
        <f t="shared" si="50"/>
        <v>0</v>
      </c>
      <c r="V414" s="2658"/>
    </row>
    <row r="415" spans="1:22" s="1041" customFormat="1" ht="106.5" customHeight="1">
      <c r="A415" s="2658">
        <v>157</v>
      </c>
      <c r="B415" s="2735" t="s">
        <v>5296</v>
      </c>
      <c r="C415" s="2740" t="s">
        <v>4885</v>
      </c>
      <c r="D415" s="2741"/>
      <c r="E415" s="2742" t="s">
        <v>555</v>
      </c>
      <c r="F415" s="2738"/>
      <c r="G415" s="2738">
        <v>208000</v>
      </c>
      <c r="H415" s="2738"/>
      <c r="I415" s="2738"/>
      <c r="J415" s="2738"/>
      <c r="K415" s="2738"/>
      <c r="L415" s="2743"/>
      <c r="M415" s="2738">
        <f>'[10]NFMA46 '!I441</f>
        <v>208000</v>
      </c>
      <c r="N415" s="2738">
        <f>'[10]NFMA46 '!L441</f>
        <v>208000</v>
      </c>
      <c r="O415" s="2738">
        <f t="shared" si="46"/>
        <v>100</v>
      </c>
      <c r="P415" s="2739">
        <f>'[10]NFMA46 '!K441</f>
        <v>0</v>
      </c>
      <c r="Q415" s="1715">
        <f t="shared" si="47"/>
        <v>0</v>
      </c>
      <c r="R415" s="1715">
        <f t="shared" si="49"/>
        <v>208000</v>
      </c>
      <c r="S415" s="1715">
        <f t="shared" si="48"/>
        <v>100</v>
      </c>
      <c r="T415" s="1715"/>
      <c r="U415" s="1715">
        <f t="shared" si="50"/>
        <v>0</v>
      </c>
      <c r="V415" s="2658"/>
    </row>
    <row r="416" spans="1:22" s="1041" customFormat="1" ht="106.5" customHeight="1">
      <c r="A416" s="2658">
        <v>158</v>
      </c>
      <c r="B416" s="2735" t="s">
        <v>5299</v>
      </c>
      <c r="C416" s="2740" t="s">
        <v>4886</v>
      </c>
      <c r="D416" s="2741"/>
      <c r="E416" s="2742" t="s">
        <v>555</v>
      </c>
      <c r="F416" s="2738"/>
      <c r="G416" s="2738">
        <v>208000</v>
      </c>
      <c r="H416" s="2738"/>
      <c r="I416" s="2738"/>
      <c r="J416" s="2738"/>
      <c r="K416" s="2738"/>
      <c r="L416" s="2743"/>
      <c r="M416" s="2738">
        <f>'[10]NFMA46 '!I442</f>
        <v>208000</v>
      </c>
      <c r="N416" s="2738">
        <f>'[10]NFMA46 '!L442</f>
        <v>208000</v>
      </c>
      <c r="O416" s="2738">
        <f t="shared" si="46"/>
        <v>100</v>
      </c>
      <c r="P416" s="2739">
        <f>'[10]NFMA46 '!K442</f>
        <v>0</v>
      </c>
      <c r="Q416" s="1715">
        <f t="shared" si="47"/>
        <v>0</v>
      </c>
      <c r="R416" s="1715">
        <f t="shared" si="49"/>
        <v>208000</v>
      </c>
      <c r="S416" s="1715">
        <f t="shared" si="48"/>
        <v>100</v>
      </c>
      <c r="T416" s="1715"/>
      <c r="U416" s="1715">
        <f t="shared" si="50"/>
        <v>0</v>
      </c>
      <c r="V416" s="2658"/>
    </row>
    <row r="417" spans="1:22" s="1041" customFormat="1" ht="106.5" customHeight="1">
      <c r="A417" s="2658">
        <v>159</v>
      </c>
      <c r="B417" s="2735" t="s">
        <v>5297</v>
      </c>
      <c r="C417" s="2740" t="s">
        <v>5909</v>
      </c>
      <c r="D417" s="2741"/>
      <c r="E417" s="2742" t="s">
        <v>555</v>
      </c>
      <c r="F417" s="2738"/>
      <c r="G417" s="2738">
        <v>104000</v>
      </c>
      <c r="H417" s="2738"/>
      <c r="I417" s="2738"/>
      <c r="J417" s="2738"/>
      <c r="K417" s="2738"/>
      <c r="L417" s="2743"/>
      <c r="M417" s="2738">
        <f>'[10]NFMA46 '!I443</f>
        <v>104000</v>
      </c>
      <c r="N417" s="2738">
        <f>'[10]NFMA46 '!L443</f>
        <v>104000</v>
      </c>
      <c r="O417" s="2738">
        <f t="shared" si="46"/>
        <v>100</v>
      </c>
      <c r="P417" s="2739">
        <f>'[10]NFMA46 '!K443</f>
        <v>0</v>
      </c>
      <c r="Q417" s="1715">
        <f t="shared" si="47"/>
        <v>0</v>
      </c>
      <c r="R417" s="1715">
        <f t="shared" si="49"/>
        <v>104000</v>
      </c>
      <c r="S417" s="1715">
        <f t="shared" si="48"/>
        <v>100</v>
      </c>
      <c r="T417" s="1715"/>
      <c r="U417" s="1715">
        <f t="shared" si="50"/>
        <v>0</v>
      </c>
      <c r="V417" s="2658"/>
    </row>
    <row r="418" spans="1:22" s="1041" customFormat="1" ht="106.5" customHeight="1">
      <c r="A418" s="2658">
        <v>160</v>
      </c>
      <c r="B418" s="2735" t="s">
        <v>5910</v>
      </c>
      <c r="C418" s="2740" t="s">
        <v>4887</v>
      </c>
      <c r="D418" s="2741"/>
      <c r="E418" s="2742" t="s">
        <v>551</v>
      </c>
      <c r="F418" s="2738"/>
      <c r="G418" s="2738">
        <v>104000</v>
      </c>
      <c r="H418" s="2738"/>
      <c r="I418" s="2738"/>
      <c r="J418" s="2738"/>
      <c r="K418" s="2738"/>
      <c r="L418" s="2743"/>
      <c r="M418" s="2738">
        <f>'[10]NFMA46 '!I445</f>
        <v>104000</v>
      </c>
      <c r="N418" s="2738">
        <f>'[10]NFMA46 '!L445</f>
        <v>0</v>
      </c>
      <c r="O418" s="2738">
        <f t="shared" si="46"/>
        <v>0</v>
      </c>
      <c r="P418" s="2739">
        <f>'[10]NFMA46 '!K445</f>
        <v>104000</v>
      </c>
      <c r="Q418" s="1715">
        <f t="shared" si="47"/>
        <v>100</v>
      </c>
      <c r="R418" s="1715">
        <f t="shared" si="49"/>
        <v>104000</v>
      </c>
      <c r="S418" s="1715">
        <f t="shared" si="48"/>
        <v>100</v>
      </c>
      <c r="T418" s="1715"/>
      <c r="U418" s="1715">
        <f t="shared" si="50"/>
        <v>0</v>
      </c>
      <c r="V418" s="2658"/>
    </row>
    <row r="419" spans="1:22" s="1041" customFormat="1" ht="106.5" customHeight="1">
      <c r="A419" s="2658">
        <v>161</v>
      </c>
      <c r="B419" s="2735" t="s">
        <v>5303</v>
      </c>
      <c r="C419" s="2740" t="s">
        <v>4889</v>
      </c>
      <c r="D419" s="2741"/>
      <c r="E419" s="2742" t="s">
        <v>551</v>
      </c>
      <c r="F419" s="2738"/>
      <c r="G419" s="2738">
        <v>208000</v>
      </c>
      <c r="H419" s="2738"/>
      <c r="I419" s="2738"/>
      <c r="J419" s="2738"/>
      <c r="K419" s="2738"/>
      <c r="L419" s="2743">
        <v>15240</v>
      </c>
      <c r="M419" s="2738">
        <f>'[10]NFMA46 '!I447-L419</f>
        <v>192760</v>
      </c>
      <c r="N419" s="2738">
        <f>'[10]NFMA46 '!L447</f>
        <v>0</v>
      </c>
      <c r="O419" s="2738">
        <f t="shared" si="46"/>
        <v>0</v>
      </c>
      <c r="P419" s="2739">
        <f>'[10]NFMA46 '!K447</f>
        <v>192760</v>
      </c>
      <c r="Q419" s="1715">
        <f t="shared" si="47"/>
        <v>100</v>
      </c>
      <c r="R419" s="1715">
        <f t="shared" si="49"/>
        <v>192760</v>
      </c>
      <c r="S419" s="1715">
        <f t="shared" si="48"/>
        <v>100</v>
      </c>
      <c r="T419" s="1715"/>
      <c r="U419" s="1715">
        <f t="shared" si="50"/>
        <v>0</v>
      </c>
      <c r="V419" s="2658"/>
    </row>
    <row r="420" spans="1:22" s="1041" customFormat="1" ht="106.5" customHeight="1">
      <c r="A420" s="2658">
        <v>162</v>
      </c>
      <c r="B420" s="2735" t="s">
        <v>5911</v>
      </c>
      <c r="C420" s="2740" t="s">
        <v>4890</v>
      </c>
      <c r="D420" s="2741"/>
      <c r="E420" s="2742" t="s">
        <v>551</v>
      </c>
      <c r="F420" s="2738"/>
      <c r="G420" s="2738">
        <v>520000</v>
      </c>
      <c r="H420" s="2738"/>
      <c r="I420" s="2738"/>
      <c r="J420" s="2738"/>
      <c r="K420" s="2738"/>
      <c r="L420" s="2743"/>
      <c r="M420" s="2738">
        <f>'[10]NFMA46 '!I448</f>
        <v>520000</v>
      </c>
      <c r="N420" s="2738">
        <f>'[10]NFMA46 '!L448</f>
        <v>0</v>
      </c>
      <c r="O420" s="2738">
        <f t="shared" si="46"/>
        <v>0</v>
      </c>
      <c r="P420" s="2739">
        <f>'[10]NFMA46 '!K448</f>
        <v>520000</v>
      </c>
      <c r="Q420" s="1715">
        <f t="shared" si="47"/>
        <v>100</v>
      </c>
      <c r="R420" s="1715">
        <f t="shared" si="49"/>
        <v>520000</v>
      </c>
      <c r="S420" s="1715">
        <f t="shared" si="48"/>
        <v>100</v>
      </c>
      <c r="T420" s="1715"/>
      <c r="U420" s="1715">
        <f t="shared" si="50"/>
        <v>0</v>
      </c>
      <c r="V420" s="2658"/>
    </row>
    <row r="421" spans="1:22" s="1041" customFormat="1" ht="106.5" customHeight="1">
      <c r="A421" s="2658">
        <v>163</v>
      </c>
      <c r="B421" s="2735" t="s">
        <v>5912</v>
      </c>
      <c r="C421" s="2740" t="s">
        <v>4892</v>
      </c>
      <c r="D421" s="2741"/>
      <c r="E421" s="2742" t="s">
        <v>551</v>
      </c>
      <c r="F421" s="2738"/>
      <c r="G421" s="2738">
        <v>312000</v>
      </c>
      <c r="H421" s="2738"/>
      <c r="I421" s="2738"/>
      <c r="J421" s="2738"/>
      <c r="K421" s="2738"/>
      <c r="L421" s="2743">
        <v>4728</v>
      </c>
      <c r="M421" s="2738">
        <f>'[10]NFMA46 '!I449-L421</f>
        <v>307272</v>
      </c>
      <c r="N421" s="2738">
        <f>'[10]NFMA46 '!L449</f>
        <v>0</v>
      </c>
      <c r="O421" s="2738">
        <f t="shared" si="46"/>
        <v>0</v>
      </c>
      <c r="P421" s="2739">
        <f>'[10]NFMA46 '!K449</f>
        <v>307272</v>
      </c>
      <c r="Q421" s="1715">
        <f t="shared" si="47"/>
        <v>100</v>
      </c>
      <c r="R421" s="1715">
        <f t="shared" si="49"/>
        <v>307272</v>
      </c>
      <c r="S421" s="1715">
        <f t="shared" si="48"/>
        <v>100</v>
      </c>
      <c r="T421" s="1715"/>
      <c r="U421" s="1715">
        <f t="shared" si="50"/>
        <v>0</v>
      </c>
      <c r="V421" s="2658"/>
    </row>
    <row r="422" spans="1:22" s="1041" customFormat="1" ht="106.5" customHeight="1">
      <c r="A422" s="2658">
        <v>164</v>
      </c>
      <c r="B422" s="2735" t="s">
        <v>5913</v>
      </c>
      <c r="C422" s="2740" t="s">
        <v>5387</v>
      </c>
      <c r="D422" s="2741"/>
      <c r="E422" s="2742" t="s">
        <v>551</v>
      </c>
      <c r="F422" s="2738"/>
      <c r="G422" s="2738">
        <v>1352000</v>
      </c>
      <c r="H422" s="2738"/>
      <c r="I422" s="2738"/>
      <c r="J422" s="2738"/>
      <c r="K422" s="2738"/>
      <c r="L422" s="2743">
        <v>84825</v>
      </c>
      <c r="M422" s="2738">
        <f>'[10]NFMA46 '!I450-L422</f>
        <v>1267175</v>
      </c>
      <c r="N422" s="2738">
        <f>'[10]NFMA46 '!L450</f>
        <v>0</v>
      </c>
      <c r="O422" s="2738">
        <f t="shared" si="46"/>
        <v>0</v>
      </c>
      <c r="P422" s="2739">
        <f>'[10]NFMA46 '!K450</f>
        <v>1267175</v>
      </c>
      <c r="Q422" s="1715">
        <f t="shared" si="47"/>
        <v>100</v>
      </c>
      <c r="R422" s="1715">
        <f t="shared" si="49"/>
        <v>1267175</v>
      </c>
      <c r="S422" s="1715">
        <f t="shared" si="48"/>
        <v>100</v>
      </c>
      <c r="T422" s="1715"/>
      <c r="U422" s="1715">
        <f t="shared" si="50"/>
        <v>0</v>
      </c>
      <c r="V422" s="2658"/>
    </row>
    <row r="423" spans="1:22" s="1041" customFormat="1" ht="106.5" customHeight="1">
      <c r="A423" s="2658">
        <v>165</v>
      </c>
      <c r="B423" s="2735" t="s">
        <v>5301</v>
      </c>
      <c r="C423" s="2740" t="s">
        <v>4893</v>
      </c>
      <c r="D423" s="2741"/>
      <c r="E423" s="2742" t="s">
        <v>551</v>
      </c>
      <c r="F423" s="2738"/>
      <c r="G423" s="2738">
        <v>208000</v>
      </c>
      <c r="H423" s="2738"/>
      <c r="I423" s="2738"/>
      <c r="J423" s="2738"/>
      <c r="K423" s="2738"/>
      <c r="L423" s="2743">
        <f>45686.07+3593.67</f>
        <v>49279.74</v>
      </c>
      <c r="M423" s="2738">
        <f>'[10]NFMA46 '!I451-L423</f>
        <v>158720.26</v>
      </c>
      <c r="N423" s="2738">
        <f>'[10]NFMA46 '!L451</f>
        <v>158720.26</v>
      </c>
      <c r="O423" s="2738">
        <f t="shared" si="46"/>
        <v>100</v>
      </c>
      <c r="P423" s="2739">
        <f>'[10]NFMA46 '!K451</f>
        <v>0</v>
      </c>
      <c r="Q423" s="1715">
        <f t="shared" si="47"/>
        <v>0</v>
      </c>
      <c r="R423" s="1715">
        <f t="shared" si="49"/>
        <v>158720.26</v>
      </c>
      <c r="S423" s="1715">
        <f t="shared" si="48"/>
        <v>100</v>
      </c>
      <c r="T423" s="1715"/>
      <c r="U423" s="1715">
        <f t="shared" si="50"/>
        <v>0</v>
      </c>
      <c r="V423" s="2658"/>
    </row>
    <row r="424" spans="1:22" s="1041" customFormat="1" ht="106.5" customHeight="1">
      <c r="A424" s="2658">
        <v>166</v>
      </c>
      <c r="B424" s="2735" t="s">
        <v>5302</v>
      </c>
      <c r="C424" s="2740" t="s">
        <v>4894</v>
      </c>
      <c r="D424" s="2741"/>
      <c r="E424" s="2742" t="s">
        <v>551</v>
      </c>
      <c r="F424" s="2738"/>
      <c r="G424" s="2738">
        <v>104000</v>
      </c>
      <c r="H424" s="2738"/>
      <c r="I424" s="2738"/>
      <c r="J424" s="2738"/>
      <c r="K424" s="2738"/>
      <c r="L424" s="2743"/>
      <c r="M424" s="2738">
        <f>'[10]NFMA46 '!I452</f>
        <v>104000</v>
      </c>
      <c r="N424" s="2738">
        <f>'[10]NFMA46 '!L452</f>
        <v>0</v>
      </c>
      <c r="O424" s="2738">
        <f t="shared" si="46"/>
        <v>0</v>
      </c>
      <c r="P424" s="2739">
        <f>'[10]NFMA46 '!K452</f>
        <v>104000</v>
      </c>
      <c r="Q424" s="1715">
        <f t="shared" si="47"/>
        <v>100</v>
      </c>
      <c r="R424" s="1715">
        <f t="shared" si="49"/>
        <v>104000</v>
      </c>
      <c r="S424" s="1715">
        <f t="shared" si="48"/>
        <v>100</v>
      </c>
      <c r="T424" s="1715"/>
      <c r="U424" s="1715">
        <f t="shared" si="50"/>
        <v>0</v>
      </c>
      <c r="V424" s="2658"/>
    </row>
    <row r="425" spans="1:22" s="1041" customFormat="1" ht="106.5" customHeight="1">
      <c r="A425" s="2658">
        <v>167</v>
      </c>
      <c r="B425" s="2735" t="s">
        <v>5914</v>
      </c>
      <c r="C425" s="2740" t="s">
        <v>4896</v>
      </c>
      <c r="D425" s="2741"/>
      <c r="E425" s="2742" t="s">
        <v>551</v>
      </c>
      <c r="F425" s="2738"/>
      <c r="G425" s="2738">
        <v>312000</v>
      </c>
      <c r="H425" s="2738"/>
      <c r="I425" s="2738"/>
      <c r="J425" s="2738"/>
      <c r="K425" s="2738"/>
      <c r="L425" s="2743"/>
      <c r="M425" s="2738">
        <f>'[10]NFMA46 '!I453</f>
        <v>312000</v>
      </c>
      <c r="N425" s="2738">
        <f>'[10]NFMA46 '!L453</f>
        <v>0</v>
      </c>
      <c r="O425" s="2738">
        <f t="shared" si="46"/>
        <v>0</v>
      </c>
      <c r="P425" s="2739">
        <f>'[10]NFMA46 '!K453</f>
        <v>312000</v>
      </c>
      <c r="Q425" s="1715">
        <f t="shared" si="47"/>
        <v>100</v>
      </c>
      <c r="R425" s="1715">
        <f t="shared" si="49"/>
        <v>312000</v>
      </c>
      <c r="S425" s="1715">
        <f t="shared" si="48"/>
        <v>100</v>
      </c>
      <c r="T425" s="1715"/>
      <c r="U425" s="1715">
        <f t="shared" si="50"/>
        <v>0</v>
      </c>
      <c r="V425" s="2658"/>
    </row>
    <row r="426" spans="1:22" s="1041" customFormat="1" ht="106.5" customHeight="1">
      <c r="A426" s="2658">
        <v>168</v>
      </c>
      <c r="B426" s="2735" t="s">
        <v>5304</v>
      </c>
      <c r="C426" s="2740" t="s">
        <v>4898</v>
      </c>
      <c r="D426" s="2741"/>
      <c r="E426" s="2742" t="s">
        <v>560</v>
      </c>
      <c r="F426" s="2738"/>
      <c r="G426" s="2738">
        <v>416000</v>
      </c>
      <c r="H426" s="2738"/>
      <c r="I426" s="2738"/>
      <c r="J426" s="2738"/>
      <c r="K426" s="2738"/>
      <c r="L426" s="2743"/>
      <c r="M426" s="2738">
        <f>'[10]NFMA46 '!I454</f>
        <v>416000</v>
      </c>
      <c r="N426" s="2738">
        <f>'[10]NFMA46 '!L454</f>
        <v>0</v>
      </c>
      <c r="O426" s="2738">
        <f t="shared" si="46"/>
        <v>0</v>
      </c>
      <c r="P426" s="2739">
        <f>'[10]NFMA46 '!K454</f>
        <v>416000</v>
      </c>
      <c r="Q426" s="1715">
        <f t="shared" si="47"/>
        <v>100</v>
      </c>
      <c r="R426" s="1715">
        <f t="shared" si="49"/>
        <v>416000</v>
      </c>
      <c r="S426" s="1715">
        <f t="shared" si="48"/>
        <v>100</v>
      </c>
      <c r="T426" s="1715"/>
      <c r="U426" s="1715">
        <f t="shared" si="50"/>
        <v>0</v>
      </c>
      <c r="V426" s="2658"/>
    </row>
    <row r="427" spans="1:22" s="1041" customFormat="1" ht="106.5" customHeight="1">
      <c r="A427" s="2658">
        <v>169</v>
      </c>
      <c r="B427" s="2735" t="s">
        <v>5316</v>
      </c>
      <c r="C427" s="2740" t="s">
        <v>4899</v>
      </c>
      <c r="D427" s="2741"/>
      <c r="E427" s="2742" t="s">
        <v>560</v>
      </c>
      <c r="F427" s="2738"/>
      <c r="G427" s="2738">
        <v>208000</v>
      </c>
      <c r="H427" s="2738"/>
      <c r="I427" s="2738"/>
      <c r="J427" s="2738"/>
      <c r="K427" s="2738"/>
      <c r="L427" s="2743"/>
      <c r="M427" s="2738">
        <f>'[10]NFMA46 '!I455</f>
        <v>208000</v>
      </c>
      <c r="N427" s="2738">
        <f>'[10]NFMA46 '!L455</f>
        <v>208000</v>
      </c>
      <c r="O427" s="2738">
        <f t="shared" si="46"/>
        <v>100</v>
      </c>
      <c r="P427" s="2739">
        <f>'[10]NFMA46 '!K455</f>
        <v>0</v>
      </c>
      <c r="Q427" s="1715">
        <f t="shared" si="47"/>
        <v>0</v>
      </c>
      <c r="R427" s="1715">
        <f t="shared" si="49"/>
        <v>208000</v>
      </c>
      <c r="S427" s="1715">
        <f t="shared" si="48"/>
        <v>100</v>
      </c>
      <c r="T427" s="1715"/>
      <c r="U427" s="1715">
        <f t="shared" si="50"/>
        <v>0</v>
      </c>
      <c r="V427" s="2658"/>
    </row>
    <row r="428" spans="1:22" s="1041" customFormat="1" ht="106.5" customHeight="1">
      <c r="A428" s="2658">
        <v>170</v>
      </c>
      <c r="B428" s="2735" t="s">
        <v>5306</v>
      </c>
      <c r="C428" s="2740" t="s">
        <v>4900</v>
      </c>
      <c r="D428" s="2741"/>
      <c r="E428" s="2742" t="s">
        <v>560</v>
      </c>
      <c r="F428" s="2738"/>
      <c r="G428" s="2738">
        <v>104000</v>
      </c>
      <c r="H428" s="2738"/>
      <c r="I428" s="2738"/>
      <c r="J428" s="2738"/>
      <c r="K428" s="2738"/>
      <c r="L428" s="2743"/>
      <c r="M428" s="2738">
        <f>'[10]NFMA46 '!I456</f>
        <v>104000</v>
      </c>
      <c r="N428" s="2738">
        <f>'[10]NFMA46 '!L456</f>
        <v>104000</v>
      </c>
      <c r="O428" s="2738">
        <f t="shared" si="46"/>
        <v>100</v>
      </c>
      <c r="P428" s="2739">
        <f>'[10]NFMA46 '!K456</f>
        <v>0</v>
      </c>
      <c r="Q428" s="1715">
        <f t="shared" si="47"/>
        <v>0</v>
      </c>
      <c r="R428" s="1715">
        <f t="shared" si="49"/>
        <v>104000</v>
      </c>
      <c r="S428" s="1715">
        <f t="shared" si="48"/>
        <v>100</v>
      </c>
      <c r="T428" s="1715"/>
      <c r="U428" s="1715">
        <f t="shared" si="50"/>
        <v>0</v>
      </c>
      <c r="V428" s="2658"/>
    </row>
    <row r="429" spans="1:22" s="1041" customFormat="1" ht="106.5" customHeight="1">
      <c r="A429" s="2658">
        <v>171</v>
      </c>
      <c r="B429" s="2735" t="s">
        <v>5307</v>
      </c>
      <c r="C429" s="2740" t="s">
        <v>5388</v>
      </c>
      <c r="D429" s="2741"/>
      <c r="E429" s="2742" t="s">
        <v>560</v>
      </c>
      <c r="F429" s="2738"/>
      <c r="G429" s="2738">
        <v>728000</v>
      </c>
      <c r="H429" s="2738"/>
      <c r="I429" s="2738"/>
      <c r="J429" s="2738"/>
      <c r="K429" s="2738"/>
      <c r="L429" s="2743"/>
      <c r="M429" s="2738">
        <f>'[10]NFMA46 '!I457</f>
        <v>728000</v>
      </c>
      <c r="N429" s="2738">
        <f>'[10]NFMA46 '!L457</f>
        <v>646169.42000000004</v>
      </c>
      <c r="O429" s="2738">
        <f t="shared" si="46"/>
        <v>88.759535714285718</v>
      </c>
      <c r="P429" s="2739">
        <f>'[10]NFMA46 '!K457</f>
        <v>0</v>
      </c>
      <c r="Q429" s="1715">
        <f t="shared" si="47"/>
        <v>0</v>
      </c>
      <c r="R429" s="1715">
        <f t="shared" si="49"/>
        <v>646169.42000000004</v>
      </c>
      <c r="S429" s="1715">
        <f t="shared" si="48"/>
        <v>88.759535714285718</v>
      </c>
      <c r="T429" s="1715"/>
      <c r="U429" s="1715">
        <f t="shared" si="50"/>
        <v>81830.579999999958</v>
      </c>
      <c r="V429" s="2658"/>
    </row>
    <row r="430" spans="1:22" s="1041" customFormat="1" ht="106.5" customHeight="1">
      <c r="A430" s="2658">
        <v>172</v>
      </c>
      <c r="B430" s="2735" t="s">
        <v>5309</v>
      </c>
      <c r="C430" s="2740" t="s">
        <v>4901</v>
      </c>
      <c r="D430" s="2741"/>
      <c r="E430" s="2742" t="s">
        <v>560</v>
      </c>
      <c r="F430" s="2738"/>
      <c r="G430" s="2738">
        <v>520000</v>
      </c>
      <c r="H430" s="2738"/>
      <c r="I430" s="2738"/>
      <c r="J430" s="2738"/>
      <c r="K430" s="2738"/>
      <c r="L430" s="2743"/>
      <c r="M430" s="2738">
        <f>'[10]NFMA46 '!I458</f>
        <v>520000</v>
      </c>
      <c r="N430" s="2738">
        <f>'[10]NFMA46 '!L458</f>
        <v>518941.68</v>
      </c>
      <c r="O430" s="2738">
        <f t="shared" si="46"/>
        <v>99.796476923076924</v>
      </c>
      <c r="P430" s="2739">
        <f>'[10]NFMA46 '!K458</f>
        <v>0</v>
      </c>
      <c r="Q430" s="1715">
        <f t="shared" si="47"/>
        <v>0</v>
      </c>
      <c r="R430" s="1715">
        <f t="shared" si="49"/>
        <v>518941.68</v>
      </c>
      <c r="S430" s="1715">
        <f t="shared" si="48"/>
        <v>99.796476923076924</v>
      </c>
      <c r="T430" s="1715"/>
      <c r="U430" s="1715">
        <f t="shared" si="50"/>
        <v>1058.320000000007</v>
      </c>
      <c r="V430" s="2658"/>
    </row>
    <row r="431" spans="1:22" s="1041" customFormat="1" ht="106.5" customHeight="1">
      <c r="A431" s="2658">
        <v>173</v>
      </c>
      <c r="B431" s="2735" t="s">
        <v>5313</v>
      </c>
      <c r="C431" s="2740" t="s">
        <v>5389</v>
      </c>
      <c r="D431" s="2741"/>
      <c r="E431" s="2742" t="s">
        <v>560</v>
      </c>
      <c r="F431" s="2738"/>
      <c r="G431" s="2738">
        <v>104000</v>
      </c>
      <c r="H431" s="2738"/>
      <c r="I431" s="2738"/>
      <c r="J431" s="2738"/>
      <c r="K431" s="2738"/>
      <c r="L431" s="2743"/>
      <c r="M431" s="2738">
        <f>'[10]NFMA46 '!I459</f>
        <v>104000</v>
      </c>
      <c r="N431" s="2738">
        <f>'[10]NFMA46 '!L459</f>
        <v>85410</v>
      </c>
      <c r="O431" s="2738">
        <f t="shared" si="46"/>
        <v>82.125</v>
      </c>
      <c r="P431" s="2739">
        <f>'[10]NFMA46 '!K459</f>
        <v>0</v>
      </c>
      <c r="Q431" s="1715">
        <f t="shared" si="47"/>
        <v>0</v>
      </c>
      <c r="R431" s="1715">
        <f t="shared" si="49"/>
        <v>85410</v>
      </c>
      <c r="S431" s="1715">
        <f t="shared" si="48"/>
        <v>82.125</v>
      </c>
      <c r="T431" s="1715"/>
      <c r="U431" s="1715">
        <f t="shared" si="50"/>
        <v>18590</v>
      </c>
      <c r="V431" s="2658"/>
    </row>
    <row r="432" spans="1:22" s="1041" customFormat="1" ht="106.5" customHeight="1">
      <c r="A432" s="2658">
        <v>174</v>
      </c>
      <c r="B432" s="2735" t="s">
        <v>5305</v>
      </c>
      <c r="C432" s="2740" t="s">
        <v>4902</v>
      </c>
      <c r="D432" s="2741"/>
      <c r="E432" s="2742" t="s">
        <v>560</v>
      </c>
      <c r="F432" s="2738"/>
      <c r="G432" s="2738">
        <v>104000</v>
      </c>
      <c r="H432" s="2738"/>
      <c r="I432" s="2738"/>
      <c r="J432" s="2738"/>
      <c r="K432" s="2738"/>
      <c r="L432" s="2743"/>
      <c r="M432" s="2738">
        <f>'[10]NFMA46 '!I460</f>
        <v>104000</v>
      </c>
      <c r="N432" s="2738">
        <f>'[10]NFMA46 '!L460</f>
        <v>100722</v>
      </c>
      <c r="O432" s="2738">
        <f t="shared" si="46"/>
        <v>96.848076923076917</v>
      </c>
      <c r="P432" s="2739">
        <f>'[10]NFMA46 '!K460</f>
        <v>0</v>
      </c>
      <c r="Q432" s="1715">
        <f t="shared" si="47"/>
        <v>0</v>
      </c>
      <c r="R432" s="1715">
        <f t="shared" si="49"/>
        <v>100722</v>
      </c>
      <c r="S432" s="1715">
        <f t="shared" si="48"/>
        <v>96.848076923076917</v>
      </c>
      <c r="T432" s="1715"/>
      <c r="U432" s="1715">
        <f t="shared" si="50"/>
        <v>3278</v>
      </c>
      <c r="V432" s="2658"/>
    </row>
    <row r="433" spans="1:22" s="1041" customFormat="1" ht="106.5" customHeight="1">
      <c r="A433" s="2658">
        <v>175</v>
      </c>
      <c r="B433" s="2735" t="s">
        <v>5314</v>
      </c>
      <c r="C433" s="2740" t="s">
        <v>4903</v>
      </c>
      <c r="D433" s="2741"/>
      <c r="E433" s="2742" t="s">
        <v>560</v>
      </c>
      <c r="F433" s="2738"/>
      <c r="G433" s="2738">
        <v>208000</v>
      </c>
      <c r="H433" s="2738"/>
      <c r="I433" s="2738"/>
      <c r="J433" s="2738"/>
      <c r="K433" s="2738"/>
      <c r="L433" s="2743"/>
      <c r="M433" s="2738">
        <f>'[10]NFMA46 '!I461</f>
        <v>208000</v>
      </c>
      <c r="N433" s="2738">
        <f>'[10]NFMA46 '!L461</f>
        <v>0</v>
      </c>
      <c r="O433" s="2738">
        <f t="shared" si="46"/>
        <v>0</v>
      </c>
      <c r="P433" s="2739">
        <f>'[10]NFMA46 '!K461</f>
        <v>208000</v>
      </c>
      <c r="Q433" s="1715">
        <f t="shared" si="47"/>
        <v>100</v>
      </c>
      <c r="R433" s="1715">
        <f t="shared" si="49"/>
        <v>208000</v>
      </c>
      <c r="S433" s="1715">
        <f t="shared" si="48"/>
        <v>100</v>
      </c>
      <c r="T433" s="1715"/>
      <c r="U433" s="1715">
        <f t="shared" si="50"/>
        <v>0</v>
      </c>
      <c r="V433" s="2658"/>
    </row>
    <row r="434" spans="1:22" s="1041" customFormat="1" ht="106.5" customHeight="1">
      <c r="A434" s="2658">
        <v>176</v>
      </c>
      <c r="B434" s="2735" t="s">
        <v>5308</v>
      </c>
      <c r="C434" s="2740" t="s">
        <v>4904</v>
      </c>
      <c r="D434" s="2741"/>
      <c r="E434" s="2742" t="s">
        <v>560</v>
      </c>
      <c r="F434" s="2738"/>
      <c r="G434" s="2738">
        <v>104000</v>
      </c>
      <c r="H434" s="2738"/>
      <c r="I434" s="2738"/>
      <c r="J434" s="2738"/>
      <c r="K434" s="2738"/>
      <c r="L434" s="2743"/>
      <c r="M434" s="2738">
        <f>'[10]NFMA46 '!I462</f>
        <v>104000</v>
      </c>
      <c r="N434" s="2738">
        <f>'[10]NFMA46 '!L462</f>
        <v>104000</v>
      </c>
      <c r="O434" s="2738">
        <f t="shared" si="46"/>
        <v>100</v>
      </c>
      <c r="P434" s="2739">
        <f>'[10]NFMA46 '!K462</f>
        <v>0</v>
      </c>
      <c r="Q434" s="1715">
        <f t="shared" si="47"/>
        <v>0</v>
      </c>
      <c r="R434" s="1715">
        <f t="shared" si="49"/>
        <v>104000</v>
      </c>
      <c r="S434" s="1715">
        <f t="shared" si="48"/>
        <v>100</v>
      </c>
      <c r="T434" s="1715"/>
      <c r="U434" s="1715">
        <f t="shared" si="50"/>
        <v>0</v>
      </c>
      <c r="V434" s="2658"/>
    </row>
    <row r="435" spans="1:22" s="1041" customFormat="1" ht="106.5" customHeight="1">
      <c r="A435" s="2658">
        <v>177</v>
      </c>
      <c r="B435" s="2735" t="s">
        <v>5312</v>
      </c>
      <c r="C435" s="2740" t="s">
        <v>4905</v>
      </c>
      <c r="D435" s="2741"/>
      <c r="E435" s="2742" t="s">
        <v>560</v>
      </c>
      <c r="F435" s="2738"/>
      <c r="G435" s="2738">
        <v>520000</v>
      </c>
      <c r="H435" s="2738"/>
      <c r="I435" s="2738"/>
      <c r="J435" s="2738"/>
      <c r="K435" s="2738"/>
      <c r="L435" s="2743"/>
      <c r="M435" s="2738">
        <f>'[10]NFMA46 '!I463</f>
        <v>520000</v>
      </c>
      <c r="N435" s="2738">
        <f>'[10]NFMA46 '!L463</f>
        <v>453973.96</v>
      </c>
      <c r="O435" s="2738">
        <f t="shared" si="46"/>
        <v>87.302684615384621</v>
      </c>
      <c r="P435" s="2739">
        <f>'[10]NFMA46 '!K463</f>
        <v>0</v>
      </c>
      <c r="Q435" s="1715">
        <f t="shared" si="47"/>
        <v>0</v>
      </c>
      <c r="R435" s="1715">
        <f t="shared" si="49"/>
        <v>453973.96</v>
      </c>
      <c r="S435" s="1715">
        <f t="shared" si="48"/>
        <v>87.302684615384621</v>
      </c>
      <c r="T435" s="1715"/>
      <c r="U435" s="1715">
        <f t="shared" si="50"/>
        <v>66026.039999999979</v>
      </c>
      <c r="V435" s="2658"/>
    </row>
    <row r="436" spans="1:22" s="1041" customFormat="1" ht="106.5" customHeight="1">
      <c r="A436" s="2658">
        <v>178</v>
      </c>
      <c r="B436" s="2735" t="s">
        <v>5310</v>
      </c>
      <c r="C436" s="2740" t="s">
        <v>4906</v>
      </c>
      <c r="D436" s="2741"/>
      <c r="E436" s="2742" t="s">
        <v>560</v>
      </c>
      <c r="F436" s="2738"/>
      <c r="G436" s="2738">
        <v>104000</v>
      </c>
      <c r="H436" s="2738"/>
      <c r="I436" s="2738"/>
      <c r="J436" s="2738"/>
      <c r="K436" s="2738"/>
      <c r="L436" s="2743"/>
      <c r="M436" s="2738">
        <f>'[10]NFMA46 '!I464</f>
        <v>104000</v>
      </c>
      <c r="N436" s="2738">
        <f>'[10]NFMA46 '!L464</f>
        <v>72545</v>
      </c>
      <c r="O436" s="2738">
        <f t="shared" si="46"/>
        <v>69.754807692307693</v>
      </c>
      <c r="P436" s="2739">
        <f>'[10]NFMA46 '!K464</f>
        <v>0</v>
      </c>
      <c r="Q436" s="1715">
        <f t="shared" si="47"/>
        <v>0</v>
      </c>
      <c r="R436" s="1715">
        <f t="shared" si="49"/>
        <v>72545</v>
      </c>
      <c r="S436" s="1715">
        <f t="shared" si="48"/>
        <v>69.754807692307693</v>
      </c>
      <c r="T436" s="1715"/>
      <c r="U436" s="1715">
        <f t="shared" si="50"/>
        <v>31455</v>
      </c>
      <c r="V436" s="2658"/>
    </row>
    <row r="437" spans="1:22" s="1041" customFormat="1" ht="106.5" customHeight="1">
      <c r="A437" s="2658">
        <v>179</v>
      </c>
      <c r="B437" s="2735" t="s">
        <v>5315</v>
      </c>
      <c r="C437" s="2740" t="s">
        <v>4907</v>
      </c>
      <c r="D437" s="2741"/>
      <c r="E437" s="2742" t="s">
        <v>560</v>
      </c>
      <c r="F437" s="2738"/>
      <c r="G437" s="2738">
        <v>208000</v>
      </c>
      <c r="H437" s="2738"/>
      <c r="I437" s="2738"/>
      <c r="J437" s="2738"/>
      <c r="K437" s="2738"/>
      <c r="L437" s="2743"/>
      <c r="M437" s="2738">
        <f>'[10]NFMA46 '!I465</f>
        <v>208000</v>
      </c>
      <c r="N437" s="2738">
        <f>'[10]NFMA46 '!L465</f>
        <v>208000</v>
      </c>
      <c r="O437" s="2738">
        <f t="shared" si="46"/>
        <v>100</v>
      </c>
      <c r="P437" s="2739">
        <f>'[10]NFMA46 '!K465</f>
        <v>0</v>
      </c>
      <c r="Q437" s="1715">
        <f t="shared" si="47"/>
        <v>0</v>
      </c>
      <c r="R437" s="1715">
        <f t="shared" si="49"/>
        <v>208000</v>
      </c>
      <c r="S437" s="1715">
        <f t="shared" si="48"/>
        <v>100</v>
      </c>
      <c r="T437" s="1715"/>
      <c r="U437" s="1715">
        <f t="shared" si="50"/>
        <v>0</v>
      </c>
      <c r="V437" s="2658"/>
    </row>
    <row r="438" spans="1:22" s="1041" customFormat="1" ht="106.5" customHeight="1">
      <c r="A438" s="2658">
        <v>180</v>
      </c>
      <c r="B438" s="2735" t="s">
        <v>5311</v>
      </c>
      <c r="C438" s="2740" t="s">
        <v>4908</v>
      </c>
      <c r="D438" s="2741"/>
      <c r="E438" s="2742" t="s">
        <v>560</v>
      </c>
      <c r="F438" s="2738"/>
      <c r="G438" s="2738">
        <v>520000</v>
      </c>
      <c r="H438" s="2738"/>
      <c r="I438" s="2738"/>
      <c r="J438" s="2738"/>
      <c r="K438" s="2738"/>
      <c r="L438" s="2743"/>
      <c r="M438" s="2738">
        <f>'[10]NFMA46 '!I466</f>
        <v>520000</v>
      </c>
      <c r="N438" s="2738">
        <f>'[10]NFMA46 '!L466</f>
        <v>452088</v>
      </c>
      <c r="O438" s="2738">
        <f t="shared" si="46"/>
        <v>86.94</v>
      </c>
      <c r="P438" s="2739">
        <f>'[10]NFMA46 '!K466</f>
        <v>0</v>
      </c>
      <c r="Q438" s="1715">
        <f t="shared" si="47"/>
        <v>0</v>
      </c>
      <c r="R438" s="1715">
        <f t="shared" si="49"/>
        <v>452088</v>
      </c>
      <c r="S438" s="1715">
        <f t="shared" si="48"/>
        <v>86.94</v>
      </c>
      <c r="T438" s="1715"/>
      <c r="U438" s="1715">
        <f t="shared" si="50"/>
        <v>67912</v>
      </c>
      <c r="V438" s="2658"/>
    </row>
    <row r="439" spans="1:22" s="1041" customFormat="1" ht="106.5" customHeight="1">
      <c r="A439" s="2658">
        <v>181</v>
      </c>
      <c r="B439" s="2735" t="s">
        <v>5915</v>
      </c>
      <c r="C439" s="2740" t="s">
        <v>4909</v>
      </c>
      <c r="D439" s="2741"/>
      <c r="E439" s="2742" t="s">
        <v>581</v>
      </c>
      <c r="F439" s="2738"/>
      <c r="G439" s="2738">
        <v>104000</v>
      </c>
      <c r="H439" s="2738"/>
      <c r="I439" s="2738"/>
      <c r="J439" s="2738"/>
      <c r="K439" s="2738"/>
      <c r="L439" s="2743">
        <v>22500</v>
      </c>
      <c r="M439" s="2738">
        <f>'[10]NFMA46 '!I467-L439</f>
        <v>81500</v>
      </c>
      <c r="N439" s="2738">
        <f>'[10]NFMA46 '!L467</f>
        <v>0</v>
      </c>
      <c r="O439" s="2738">
        <f t="shared" si="46"/>
        <v>0</v>
      </c>
      <c r="P439" s="2739">
        <f>'[10]NFMA46 '!K467</f>
        <v>81500</v>
      </c>
      <c r="Q439" s="1715">
        <f t="shared" si="47"/>
        <v>100</v>
      </c>
      <c r="R439" s="1715">
        <f t="shared" si="49"/>
        <v>81500</v>
      </c>
      <c r="S439" s="1715">
        <f t="shared" si="48"/>
        <v>100</v>
      </c>
      <c r="T439" s="1715"/>
      <c r="U439" s="1715">
        <f t="shared" si="50"/>
        <v>0</v>
      </c>
      <c r="V439" s="2658"/>
    </row>
    <row r="440" spans="1:22" s="1041" customFormat="1" ht="106.5" customHeight="1">
      <c r="A440" s="2658">
        <v>182</v>
      </c>
      <c r="B440" s="2735" t="s">
        <v>5317</v>
      </c>
      <c r="C440" s="2740" t="s">
        <v>5390</v>
      </c>
      <c r="D440" s="2741"/>
      <c r="E440" s="2742" t="s">
        <v>582</v>
      </c>
      <c r="F440" s="2738"/>
      <c r="G440" s="2738">
        <v>104000</v>
      </c>
      <c r="H440" s="2738"/>
      <c r="I440" s="2738"/>
      <c r="J440" s="2738"/>
      <c r="K440" s="2738"/>
      <c r="L440" s="2743"/>
      <c r="M440" s="2738">
        <f>'[10]NFMA46 '!I468</f>
        <v>104000</v>
      </c>
      <c r="N440" s="2738">
        <f>'[10]NFMA46 '!L468</f>
        <v>0</v>
      </c>
      <c r="O440" s="2738">
        <f t="shared" si="46"/>
        <v>0</v>
      </c>
      <c r="P440" s="2739">
        <f>'[10]NFMA46 '!K468</f>
        <v>104000</v>
      </c>
      <c r="Q440" s="1715">
        <f t="shared" si="47"/>
        <v>100</v>
      </c>
      <c r="R440" s="1715">
        <f t="shared" si="49"/>
        <v>104000</v>
      </c>
      <c r="S440" s="1715">
        <f t="shared" si="48"/>
        <v>100</v>
      </c>
      <c r="T440" s="1715"/>
      <c r="U440" s="1715">
        <f t="shared" si="50"/>
        <v>0</v>
      </c>
      <c r="V440" s="2658"/>
    </row>
    <row r="441" spans="1:22" s="1041" customFormat="1" ht="106.5" customHeight="1">
      <c r="A441" s="2658">
        <v>183</v>
      </c>
      <c r="B441" s="2735" t="s">
        <v>5916</v>
      </c>
      <c r="C441" s="2740" t="s">
        <v>4910</v>
      </c>
      <c r="D441" s="2741"/>
      <c r="E441" s="2742" t="s">
        <v>547</v>
      </c>
      <c r="F441" s="2738"/>
      <c r="G441" s="2738">
        <v>104000</v>
      </c>
      <c r="H441" s="2738"/>
      <c r="I441" s="2738"/>
      <c r="J441" s="2738"/>
      <c r="K441" s="2738"/>
      <c r="L441" s="2743"/>
      <c r="M441" s="2738">
        <f>'[10]NFMA46 '!I469</f>
        <v>104000</v>
      </c>
      <c r="N441" s="2738">
        <f>'[10]NFMA46 '!L469</f>
        <v>0</v>
      </c>
      <c r="O441" s="2738">
        <f t="shared" si="46"/>
        <v>0</v>
      </c>
      <c r="P441" s="2739">
        <f>'[10]NFMA46 '!K469</f>
        <v>104000</v>
      </c>
      <c r="Q441" s="1715">
        <f t="shared" si="47"/>
        <v>100</v>
      </c>
      <c r="R441" s="1715">
        <f t="shared" si="49"/>
        <v>104000</v>
      </c>
      <c r="S441" s="1715">
        <f t="shared" si="48"/>
        <v>100</v>
      </c>
      <c r="T441" s="1715"/>
      <c r="U441" s="1715">
        <f t="shared" si="50"/>
        <v>0</v>
      </c>
      <c r="V441" s="2658"/>
    </row>
    <row r="442" spans="1:22" s="1041" customFormat="1" ht="106.5" customHeight="1">
      <c r="A442" s="2658">
        <v>184</v>
      </c>
      <c r="B442" s="2735" t="s">
        <v>5917</v>
      </c>
      <c r="C442" s="2740" t="s">
        <v>4911</v>
      </c>
      <c r="D442" s="2741"/>
      <c r="E442" s="2742" t="s">
        <v>547</v>
      </c>
      <c r="F442" s="2738"/>
      <c r="G442" s="2738">
        <v>104000</v>
      </c>
      <c r="H442" s="2738"/>
      <c r="I442" s="2738"/>
      <c r="J442" s="2738"/>
      <c r="K442" s="2738"/>
      <c r="L442" s="2743"/>
      <c r="M442" s="2738">
        <f>'[10]NFMA46 '!I470</f>
        <v>104000</v>
      </c>
      <c r="N442" s="2738">
        <f>'[10]NFMA46 '!L470</f>
        <v>104000</v>
      </c>
      <c r="O442" s="2738">
        <f t="shared" si="46"/>
        <v>100</v>
      </c>
      <c r="P442" s="2739">
        <f>'[10]NFMA46 '!K470</f>
        <v>0</v>
      </c>
      <c r="Q442" s="1715">
        <f t="shared" si="47"/>
        <v>0</v>
      </c>
      <c r="R442" s="1715">
        <f t="shared" si="49"/>
        <v>104000</v>
      </c>
      <c r="S442" s="1715">
        <f t="shared" si="48"/>
        <v>100</v>
      </c>
      <c r="T442" s="1715"/>
      <c r="U442" s="1715">
        <f t="shared" si="50"/>
        <v>0</v>
      </c>
      <c r="V442" s="2658"/>
    </row>
    <row r="443" spans="1:22" s="1041" customFormat="1" ht="106.5" customHeight="1">
      <c r="A443" s="2658">
        <v>185</v>
      </c>
      <c r="B443" s="2735" t="s">
        <v>5918</v>
      </c>
      <c r="C443" s="2740" t="s">
        <v>4912</v>
      </c>
      <c r="D443" s="2741"/>
      <c r="E443" s="2742" t="s">
        <v>547</v>
      </c>
      <c r="F443" s="2738"/>
      <c r="G443" s="2738">
        <v>104000</v>
      </c>
      <c r="H443" s="2738"/>
      <c r="I443" s="2738"/>
      <c r="J443" s="2738"/>
      <c r="K443" s="2738"/>
      <c r="L443" s="2743"/>
      <c r="M443" s="2738">
        <f>'[10]NFMA46 '!I471</f>
        <v>104000</v>
      </c>
      <c r="N443" s="2738">
        <f>'[10]NFMA46 '!L471</f>
        <v>104000</v>
      </c>
      <c r="O443" s="2738">
        <f t="shared" si="46"/>
        <v>100</v>
      </c>
      <c r="P443" s="2739">
        <f>'[10]NFMA46 '!K471</f>
        <v>0</v>
      </c>
      <c r="Q443" s="1715">
        <f t="shared" si="47"/>
        <v>0</v>
      </c>
      <c r="R443" s="1715">
        <f t="shared" si="49"/>
        <v>104000</v>
      </c>
      <c r="S443" s="1715">
        <f t="shared" si="48"/>
        <v>100</v>
      </c>
      <c r="T443" s="1715"/>
      <c r="U443" s="1715">
        <f t="shared" si="50"/>
        <v>0</v>
      </c>
      <c r="V443" s="2658"/>
    </row>
    <row r="444" spans="1:22" s="1041" customFormat="1" ht="106.5" customHeight="1">
      <c r="A444" s="2658">
        <v>186</v>
      </c>
      <c r="B444" s="2735" t="s">
        <v>5919</v>
      </c>
      <c r="C444" s="2740" t="s">
        <v>4913</v>
      </c>
      <c r="D444" s="2741"/>
      <c r="E444" s="2742" t="s">
        <v>1179</v>
      </c>
      <c r="F444" s="2738"/>
      <c r="G444" s="2738">
        <v>104000</v>
      </c>
      <c r="H444" s="2738"/>
      <c r="I444" s="2738"/>
      <c r="J444" s="2738"/>
      <c r="K444" s="2738"/>
      <c r="L444" s="2743"/>
      <c r="M444" s="2738">
        <f>'[10]NFMA46 '!I472</f>
        <v>104000</v>
      </c>
      <c r="N444" s="2738">
        <f>'[10]NFMA46 '!L472</f>
        <v>0</v>
      </c>
      <c r="O444" s="2738">
        <f t="shared" si="46"/>
        <v>0</v>
      </c>
      <c r="P444" s="2739">
        <f>'[10]NFMA46 '!K472</f>
        <v>104000</v>
      </c>
      <c r="Q444" s="1715">
        <f t="shared" si="47"/>
        <v>100</v>
      </c>
      <c r="R444" s="1715">
        <f t="shared" si="49"/>
        <v>104000</v>
      </c>
      <c r="S444" s="1715">
        <f t="shared" si="48"/>
        <v>100</v>
      </c>
      <c r="T444" s="1715"/>
      <c r="U444" s="1715">
        <f t="shared" si="50"/>
        <v>0</v>
      </c>
      <c r="V444" s="2658"/>
    </row>
    <row r="445" spans="1:22" s="1041" customFormat="1" ht="106.5" customHeight="1">
      <c r="A445" s="2658">
        <v>187</v>
      </c>
      <c r="B445" s="2735" t="s">
        <v>5319</v>
      </c>
      <c r="C445" s="2740" t="s">
        <v>4914</v>
      </c>
      <c r="D445" s="2741"/>
      <c r="E445" s="2742" t="s">
        <v>2982</v>
      </c>
      <c r="F445" s="2738"/>
      <c r="G445" s="2738">
        <v>208000</v>
      </c>
      <c r="H445" s="2738"/>
      <c r="I445" s="2738"/>
      <c r="J445" s="2738"/>
      <c r="K445" s="2738"/>
      <c r="L445" s="2743">
        <v>98600</v>
      </c>
      <c r="M445" s="2738">
        <f>'[10]NFMA46 '!I473-L445</f>
        <v>109400</v>
      </c>
      <c r="N445" s="2738">
        <f>'[10]NFMA46 '!L473</f>
        <v>0</v>
      </c>
      <c r="O445" s="2738">
        <f t="shared" si="46"/>
        <v>0</v>
      </c>
      <c r="P445" s="2739">
        <f>'[10]NFMA46 '!K473</f>
        <v>109400</v>
      </c>
      <c r="Q445" s="1715">
        <f t="shared" si="47"/>
        <v>100</v>
      </c>
      <c r="R445" s="1715">
        <f t="shared" si="49"/>
        <v>109400</v>
      </c>
      <c r="S445" s="1715">
        <f t="shared" si="48"/>
        <v>100</v>
      </c>
      <c r="T445" s="1715"/>
      <c r="U445" s="1715">
        <f t="shared" si="50"/>
        <v>0</v>
      </c>
      <c r="V445" s="2658"/>
    </row>
    <row r="446" spans="1:22" s="1041" customFormat="1" ht="106.5" customHeight="1">
      <c r="A446" s="2658">
        <v>188</v>
      </c>
      <c r="B446" s="2735" t="s">
        <v>5318</v>
      </c>
      <c r="C446" s="2740" t="s">
        <v>5391</v>
      </c>
      <c r="D446" s="2741"/>
      <c r="E446" s="2742" t="s">
        <v>2982</v>
      </c>
      <c r="F446" s="2738"/>
      <c r="G446" s="2738">
        <v>104000</v>
      </c>
      <c r="H446" s="2738"/>
      <c r="I446" s="2738"/>
      <c r="J446" s="2738"/>
      <c r="K446" s="2738"/>
      <c r="L446" s="2743">
        <v>1710</v>
      </c>
      <c r="M446" s="2738">
        <f>'[10]NFMA46 '!I474-L446</f>
        <v>102290</v>
      </c>
      <c r="N446" s="2738">
        <f>'[10]NFMA46 '!L474</f>
        <v>102290</v>
      </c>
      <c r="O446" s="2738">
        <f t="shared" si="46"/>
        <v>100</v>
      </c>
      <c r="P446" s="2739">
        <f>'[10]NFMA46 '!K474</f>
        <v>0</v>
      </c>
      <c r="Q446" s="1715">
        <f t="shared" si="47"/>
        <v>0</v>
      </c>
      <c r="R446" s="1715">
        <f t="shared" si="49"/>
        <v>102290</v>
      </c>
      <c r="S446" s="1715">
        <f t="shared" si="48"/>
        <v>100</v>
      </c>
      <c r="T446" s="1715"/>
      <c r="U446" s="1715">
        <f t="shared" si="50"/>
        <v>0</v>
      </c>
      <c r="V446" s="2658"/>
    </row>
    <row r="447" spans="1:22" s="1041" customFormat="1" ht="106.5" customHeight="1">
      <c r="A447" s="2658">
        <v>189</v>
      </c>
      <c r="B447" s="2735" t="s">
        <v>5920</v>
      </c>
      <c r="C447" s="2740" t="s">
        <v>4915</v>
      </c>
      <c r="D447" s="2741"/>
      <c r="E447" s="2742" t="s">
        <v>2982</v>
      </c>
      <c r="F447" s="2738"/>
      <c r="G447" s="2738">
        <v>104000</v>
      </c>
      <c r="H447" s="2738"/>
      <c r="I447" s="2738"/>
      <c r="J447" s="2738"/>
      <c r="K447" s="2738"/>
      <c r="L447" s="2743">
        <v>31437</v>
      </c>
      <c r="M447" s="2738">
        <f>'[10]NFMA46 '!I475-L447</f>
        <v>72563</v>
      </c>
      <c r="N447" s="2738">
        <f>'[10]NFMA46 '!L475</f>
        <v>0</v>
      </c>
      <c r="O447" s="2738">
        <f t="shared" si="46"/>
        <v>0</v>
      </c>
      <c r="P447" s="2739">
        <f>'[10]NFMA46 '!K475</f>
        <v>72563</v>
      </c>
      <c r="Q447" s="1715">
        <f t="shared" si="47"/>
        <v>100</v>
      </c>
      <c r="R447" s="1715">
        <f t="shared" si="49"/>
        <v>72563</v>
      </c>
      <c r="S447" s="1715">
        <f t="shared" si="48"/>
        <v>100</v>
      </c>
      <c r="T447" s="1715"/>
      <c r="U447" s="1715">
        <f t="shared" si="50"/>
        <v>0</v>
      </c>
      <c r="V447" s="2658"/>
    </row>
    <row r="448" spans="1:22" s="1041" customFormat="1" ht="106.5" customHeight="1">
      <c r="A448" s="2658">
        <v>190</v>
      </c>
      <c r="B448" s="2735" t="s">
        <v>5921</v>
      </c>
      <c r="C448" s="2740" t="s">
        <v>4916</v>
      </c>
      <c r="D448" s="2741"/>
      <c r="E448" s="2742" t="s">
        <v>570</v>
      </c>
      <c r="F448" s="2738"/>
      <c r="G448" s="2738">
        <v>104000</v>
      </c>
      <c r="H448" s="2738"/>
      <c r="I448" s="2738"/>
      <c r="J448" s="2738"/>
      <c r="K448" s="2738"/>
      <c r="L448" s="2743">
        <v>75477</v>
      </c>
      <c r="M448" s="2738">
        <f>'[10]NFMA46 '!I476-L448</f>
        <v>28523</v>
      </c>
      <c r="N448" s="2738">
        <f>'[10]NFMA46 '!L476</f>
        <v>28523</v>
      </c>
      <c r="O448" s="2738">
        <f t="shared" si="46"/>
        <v>100</v>
      </c>
      <c r="P448" s="2739">
        <f>'[10]NFMA46 '!K476</f>
        <v>0</v>
      </c>
      <c r="Q448" s="1715">
        <f t="shared" si="47"/>
        <v>0</v>
      </c>
      <c r="R448" s="1715">
        <f t="shared" si="49"/>
        <v>28523</v>
      </c>
      <c r="S448" s="1715">
        <f t="shared" si="48"/>
        <v>100</v>
      </c>
      <c r="T448" s="1715"/>
      <c r="U448" s="1715">
        <f t="shared" si="50"/>
        <v>0</v>
      </c>
      <c r="V448" s="2658"/>
    </row>
    <row r="449" spans="1:22" s="1041" customFormat="1" ht="106.5" customHeight="1">
      <c r="A449" s="2658">
        <v>191</v>
      </c>
      <c r="B449" s="2735" t="s">
        <v>5922</v>
      </c>
      <c r="C449" s="2740" t="s">
        <v>4917</v>
      </c>
      <c r="D449" s="2741"/>
      <c r="E449" s="2742" t="s">
        <v>2983</v>
      </c>
      <c r="F449" s="2738"/>
      <c r="G449" s="2738">
        <v>208000</v>
      </c>
      <c r="H449" s="2738"/>
      <c r="I449" s="2738"/>
      <c r="J449" s="2738"/>
      <c r="K449" s="2738"/>
      <c r="L449" s="2743">
        <v>74957</v>
      </c>
      <c r="M449" s="2738">
        <f>'[10]NFMA46 '!I477-L449</f>
        <v>133043</v>
      </c>
      <c r="N449" s="2738">
        <f>'[10]NFMA46 '!L477</f>
        <v>133043</v>
      </c>
      <c r="O449" s="2738">
        <f t="shared" si="46"/>
        <v>100</v>
      </c>
      <c r="P449" s="2739">
        <f>'[10]NFMA46 '!K477</f>
        <v>0</v>
      </c>
      <c r="Q449" s="1715">
        <f t="shared" si="47"/>
        <v>0</v>
      </c>
      <c r="R449" s="1715">
        <f t="shared" si="49"/>
        <v>133043</v>
      </c>
      <c r="S449" s="1715">
        <f t="shared" si="48"/>
        <v>100</v>
      </c>
      <c r="T449" s="1715"/>
      <c r="U449" s="1715">
        <f t="shared" si="50"/>
        <v>0</v>
      </c>
      <c r="V449" s="2658"/>
    </row>
    <row r="450" spans="1:22" s="1041" customFormat="1" ht="106.5" customHeight="1">
      <c r="A450" s="2658">
        <v>192</v>
      </c>
      <c r="B450" s="2735" t="s">
        <v>5923</v>
      </c>
      <c r="C450" s="2740" t="s">
        <v>4918</v>
      </c>
      <c r="D450" s="2741"/>
      <c r="E450" s="2742" t="s">
        <v>1187</v>
      </c>
      <c r="F450" s="2738"/>
      <c r="G450" s="2738">
        <v>104000</v>
      </c>
      <c r="H450" s="2738"/>
      <c r="I450" s="2738"/>
      <c r="J450" s="2738"/>
      <c r="K450" s="2738"/>
      <c r="L450" s="2743">
        <v>104000</v>
      </c>
      <c r="M450" s="2738">
        <f>'[10]NFMA46 '!I481-L450</f>
        <v>0</v>
      </c>
      <c r="N450" s="2738">
        <f>'[10]NFMA46 '!L481</f>
        <v>0</v>
      </c>
      <c r="O450" s="2738" t="e">
        <f t="shared" si="46"/>
        <v>#DIV/0!</v>
      </c>
      <c r="P450" s="2739">
        <f>'[10]NFMA46 '!K481</f>
        <v>0</v>
      </c>
      <c r="Q450" s="1715" t="e">
        <f t="shared" si="47"/>
        <v>#DIV/0!</v>
      </c>
      <c r="R450" s="1715">
        <f t="shared" si="49"/>
        <v>0</v>
      </c>
      <c r="S450" s="1715" t="e">
        <f t="shared" si="48"/>
        <v>#DIV/0!</v>
      </c>
      <c r="T450" s="1715"/>
      <c r="U450" s="1715">
        <f t="shared" si="50"/>
        <v>0</v>
      </c>
      <c r="V450" s="2658"/>
    </row>
    <row r="451" spans="1:22" s="1041" customFormat="1" ht="106.5" customHeight="1">
      <c r="A451" s="2658">
        <v>193</v>
      </c>
      <c r="B451" s="2735" t="s">
        <v>5924</v>
      </c>
      <c r="C451" s="2740" t="s">
        <v>4920</v>
      </c>
      <c r="D451" s="2741"/>
      <c r="E451" s="2742" t="s">
        <v>1187</v>
      </c>
      <c r="F451" s="2738"/>
      <c r="G451" s="2738">
        <v>312000</v>
      </c>
      <c r="H451" s="2738"/>
      <c r="I451" s="2738"/>
      <c r="J451" s="2738"/>
      <c r="K451" s="2738"/>
      <c r="L451" s="2743"/>
      <c r="M451" s="2738">
        <f>'[10]NFMA46 '!I483</f>
        <v>312000</v>
      </c>
      <c r="N451" s="2738">
        <f>'[10]NFMA46 '!L483</f>
        <v>0</v>
      </c>
      <c r="O451" s="2738">
        <f t="shared" si="46"/>
        <v>0</v>
      </c>
      <c r="P451" s="2739">
        <f>'[10]NFMA46 '!K483</f>
        <v>312000</v>
      </c>
      <c r="Q451" s="1715">
        <f t="shared" si="47"/>
        <v>100</v>
      </c>
      <c r="R451" s="1715">
        <f t="shared" si="49"/>
        <v>312000</v>
      </c>
      <c r="S451" s="1715">
        <f t="shared" si="48"/>
        <v>100</v>
      </c>
      <c r="T451" s="1715"/>
      <c r="U451" s="1715">
        <f t="shared" si="50"/>
        <v>0</v>
      </c>
      <c r="V451" s="2658"/>
    </row>
    <row r="452" spans="1:22" s="1041" customFormat="1" ht="106.5" customHeight="1">
      <c r="A452" s="2658">
        <v>194</v>
      </c>
      <c r="B452" s="2735" t="s">
        <v>5323</v>
      </c>
      <c r="C452" s="2740" t="s">
        <v>4922</v>
      </c>
      <c r="D452" s="2741"/>
      <c r="E452" s="2742" t="s">
        <v>550</v>
      </c>
      <c r="F452" s="2738"/>
      <c r="G452" s="2738">
        <v>312000</v>
      </c>
      <c r="H452" s="2738"/>
      <c r="I452" s="2738"/>
      <c r="J452" s="2738"/>
      <c r="K452" s="2738"/>
      <c r="L452" s="2743"/>
      <c r="M452" s="2738">
        <f>'[10]NFMA46 '!I484</f>
        <v>312000</v>
      </c>
      <c r="N452" s="2738">
        <f>'[10]NFMA46 '!L484</f>
        <v>0</v>
      </c>
      <c r="O452" s="2738">
        <f t="shared" si="46"/>
        <v>0</v>
      </c>
      <c r="P452" s="2739">
        <f>'[10]NFMA46 '!K484</f>
        <v>312000</v>
      </c>
      <c r="Q452" s="1715">
        <f t="shared" si="47"/>
        <v>100</v>
      </c>
      <c r="R452" s="1715">
        <f t="shared" si="49"/>
        <v>312000</v>
      </c>
      <c r="S452" s="1715">
        <f t="shared" si="48"/>
        <v>100</v>
      </c>
      <c r="T452" s="1715"/>
      <c r="U452" s="1715">
        <f t="shared" si="50"/>
        <v>0</v>
      </c>
      <c r="V452" s="2658"/>
    </row>
    <row r="453" spans="1:22" s="1041" customFormat="1" ht="106.5" customHeight="1">
      <c r="A453" s="2658">
        <v>195</v>
      </c>
      <c r="B453" s="2735" t="s">
        <v>5321</v>
      </c>
      <c r="C453" s="2740" t="s">
        <v>4924</v>
      </c>
      <c r="D453" s="2741"/>
      <c r="E453" s="2742" t="s">
        <v>550</v>
      </c>
      <c r="F453" s="2738"/>
      <c r="G453" s="2738">
        <v>104000</v>
      </c>
      <c r="H453" s="2738"/>
      <c r="I453" s="2738"/>
      <c r="J453" s="2738"/>
      <c r="K453" s="2738"/>
      <c r="L453" s="2743"/>
      <c r="M453" s="2738">
        <f>'[10]NFMA46 '!I486</f>
        <v>104000</v>
      </c>
      <c r="N453" s="2738">
        <f>'[10]NFMA46 '!L486</f>
        <v>104000</v>
      </c>
      <c r="O453" s="2738">
        <f t="shared" ref="O453:O516" si="51">N453/M453*100</f>
        <v>100</v>
      </c>
      <c r="P453" s="2739">
        <f>'[10]NFMA46 '!K486</f>
        <v>0</v>
      </c>
      <c r="Q453" s="1715">
        <f t="shared" ref="Q453:Q516" si="52">P453/M453*100</f>
        <v>0</v>
      </c>
      <c r="R453" s="1715">
        <f t="shared" si="49"/>
        <v>104000</v>
      </c>
      <c r="S453" s="1715">
        <f t="shared" ref="S453:S516" si="53">R453/M453*100</f>
        <v>100</v>
      </c>
      <c r="T453" s="1715"/>
      <c r="U453" s="1715">
        <f t="shared" si="50"/>
        <v>0</v>
      </c>
      <c r="V453" s="2658"/>
    </row>
    <row r="454" spans="1:22" s="1041" customFormat="1" ht="106.5" customHeight="1">
      <c r="A454" s="2658">
        <v>196</v>
      </c>
      <c r="B454" s="2735" t="s">
        <v>5320</v>
      </c>
      <c r="C454" s="2740" t="s">
        <v>4927</v>
      </c>
      <c r="D454" s="2741"/>
      <c r="E454" s="2742" t="s">
        <v>550</v>
      </c>
      <c r="F454" s="2738"/>
      <c r="G454" s="2738">
        <v>104000</v>
      </c>
      <c r="H454" s="2738"/>
      <c r="I454" s="2738"/>
      <c r="J454" s="2738"/>
      <c r="K454" s="2738"/>
      <c r="L454" s="2743"/>
      <c r="M454" s="2738">
        <f>'[10]NFMA46 '!I488</f>
        <v>104000</v>
      </c>
      <c r="N454" s="2738">
        <f>'[10]NFMA46 '!L488</f>
        <v>104000</v>
      </c>
      <c r="O454" s="2738">
        <f t="shared" si="51"/>
        <v>100</v>
      </c>
      <c r="P454" s="2739">
        <f>'[10]NFMA46 '!K488</f>
        <v>0</v>
      </c>
      <c r="Q454" s="1715">
        <f t="shared" si="52"/>
        <v>0</v>
      </c>
      <c r="R454" s="1715">
        <f t="shared" si="49"/>
        <v>104000</v>
      </c>
      <c r="S454" s="1715">
        <f t="shared" si="53"/>
        <v>100</v>
      </c>
      <c r="T454" s="1715"/>
      <c r="U454" s="1715">
        <f t="shared" si="50"/>
        <v>0</v>
      </c>
      <c r="V454" s="2658"/>
    </row>
    <row r="455" spans="1:22" s="1041" customFormat="1" ht="106.5" customHeight="1">
      <c r="A455" s="2658">
        <v>197</v>
      </c>
      <c r="B455" s="2735" t="s">
        <v>5322</v>
      </c>
      <c r="C455" s="2740" t="s">
        <v>4928</v>
      </c>
      <c r="D455" s="2741"/>
      <c r="E455" s="2742" t="s">
        <v>550</v>
      </c>
      <c r="F455" s="2738"/>
      <c r="G455" s="2738">
        <v>208000</v>
      </c>
      <c r="H455" s="2738"/>
      <c r="I455" s="2738"/>
      <c r="J455" s="2738"/>
      <c r="K455" s="2738"/>
      <c r="L455" s="2743"/>
      <c r="M455" s="2738">
        <f>'[10]NFMA46 '!I489</f>
        <v>208000</v>
      </c>
      <c r="N455" s="2738">
        <f>'[10]NFMA46 '!L489</f>
        <v>208000</v>
      </c>
      <c r="O455" s="2738">
        <f t="shared" si="51"/>
        <v>100</v>
      </c>
      <c r="P455" s="2739">
        <f>'[10]NFMA46 '!K489</f>
        <v>0</v>
      </c>
      <c r="Q455" s="1715">
        <f t="shared" si="52"/>
        <v>0</v>
      </c>
      <c r="R455" s="1715">
        <f t="shared" ref="R455:R518" si="54">P455+N455</f>
        <v>208000</v>
      </c>
      <c r="S455" s="1715">
        <f t="shared" si="53"/>
        <v>100</v>
      </c>
      <c r="T455" s="1715"/>
      <c r="U455" s="1715">
        <f t="shared" ref="U455:U518" si="55">M455-R455</f>
        <v>0</v>
      </c>
      <c r="V455" s="2658"/>
    </row>
    <row r="456" spans="1:22" s="1041" customFormat="1" ht="106.5" customHeight="1">
      <c r="A456" s="2658">
        <v>198</v>
      </c>
      <c r="B456" s="2735" t="s">
        <v>5325</v>
      </c>
      <c r="C456" s="2740" t="s">
        <v>4929</v>
      </c>
      <c r="D456" s="2741"/>
      <c r="E456" s="2742" t="s">
        <v>556</v>
      </c>
      <c r="F456" s="2738"/>
      <c r="G456" s="2738">
        <v>104000</v>
      </c>
      <c r="H456" s="2738"/>
      <c r="I456" s="2738"/>
      <c r="J456" s="2738"/>
      <c r="K456" s="2738"/>
      <c r="L456" s="2743">
        <v>28000</v>
      </c>
      <c r="M456" s="2738">
        <f>'[10]NFMA46 '!I490-L456</f>
        <v>76000</v>
      </c>
      <c r="N456" s="2738">
        <f>'[10]NFMA46 '!L490</f>
        <v>0</v>
      </c>
      <c r="O456" s="2738">
        <f t="shared" si="51"/>
        <v>0</v>
      </c>
      <c r="P456" s="2739">
        <f>'[10]NFMA46 '!K490</f>
        <v>76000</v>
      </c>
      <c r="Q456" s="1715">
        <f t="shared" si="52"/>
        <v>100</v>
      </c>
      <c r="R456" s="1715">
        <f t="shared" si="54"/>
        <v>76000</v>
      </c>
      <c r="S456" s="1715">
        <f t="shared" si="53"/>
        <v>100</v>
      </c>
      <c r="T456" s="1715"/>
      <c r="U456" s="1715">
        <f t="shared" si="55"/>
        <v>0</v>
      </c>
      <c r="V456" s="2658"/>
    </row>
    <row r="457" spans="1:22" s="1041" customFormat="1" ht="106.5" customHeight="1">
      <c r="A457" s="2658">
        <v>199</v>
      </c>
      <c r="B457" s="2735" t="s">
        <v>5324</v>
      </c>
      <c r="C457" s="2740" t="s">
        <v>4930</v>
      </c>
      <c r="D457" s="2741"/>
      <c r="E457" s="2742" t="s">
        <v>556</v>
      </c>
      <c r="F457" s="2738"/>
      <c r="G457" s="2738">
        <v>208000</v>
      </c>
      <c r="H457" s="2738"/>
      <c r="I457" s="2738"/>
      <c r="J457" s="2738"/>
      <c r="K457" s="2738"/>
      <c r="L457" s="2743"/>
      <c r="M457" s="2738">
        <f>'[10]NFMA46 '!I491</f>
        <v>208000</v>
      </c>
      <c r="N457" s="2738">
        <f>'[10]NFMA46 '!L491</f>
        <v>104000</v>
      </c>
      <c r="O457" s="2738">
        <f t="shared" si="51"/>
        <v>50</v>
      </c>
      <c r="P457" s="2739">
        <f>'[10]NFMA46 '!K491</f>
        <v>104000</v>
      </c>
      <c r="Q457" s="1715">
        <f t="shared" si="52"/>
        <v>50</v>
      </c>
      <c r="R457" s="1715">
        <f t="shared" si="54"/>
        <v>208000</v>
      </c>
      <c r="S457" s="1715">
        <f t="shared" si="53"/>
        <v>100</v>
      </c>
      <c r="T457" s="1715"/>
      <c r="U457" s="1715">
        <f t="shared" si="55"/>
        <v>0</v>
      </c>
      <c r="V457" s="2658"/>
    </row>
    <row r="458" spans="1:22" s="1041" customFormat="1" ht="106.5" customHeight="1">
      <c r="A458" s="2658">
        <v>200</v>
      </c>
      <c r="B458" s="2735" t="s">
        <v>5326</v>
      </c>
      <c r="C458" s="2740" t="s">
        <v>5392</v>
      </c>
      <c r="D458" s="2741"/>
      <c r="E458" s="2742" t="s">
        <v>1183</v>
      </c>
      <c r="F458" s="2738"/>
      <c r="G458" s="2738">
        <v>208000</v>
      </c>
      <c r="H458" s="2738"/>
      <c r="I458" s="2738"/>
      <c r="J458" s="2738"/>
      <c r="K458" s="2738"/>
      <c r="L458" s="2743">
        <v>432.11</v>
      </c>
      <c r="M458" s="2738">
        <f>'[10]NFMA46 '!I493-L458</f>
        <v>207567.89</v>
      </c>
      <c r="N458" s="2738">
        <f>'[10]NFMA46 '!L493</f>
        <v>207567.89</v>
      </c>
      <c r="O458" s="2738">
        <f t="shared" si="51"/>
        <v>100</v>
      </c>
      <c r="P458" s="2739">
        <f>'[10]NFMA46 '!K493</f>
        <v>0</v>
      </c>
      <c r="Q458" s="1715">
        <f t="shared" si="52"/>
        <v>0</v>
      </c>
      <c r="R458" s="1715">
        <f t="shared" si="54"/>
        <v>207567.89</v>
      </c>
      <c r="S458" s="1715">
        <f t="shared" si="53"/>
        <v>100</v>
      </c>
      <c r="T458" s="1715"/>
      <c r="U458" s="1715">
        <f t="shared" si="55"/>
        <v>0</v>
      </c>
      <c r="V458" s="2658"/>
    </row>
    <row r="459" spans="1:22" s="1041" customFormat="1" ht="106.5" customHeight="1">
      <c r="A459" s="2658">
        <v>201</v>
      </c>
      <c r="B459" s="2735" t="s">
        <v>5329</v>
      </c>
      <c r="C459" s="2740" t="s">
        <v>4932</v>
      </c>
      <c r="D459" s="2741"/>
      <c r="E459" s="2742" t="s">
        <v>1183</v>
      </c>
      <c r="F459" s="2738"/>
      <c r="G459" s="2738">
        <v>104000</v>
      </c>
      <c r="H459" s="2738"/>
      <c r="I459" s="2738"/>
      <c r="J459" s="2738"/>
      <c r="K459" s="2738"/>
      <c r="L459" s="2743"/>
      <c r="M459" s="2738">
        <f>'[10]NFMA46 '!I494</f>
        <v>104000</v>
      </c>
      <c r="N459" s="2738">
        <f>'[10]NFMA46 '!L494</f>
        <v>0</v>
      </c>
      <c r="O459" s="2738">
        <f t="shared" si="51"/>
        <v>0</v>
      </c>
      <c r="P459" s="2739">
        <f>'[10]NFMA46 '!K494</f>
        <v>104000</v>
      </c>
      <c r="Q459" s="1715">
        <f t="shared" si="52"/>
        <v>100</v>
      </c>
      <c r="R459" s="1715">
        <f t="shared" si="54"/>
        <v>104000</v>
      </c>
      <c r="S459" s="1715">
        <f t="shared" si="53"/>
        <v>100</v>
      </c>
      <c r="T459" s="1715"/>
      <c r="U459" s="1715">
        <f t="shared" si="55"/>
        <v>0</v>
      </c>
      <c r="V459" s="2658"/>
    </row>
    <row r="460" spans="1:22" s="1041" customFormat="1" ht="106.5" customHeight="1">
      <c r="A460" s="2658">
        <v>202</v>
      </c>
      <c r="B460" s="2735" t="s">
        <v>5330</v>
      </c>
      <c r="C460" s="2740" t="s">
        <v>4934</v>
      </c>
      <c r="D460" s="2741"/>
      <c r="E460" s="2742" t="s">
        <v>1183</v>
      </c>
      <c r="F460" s="2738"/>
      <c r="G460" s="2738">
        <v>104000</v>
      </c>
      <c r="H460" s="2738"/>
      <c r="I460" s="2738"/>
      <c r="J460" s="2738"/>
      <c r="K460" s="2738"/>
      <c r="L460" s="2743"/>
      <c r="M460" s="2738">
        <f>'[10]NFMA46 '!I495</f>
        <v>104000</v>
      </c>
      <c r="N460" s="2738">
        <f>'[10]NFMA46 '!L495</f>
        <v>0</v>
      </c>
      <c r="O460" s="2738">
        <f t="shared" si="51"/>
        <v>0</v>
      </c>
      <c r="P460" s="2739">
        <f>'[10]NFMA46 '!K495</f>
        <v>104000</v>
      </c>
      <c r="Q460" s="1715">
        <f t="shared" si="52"/>
        <v>100</v>
      </c>
      <c r="R460" s="1715">
        <f t="shared" si="54"/>
        <v>104000</v>
      </c>
      <c r="S460" s="1715">
        <f t="shared" si="53"/>
        <v>100</v>
      </c>
      <c r="T460" s="1715"/>
      <c r="U460" s="1715">
        <f t="shared" si="55"/>
        <v>0</v>
      </c>
      <c r="V460" s="2658"/>
    </row>
    <row r="461" spans="1:22" s="1041" customFormat="1" ht="106.5" customHeight="1">
      <c r="A461" s="2658">
        <v>203</v>
      </c>
      <c r="B461" s="2735" t="s">
        <v>5327</v>
      </c>
      <c r="C461" s="2740" t="s">
        <v>4936</v>
      </c>
      <c r="D461" s="2741"/>
      <c r="E461" s="2742" t="s">
        <v>1183</v>
      </c>
      <c r="F461" s="2738"/>
      <c r="G461" s="2738">
        <v>624000</v>
      </c>
      <c r="H461" s="2738"/>
      <c r="I461" s="2738"/>
      <c r="J461" s="2738"/>
      <c r="K461" s="2738"/>
      <c r="L461" s="2743"/>
      <c r="M461" s="2738">
        <f>'[10]NFMA46 '!I496</f>
        <v>624000</v>
      </c>
      <c r="N461" s="2738">
        <f>'[10]NFMA46 '!L496</f>
        <v>0</v>
      </c>
      <c r="O461" s="2738">
        <f t="shared" si="51"/>
        <v>0</v>
      </c>
      <c r="P461" s="2739">
        <f>'[10]NFMA46 '!K496</f>
        <v>624000</v>
      </c>
      <c r="Q461" s="1715">
        <f t="shared" si="52"/>
        <v>100</v>
      </c>
      <c r="R461" s="1715">
        <f t="shared" si="54"/>
        <v>624000</v>
      </c>
      <c r="S461" s="1715">
        <f t="shared" si="53"/>
        <v>100</v>
      </c>
      <c r="T461" s="1715"/>
      <c r="U461" s="1715">
        <f t="shared" si="55"/>
        <v>0</v>
      </c>
      <c r="V461" s="2658"/>
    </row>
    <row r="462" spans="1:22" s="1041" customFormat="1" ht="106.5" customHeight="1">
      <c r="A462" s="2658">
        <v>204</v>
      </c>
      <c r="B462" s="2735" t="s">
        <v>5328</v>
      </c>
      <c r="C462" s="2740" t="s">
        <v>4938</v>
      </c>
      <c r="D462" s="2741"/>
      <c r="E462" s="2742" t="s">
        <v>1183</v>
      </c>
      <c r="F462" s="2738"/>
      <c r="G462" s="2738">
        <v>312000</v>
      </c>
      <c r="H462" s="2738"/>
      <c r="I462" s="2738"/>
      <c r="J462" s="2738"/>
      <c r="K462" s="2738"/>
      <c r="L462" s="2743">
        <v>104000</v>
      </c>
      <c r="M462" s="2738">
        <f>'[10]NFMA46 '!I497-L462</f>
        <v>208000</v>
      </c>
      <c r="N462" s="2738">
        <f>'[10]NFMA46 '!L497</f>
        <v>75684</v>
      </c>
      <c r="O462" s="2738">
        <f t="shared" si="51"/>
        <v>36.386538461538457</v>
      </c>
      <c r="P462" s="2739">
        <f>'[10]NFMA46 '!K497</f>
        <v>77590</v>
      </c>
      <c r="Q462" s="1715">
        <f t="shared" si="52"/>
        <v>37.302884615384613</v>
      </c>
      <c r="R462" s="1715">
        <f t="shared" si="54"/>
        <v>153274</v>
      </c>
      <c r="S462" s="1715">
        <f t="shared" si="53"/>
        <v>73.689423076923077</v>
      </c>
      <c r="T462" s="1715"/>
      <c r="U462" s="1715">
        <f t="shared" si="55"/>
        <v>54726</v>
      </c>
      <c r="V462" s="2658"/>
    </row>
    <row r="463" spans="1:22" s="1041" customFormat="1" ht="106.5" customHeight="1">
      <c r="A463" s="2658">
        <v>205</v>
      </c>
      <c r="B463" s="2735" t="s">
        <v>5331</v>
      </c>
      <c r="C463" s="2740" t="s">
        <v>4939</v>
      </c>
      <c r="D463" s="2741"/>
      <c r="E463" s="2742" t="s">
        <v>541</v>
      </c>
      <c r="F463" s="2738"/>
      <c r="G463" s="2738">
        <v>208000</v>
      </c>
      <c r="H463" s="2738"/>
      <c r="I463" s="2738"/>
      <c r="J463" s="2738"/>
      <c r="K463" s="2738"/>
      <c r="L463" s="2743">
        <v>63823.51</v>
      </c>
      <c r="M463" s="2738">
        <f>'[10]NFMA46 '!I498-L463</f>
        <v>144176.49</v>
      </c>
      <c r="N463" s="2738">
        <f>'[10]NFMA46 '!L498</f>
        <v>144176.49</v>
      </c>
      <c r="O463" s="2738">
        <f t="shared" si="51"/>
        <v>100</v>
      </c>
      <c r="P463" s="2739">
        <f>'[10]NFMA46 '!K498</f>
        <v>0</v>
      </c>
      <c r="Q463" s="1715">
        <f t="shared" si="52"/>
        <v>0</v>
      </c>
      <c r="R463" s="1715">
        <f t="shared" si="54"/>
        <v>144176.49</v>
      </c>
      <c r="S463" s="1715">
        <f t="shared" si="53"/>
        <v>100</v>
      </c>
      <c r="T463" s="1715"/>
      <c r="U463" s="1715">
        <f t="shared" si="55"/>
        <v>0</v>
      </c>
      <c r="V463" s="2658"/>
    </row>
    <row r="464" spans="1:22" s="1041" customFormat="1" ht="106.5" customHeight="1">
      <c r="A464" s="2658">
        <v>206</v>
      </c>
      <c r="B464" s="2735" t="s">
        <v>5925</v>
      </c>
      <c r="C464" s="2740" t="s">
        <v>4941</v>
      </c>
      <c r="D464" s="2741"/>
      <c r="E464" s="2742" t="s">
        <v>541</v>
      </c>
      <c r="F464" s="2738"/>
      <c r="G464" s="2738">
        <v>208000</v>
      </c>
      <c r="H464" s="2738"/>
      <c r="I464" s="2738"/>
      <c r="J464" s="2738"/>
      <c r="K464" s="2738"/>
      <c r="L464" s="2743">
        <v>28402</v>
      </c>
      <c r="M464" s="2738">
        <f>'[10]NFMA46 '!I499-L464</f>
        <v>179598</v>
      </c>
      <c r="N464" s="2738">
        <f>'[10]NFMA46 '!L499</f>
        <v>179598</v>
      </c>
      <c r="O464" s="2738">
        <f t="shared" si="51"/>
        <v>100</v>
      </c>
      <c r="P464" s="2739">
        <f>'[10]NFMA46 '!K499</f>
        <v>0</v>
      </c>
      <c r="Q464" s="1715">
        <f t="shared" si="52"/>
        <v>0</v>
      </c>
      <c r="R464" s="1715">
        <f t="shared" si="54"/>
        <v>179598</v>
      </c>
      <c r="S464" s="1715">
        <f t="shared" si="53"/>
        <v>100</v>
      </c>
      <c r="T464" s="1715"/>
      <c r="U464" s="1715">
        <f t="shared" si="55"/>
        <v>0</v>
      </c>
      <c r="V464" s="2658"/>
    </row>
    <row r="465" spans="1:22" s="1041" customFormat="1" ht="106.5" customHeight="1">
      <c r="A465" s="2658">
        <v>207</v>
      </c>
      <c r="B465" s="2735" t="s">
        <v>5332</v>
      </c>
      <c r="C465" s="2740" t="s">
        <v>4943</v>
      </c>
      <c r="D465" s="2741"/>
      <c r="E465" s="2742" t="s">
        <v>553</v>
      </c>
      <c r="F465" s="2738"/>
      <c r="G465" s="2738">
        <v>624000</v>
      </c>
      <c r="H465" s="2738"/>
      <c r="I465" s="2738"/>
      <c r="J465" s="2738"/>
      <c r="K465" s="2738"/>
      <c r="L465" s="2743"/>
      <c r="M465" s="2738">
        <f>'[10]NFMA46 '!I501</f>
        <v>624000</v>
      </c>
      <c r="N465" s="2738">
        <f>'[10]NFMA46 '!L501</f>
        <v>624000</v>
      </c>
      <c r="O465" s="2738">
        <f t="shared" si="51"/>
        <v>100</v>
      </c>
      <c r="P465" s="2739">
        <f>'[10]NFMA46 '!K501</f>
        <v>0</v>
      </c>
      <c r="Q465" s="1715">
        <f t="shared" si="52"/>
        <v>0</v>
      </c>
      <c r="R465" s="1715">
        <f t="shared" si="54"/>
        <v>624000</v>
      </c>
      <c r="S465" s="1715">
        <f t="shared" si="53"/>
        <v>100</v>
      </c>
      <c r="T465" s="1715"/>
      <c r="U465" s="1715">
        <f t="shared" si="55"/>
        <v>0</v>
      </c>
      <c r="V465" s="2658"/>
    </row>
    <row r="466" spans="1:22" s="1041" customFormat="1" ht="106.5" customHeight="1">
      <c r="A466" s="2658">
        <v>208</v>
      </c>
      <c r="B466" s="2735" t="s">
        <v>5333</v>
      </c>
      <c r="C466" s="2740" t="s">
        <v>4944</v>
      </c>
      <c r="D466" s="2741"/>
      <c r="E466" s="2742" t="s">
        <v>553</v>
      </c>
      <c r="F466" s="2738"/>
      <c r="G466" s="2738">
        <v>104000</v>
      </c>
      <c r="H466" s="2738"/>
      <c r="I466" s="2738"/>
      <c r="J466" s="2738"/>
      <c r="K466" s="2738"/>
      <c r="L466" s="2743">
        <v>27779.94</v>
      </c>
      <c r="M466" s="2738">
        <f>'[10]NFMA46 '!I502-L466</f>
        <v>76220.06</v>
      </c>
      <c r="N466" s="2738">
        <f>'[10]NFMA46 '!L502</f>
        <v>76220.06</v>
      </c>
      <c r="O466" s="2738">
        <f t="shared" si="51"/>
        <v>100</v>
      </c>
      <c r="P466" s="2739">
        <f>'[10]NFMA46 '!K502</f>
        <v>0</v>
      </c>
      <c r="Q466" s="1715">
        <f t="shared" si="52"/>
        <v>0</v>
      </c>
      <c r="R466" s="1715">
        <f t="shared" si="54"/>
        <v>76220.06</v>
      </c>
      <c r="S466" s="1715">
        <f t="shared" si="53"/>
        <v>100</v>
      </c>
      <c r="T466" s="1715"/>
      <c r="U466" s="1715">
        <f t="shared" si="55"/>
        <v>0</v>
      </c>
      <c r="V466" s="2658"/>
    </row>
    <row r="467" spans="1:22" s="1041" customFormat="1" ht="106.5" customHeight="1">
      <c r="A467" s="2658">
        <v>209</v>
      </c>
      <c r="B467" s="2735" t="s">
        <v>5334</v>
      </c>
      <c r="C467" s="2740" t="s">
        <v>4946</v>
      </c>
      <c r="D467" s="2741"/>
      <c r="E467" s="2742" t="s">
        <v>553</v>
      </c>
      <c r="F467" s="2738"/>
      <c r="G467" s="2738">
        <v>208000</v>
      </c>
      <c r="H467" s="2738"/>
      <c r="I467" s="2738"/>
      <c r="J467" s="2738"/>
      <c r="K467" s="2738"/>
      <c r="L467" s="2743"/>
      <c r="M467" s="2738">
        <f>'[10]NFMA46 '!I503</f>
        <v>208000</v>
      </c>
      <c r="N467" s="2738">
        <f>'[10]NFMA46 '!L503</f>
        <v>208000</v>
      </c>
      <c r="O467" s="2738">
        <f t="shared" si="51"/>
        <v>100</v>
      </c>
      <c r="P467" s="2739">
        <f>'[10]NFMA46 '!K503</f>
        <v>0</v>
      </c>
      <c r="Q467" s="1715">
        <f t="shared" si="52"/>
        <v>0</v>
      </c>
      <c r="R467" s="1715">
        <f t="shared" si="54"/>
        <v>208000</v>
      </c>
      <c r="S467" s="1715">
        <f t="shared" si="53"/>
        <v>100</v>
      </c>
      <c r="T467" s="1715"/>
      <c r="U467" s="1715">
        <f t="shared" si="55"/>
        <v>0</v>
      </c>
      <c r="V467" s="2658"/>
    </row>
    <row r="468" spans="1:22" s="1041" customFormat="1" ht="106.5" customHeight="1">
      <c r="A468" s="2658">
        <v>210</v>
      </c>
      <c r="B468" s="2735" t="s">
        <v>5926</v>
      </c>
      <c r="C468" s="2740" t="s">
        <v>4947</v>
      </c>
      <c r="D468" s="2741"/>
      <c r="E468" s="2742" t="s">
        <v>553</v>
      </c>
      <c r="F468" s="2738"/>
      <c r="G468" s="2738">
        <v>104000</v>
      </c>
      <c r="H468" s="2738"/>
      <c r="I468" s="2738"/>
      <c r="J468" s="2738"/>
      <c r="K468" s="2738"/>
      <c r="L468" s="2743">
        <v>11813.95</v>
      </c>
      <c r="M468" s="2738">
        <f>'[10]NFMA46 '!I504-L468</f>
        <v>92186.05</v>
      </c>
      <c r="N468" s="2738">
        <f>'[10]NFMA46 '!L504</f>
        <v>92186.05</v>
      </c>
      <c r="O468" s="2738">
        <f t="shared" si="51"/>
        <v>100</v>
      </c>
      <c r="P468" s="2739">
        <f>'[10]NFMA46 '!K504</f>
        <v>0</v>
      </c>
      <c r="Q468" s="1715">
        <f t="shared" si="52"/>
        <v>0</v>
      </c>
      <c r="R468" s="1715">
        <f t="shared" si="54"/>
        <v>92186.05</v>
      </c>
      <c r="S468" s="1715">
        <f t="shared" si="53"/>
        <v>100</v>
      </c>
      <c r="T468" s="1715"/>
      <c r="U468" s="1715">
        <f t="shared" si="55"/>
        <v>0</v>
      </c>
      <c r="V468" s="2658"/>
    </row>
    <row r="469" spans="1:22" s="1041" customFormat="1" ht="106.5" customHeight="1">
      <c r="A469" s="2658">
        <v>211</v>
      </c>
      <c r="B469" s="2735" t="s">
        <v>5335</v>
      </c>
      <c r="C469" s="2740" t="s">
        <v>4949</v>
      </c>
      <c r="D469" s="2741"/>
      <c r="E469" s="2742" t="s">
        <v>553</v>
      </c>
      <c r="F469" s="2738"/>
      <c r="G469" s="2738">
        <v>104000</v>
      </c>
      <c r="H469" s="2738"/>
      <c r="I469" s="2738"/>
      <c r="J469" s="2738"/>
      <c r="K469" s="2738"/>
      <c r="L469" s="2743"/>
      <c r="M469" s="2738">
        <f>'[10]NFMA46 '!I505</f>
        <v>104000</v>
      </c>
      <c r="N469" s="2738">
        <f>'[10]NFMA46 '!L505</f>
        <v>104000</v>
      </c>
      <c r="O469" s="2738">
        <f t="shared" si="51"/>
        <v>100</v>
      </c>
      <c r="P469" s="2739">
        <f>'[10]NFMA46 '!K505</f>
        <v>0</v>
      </c>
      <c r="Q469" s="1715">
        <f t="shared" si="52"/>
        <v>0</v>
      </c>
      <c r="R469" s="1715">
        <f t="shared" si="54"/>
        <v>104000</v>
      </c>
      <c r="S469" s="1715">
        <f t="shared" si="53"/>
        <v>100</v>
      </c>
      <c r="T469" s="1715"/>
      <c r="U469" s="1715">
        <f t="shared" si="55"/>
        <v>0</v>
      </c>
      <c r="V469" s="2658"/>
    </row>
    <row r="470" spans="1:22" s="1041" customFormat="1" ht="106.5" customHeight="1">
      <c r="A470" s="2658">
        <v>212</v>
      </c>
      <c r="B470" s="2735" t="s">
        <v>5338</v>
      </c>
      <c r="C470" s="2740" t="s">
        <v>4950</v>
      </c>
      <c r="D470" s="2741"/>
      <c r="E470" s="2742" t="s">
        <v>1184</v>
      </c>
      <c r="F470" s="2738"/>
      <c r="G470" s="2738">
        <v>104000</v>
      </c>
      <c r="H470" s="2738"/>
      <c r="I470" s="2738"/>
      <c r="J470" s="2738"/>
      <c r="K470" s="2738"/>
      <c r="L470" s="2743"/>
      <c r="M470" s="2738">
        <f>'[10]NFMA46 '!I506</f>
        <v>104000</v>
      </c>
      <c r="N470" s="2738">
        <f>'[10]NFMA46 '!L506</f>
        <v>0</v>
      </c>
      <c r="O470" s="2738">
        <f t="shared" si="51"/>
        <v>0</v>
      </c>
      <c r="P470" s="2739">
        <f>'[10]NFMA46 '!K506</f>
        <v>0</v>
      </c>
      <c r="Q470" s="1715">
        <f t="shared" si="52"/>
        <v>0</v>
      </c>
      <c r="R470" s="1715">
        <f t="shared" si="54"/>
        <v>0</v>
      </c>
      <c r="S470" s="1715">
        <f t="shared" si="53"/>
        <v>0</v>
      </c>
      <c r="T470" s="1715"/>
      <c r="U470" s="1715">
        <f t="shared" si="55"/>
        <v>104000</v>
      </c>
      <c r="V470" s="2658"/>
    </row>
    <row r="471" spans="1:22" s="1041" customFormat="1" ht="106.5" customHeight="1">
      <c r="A471" s="2658">
        <v>213</v>
      </c>
      <c r="B471" s="2735" t="s">
        <v>5340</v>
      </c>
      <c r="C471" s="2740" t="s">
        <v>4951</v>
      </c>
      <c r="D471" s="2741"/>
      <c r="E471" s="2742" t="s">
        <v>1184</v>
      </c>
      <c r="F471" s="2738"/>
      <c r="G471" s="2738">
        <v>208000</v>
      </c>
      <c r="H471" s="2738"/>
      <c r="I471" s="2738"/>
      <c r="J471" s="2738"/>
      <c r="K471" s="2738"/>
      <c r="L471" s="2743"/>
      <c r="M471" s="2738">
        <f>'[10]NFMA46 '!I507</f>
        <v>208000</v>
      </c>
      <c r="N471" s="2738">
        <f>'[10]NFMA46 '!L507</f>
        <v>0</v>
      </c>
      <c r="O471" s="2738">
        <f t="shared" si="51"/>
        <v>0</v>
      </c>
      <c r="P471" s="2739">
        <f>'[10]NFMA46 '!K507</f>
        <v>0</v>
      </c>
      <c r="Q471" s="1715">
        <f t="shared" si="52"/>
        <v>0</v>
      </c>
      <c r="R471" s="1715">
        <f t="shared" si="54"/>
        <v>0</v>
      </c>
      <c r="S471" s="1715">
        <f t="shared" si="53"/>
        <v>0</v>
      </c>
      <c r="T471" s="1715"/>
      <c r="U471" s="1715">
        <f t="shared" si="55"/>
        <v>208000</v>
      </c>
      <c r="V471" s="2658"/>
    </row>
    <row r="472" spans="1:22" s="1041" customFormat="1" ht="106.5" customHeight="1">
      <c r="A472" s="2658">
        <v>214</v>
      </c>
      <c r="B472" s="2735" t="s">
        <v>5336</v>
      </c>
      <c r="C472" s="2740" t="s">
        <v>4952</v>
      </c>
      <c r="D472" s="2741"/>
      <c r="E472" s="2742" t="s">
        <v>1184</v>
      </c>
      <c r="F472" s="2738"/>
      <c r="G472" s="2738">
        <v>104000</v>
      </c>
      <c r="H472" s="2738"/>
      <c r="I472" s="2738"/>
      <c r="J472" s="2738"/>
      <c r="K472" s="2738"/>
      <c r="L472" s="2743">
        <v>2500</v>
      </c>
      <c r="M472" s="2738">
        <f>'[10]NFMA46 '!I508-L472</f>
        <v>101500</v>
      </c>
      <c r="N472" s="2738">
        <f>'[10]NFMA46 '!L508</f>
        <v>101500</v>
      </c>
      <c r="O472" s="2738">
        <f t="shared" si="51"/>
        <v>100</v>
      </c>
      <c r="P472" s="2739">
        <f>'[10]NFMA46 '!K508</f>
        <v>0</v>
      </c>
      <c r="Q472" s="1715">
        <f t="shared" si="52"/>
        <v>0</v>
      </c>
      <c r="R472" s="1715">
        <f t="shared" si="54"/>
        <v>101500</v>
      </c>
      <c r="S472" s="1715">
        <f t="shared" si="53"/>
        <v>100</v>
      </c>
      <c r="T472" s="1715"/>
      <c r="U472" s="1715">
        <f t="shared" si="55"/>
        <v>0</v>
      </c>
      <c r="V472" s="2658"/>
    </row>
    <row r="473" spans="1:22" s="1041" customFormat="1" ht="106.5" customHeight="1">
      <c r="A473" s="2658">
        <v>215</v>
      </c>
      <c r="B473" s="2735" t="s">
        <v>5339</v>
      </c>
      <c r="C473" s="2740" t="s">
        <v>4953</v>
      </c>
      <c r="D473" s="2741"/>
      <c r="E473" s="2742" t="s">
        <v>1184</v>
      </c>
      <c r="F473" s="2738"/>
      <c r="G473" s="2738">
        <v>312000</v>
      </c>
      <c r="H473" s="2738"/>
      <c r="I473" s="2738"/>
      <c r="J473" s="2738"/>
      <c r="K473" s="2738"/>
      <c r="L473" s="2743">
        <v>177400</v>
      </c>
      <c r="M473" s="2738">
        <f>'[10]NFMA46 '!I509-L473</f>
        <v>134600</v>
      </c>
      <c r="N473" s="2738">
        <f>'[10]NFMA46 '!L509</f>
        <v>0</v>
      </c>
      <c r="O473" s="2738">
        <f t="shared" si="51"/>
        <v>0</v>
      </c>
      <c r="P473" s="2739">
        <f>'[10]NFMA46 '!K509</f>
        <v>74400</v>
      </c>
      <c r="Q473" s="1715">
        <f t="shared" si="52"/>
        <v>55.274888558692425</v>
      </c>
      <c r="R473" s="1715">
        <f t="shared" si="54"/>
        <v>74400</v>
      </c>
      <c r="S473" s="1715">
        <f t="shared" si="53"/>
        <v>55.274888558692425</v>
      </c>
      <c r="T473" s="1715"/>
      <c r="U473" s="1715">
        <f t="shared" si="55"/>
        <v>60200</v>
      </c>
      <c r="V473" s="2658"/>
    </row>
    <row r="474" spans="1:22" s="1041" customFormat="1" ht="106.5" customHeight="1">
      <c r="A474" s="2658">
        <v>216</v>
      </c>
      <c r="B474" s="2735" t="s">
        <v>5341</v>
      </c>
      <c r="C474" s="2740" t="s">
        <v>4954</v>
      </c>
      <c r="D474" s="2741"/>
      <c r="E474" s="2742" t="s">
        <v>1184</v>
      </c>
      <c r="F474" s="2738"/>
      <c r="G474" s="2738">
        <v>104000</v>
      </c>
      <c r="H474" s="2738"/>
      <c r="I474" s="2738"/>
      <c r="J474" s="2738"/>
      <c r="K474" s="2738"/>
      <c r="L474" s="2743"/>
      <c r="M474" s="2738">
        <f>'[10]NFMA46 '!I510</f>
        <v>104000</v>
      </c>
      <c r="N474" s="2738">
        <f>'[10]NFMA46 '!L510</f>
        <v>0</v>
      </c>
      <c r="O474" s="2738">
        <f t="shared" si="51"/>
        <v>0</v>
      </c>
      <c r="P474" s="2739">
        <f>'[10]NFMA46 '!K510</f>
        <v>0</v>
      </c>
      <c r="Q474" s="1715">
        <f t="shared" si="52"/>
        <v>0</v>
      </c>
      <c r="R474" s="1715">
        <f t="shared" si="54"/>
        <v>0</v>
      </c>
      <c r="S474" s="1715">
        <f t="shared" si="53"/>
        <v>0</v>
      </c>
      <c r="T474" s="1715"/>
      <c r="U474" s="1715">
        <f t="shared" si="55"/>
        <v>104000</v>
      </c>
      <c r="V474" s="2658"/>
    </row>
    <row r="475" spans="1:22" s="1041" customFormat="1" ht="106.5" customHeight="1">
      <c r="A475" s="2658">
        <v>217</v>
      </c>
      <c r="B475" s="2735" t="s">
        <v>5337</v>
      </c>
      <c r="C475" s="2740" t="s">
        <v>4956</v>
      </c>
      <c r="D475" s="2741"/>
      <c r="E475" s="2742" t="s">
        <v>1184</v>
      </c>
      <c r="F475" s="2738"/>
      <c r="G475" s="2738">
        <v>104000</v>
      </c>
      <c r="H475" s="2738"/>
      <c r="I475" s="2738"/>
      <c r="J475" s="2738"/>
      <c r="K475" s="2738"/>
      <c r="L475" s="2743">
        <v>20417.62</v>
      </c>
      <c r="M475" s="2738">
        <f>'[10]NFMA46 '!I512-L475</f>
        <v>83582.38</v>
      </c>
      <c r="N475" s="2738">
        <f>'[10]NFMA46 '!L512</f>
        <v>74582.38</v>
      </c>
      <c r="O475" s="2738">
        <f t="shared" si="51"/>
        <v>89.232180275316395</v>
      </c>
      <c r="P475" s="2739">
        <f>'[10]NFMA46 '!K512</f>
        <v>0</v>
      </c>
      <c r="Q475" s="1715">
        <f t="shared" si="52"/>
        <v>0</v>
      </c>
      <c r="R475" s="1715">
        <f t="shared" si="54"/>
        <v>74582.38</v>
      </c>
      <c r="S475" s="1715">
        <f t="shared" si="53"/>
        <v>89.232180275316395</v>
      </c>
      <c r="T475" s="1715"/>
      <c r="U475" s="1715">
        <f t="shared" si="55"/>
        <v>9000</v>
      </c>
      <c r="V475" s="2658"/>
    </row>
    <row r="476" spans="1:22" s="1041" customFormat="1" ht="106.5" customHeight="1">
      <c r="A476" s="2658">
        <v>218</v>
      </c>
      <c r="B476" s="2735" t="s">
        <v>5927</v>
      </c>
      <c r="C476" s="2740" t="s">
        <v>4957</v>
      </c>
      <c r="D476" s="2741"/>
      <c r="E476" s="2742" t="s">
        <v>562</v>
      </c>
      <c r="F476" s="2738"/>
      <c r="G476" s="2738">
        <v>416000</v>
      </c>
      <c r="H476" s="2738"/>
      <c r="I476" s="2738"/>
      <c r="J476" s="2738"/>
      <c r="K476" s="2738"/>
      <c r="L476" s="2743">
        <f>104000+74300</f>
        <v>178300</v>
      </c>
      <c r="M476" s="2738">
        <v>237700</v>
      </c>
      <c r="N476" s="2738">
        <f>'[10]NFMA46 '!L513</f>
        <v>158396</v>
      </c>
      <c r="O476" s="2738">
        <f t="shared" si="51"/>
        <v>66.636937315944465</v>
      </c>
      <c r="P476" s="2739">
        <f>'[10]NFMA46 '!K513</f>
        <v>74500</v>
      </c>
      <c r="Q476" s="1715">
        <f t="shared" si="52"/>
        <v>31.342027766091711</v>
      </c>
      <c r="R476" s="1715">
        <f t="shared" si="54"/>
        <v>232896</v>
      </c>
      <c r="S476" s="1715">
        <f t="shared" si="53"/>
        <v>97.978965082036183</v>
      </c>
      <c r="T476" s="1715"/>
      <c r="U476" s="1715">
        <f t="shared" si="55"/>
        <v>4804</v>
      </c>
      <c r="V476" s="2658"/>
    </row>
    <row r="477" spans="1:22" s="1041" customFormat="1" ht="106.5" customHeight="1">
      <c r="A477" s="2658">
        <v>219</v>
      </c>
      <c r="B477" s="2735" t="s">
        <v>5928</v>
      </c>
      <c r="C477" s="2740" t="s">
        <v>4958</v>
      </c>
      <c r="D477" s="2741"/>
      <c r="E477" s="2742" t="s">
        <v>567</v>
      </c>
      <c r="F477" s="2738"/>
      <c r="G477" s="2738">
        <v>104000</v>
      </c>
      <c r="H477" s="2738"/>
      <c r="I477" s="2738"/>
      <c r="J477" s="2738"/>
      <c r="K477" s="2738"/>
      <c r="L477" s="2743"/>
      <c r="M477" s="2738">
        <f>'[10]NFMA46 '!I514</f>
        <v>104000</v>
      </c>
      <c r="N477" s="2738">
        <f>'[10]NFMA46 '!L514</f>
        <v>0</v>
      </c>
      <c r="O477" s="2738">
        <f t="shared" si="51"/>
        <v>0</v>
      </c>
      <c r="P477" s="2739">
        <f>'[10]NFMA46 '!K514</f>
        <v>104000</v>
      </c>
      <c r="Q477" s="1715">
        <f t="shared" si="52"/>
        <v>100</v>
      </c>
      <c r="R477" s="1715">
        <f t="shared" si="54"/>
        <v>104000</v>
      </c>
      <c r="S477" s="1715">
        <f t="shared" si="53"/>
        <v>100</v>
      </c>
      <c r="T477" s="1715"/>
      <c r="U477" s="1715">
        <f t="shared" si="55"/>
        <v>0</v>
      </c>
      <c r="V477" s="2658"/>
    </row>
    <row r="478" spans="1:22" s="1041" customFormat="1" ht="106.5" customHeight="1">
      <c r="A478" s="2658">
        <v>220</v>
      </c>
      <c r="B478" s="2735" t="s">
        <v>5346</v>
      </c>
      <c r="C478" s="2740" t="s">
        <v>4959</v>
      </c>
      <c r="D478" s="2741"/>
      <c r="E478" s="2742" t="s">
        <v>2832</v>
      </c>
      <c r="F478" s="2738"/>
      <c r="G478" s="2738">
        <v>208000</v>
      </c>
      <c r="H478" s="2738"/>
      <c r="I478" s="2738"/>
      <c r="J478" s="2738"/>
      <c r="K478" s="2738"/>
      <c r="L478" s="2743">
        <v>10400</v>
      </c>
      <c r="M478" s="2738">
        <f>'[10]NFMA46 '!I515-L478</f>
        <v>197600</v>
      </c>
      <c r="N478" s="2738">
        <f>'[10]NFMA46 '!L515</f>
        <v>197600</v>
      </c>
      <c r="O478" s="2738">
        <f t="shared" si="51"/>
        <v>100</v>
      </c>
      <c r="P478" s="2739">
        <f>'[10]NFMA46 '!K515</f>
        <v>0</v>
      </c>
      <c r="Q478" s="1715">
        <f t="shared" si="52"/>
        <v>0</v>
      </c>
      <c r="R478" s="1715">
        <f t="shared" si="54"/>
        <v>197600</v>
      </c>
      <c r="S478" s="1715">
        <f t="shared" si="53"/>
        <v>100</v>
      </c>
      <c r="T478" s="1715"/>
      <c r="U478" s="1715">
        <f t="shared" si="55"/>
        <v>0</v>
      </c>
      <c r="V478" s="2658"/>
    </row>
    <row r="479" spans="1:22" s="1041" customFormat="1" ht="106.5" customHeight="1">
      <c r="A479" s="2658">
        <v>221</v>
      </c>
      <c r="B479" s="2735" t="s">
        <v>5343</v>
      </c>
      <c r="C479" s="2740" t="s">
        <v>4960</v>
      </c>
      <c r="D479" s="2741"/>
      <c r="E479" s="2742" t="s">
        <v>2832</v>
      </c>
      <c r="F479" s="2738"/>
      <c r="G479" s="2738">
        <v>208000</v>
      </c>
      <c r="H479" s="2738"/>
      <c r="I479" s="2738"/>
      <c r="J479" s="2738"/>
      <c r="K479" s="2738"/>
      <c r="L479" s="2743"/>
      <c r="M479" s="2738">
        <f>'[10]NFMA46 '!I516</f>
        <v>208000</v>
      </c>
      <c r="N479" s="2738">
        <f>'[10]NFMA46 '!L516</f>
        <v>208000</v>
      </c>
      <c r="O479" s="2738">
        <f t="shared" si="51"/>
        <v>100</v>
      </c>
      <c r="P479" s="2739">
        <f>'[10]NFMA46 '!K516</f>
        <v>0</v>
      </c>
      <c r="Q479" s="1715">
        <f t="shared" si="52"/>
        <v>0</v>
      </c>
      <c r="R479" s="1715">
        <f t="shared" si="54"/>
        <v>208000</v>
      </c>
      <c r="S479" s="1715">
        <f t="shared" si="53"/>
        <v>100</v>
      </c>
      <c r="T479" s="1715"/>
      <c r="U479" s="1715">
        <f t="shared" si="55"/>
        <v>0</v>
      </c>
      <c r="V479" s="2658"/>
    </row>
    <row r="480" spans="1:22" s="1041" customFormat="1" ht="106.5" customHeight="1">
      <c r="A480" s="2658">
        <v>222</v>
      </c>
      <c r="B480" s="2735" t="s">
        <v>5345</v>
      </c>
      <c r="C480" s="2740" t="s">
        <v>4961</v>
      </c>
      <c r="D480" s="2741"/>
      <c r="E480" s="2742" t="s">
        <v>2832</v>
      </c>
      <c r="F480" s="2738"/>
      <c r="G480" s="2738">
        <v>104000</v>
      </c>
      <c r="H480" s="2738"/>
      <c r="I480" s="2738"/>
      <c r="J480" s="2738"/>
      <c r="K480" s="2738"/>
      <c r="L480" s="2743">
        <v>27578.54</v>
      </c>
      <c r="M480" s="2738">
        <f>'[10]NFMA46 '!I517-L480</f>
        <v>76421.459999999992</v>
      </c>
      <c r="N480" s="2738">
        <f>'[10]NFMA46 '!L517</f>
        <v>76421.460000000006</v>
      </c>
      <c r="O480" s="2738">
        <f t="shared" si="51"/>
        <v>100.00000000000003</v>
      </c>
      <c r="P480" s="2739">
        <f>'[10]NFMA46 '!K517</f>
        <v>0</v>
      </c>
      <c r="Q480" s="1715">
        <f t="shared" si="52"/>
        <v>0</v>
      </c>
      <c r="R480" s="1715">
        <f t="shared" si="54"/>
        <v>76421.460000000006</v>
      </c>
      <c r="S480" s="1715">
        <f t="shared" si="53"/>
        <v>100.00000000000003</v>
      </c>
      <c r="T480" s="1715"/>
      <c r="U480" s="1715">
        <f t="shared" si="55"/>
        <v>0</v>
      </c>
      <c r="V480" s="2658"/>
    </row>
    <row r="481" spans="1:22" s="1041" customFormat="1" ht="106.5" customHeight="1">
      <c r="A481" s="2658">
        <v>223</v>
      </c>
      <c r="B481" s="2735" t="s">
        <v>5342</v>
      </c>
      <c r="C481" s="2740" t="s">
        <v>4962</v>
      </c>
      <c r="D481" s="2741"/>
      <c r="E481" s="2742" t="s">
        <v>2832</v>
      </c>
      <c r="F481" s="2738"/>
      <c r="G481" s="2738">
        <v>104000</v>
      </c>
      <c r="H481" s="2738"/>
      <c r="I481" s="2738"/>
      <c r="J481" s="2738"/>
      <c r="K481" s="2738"/>
      <c r="L481" s="2743"/>
      <c r="M481" s="2738">
        <f>'[10]NFMA46 '!I518</f>
        <v>104000</v>
      </c>
      <c r="N481" s="2738">
        <f>'[10]NFMA46 '!L518</f>
        <v>104000</v>
      </c>
      <c r="O481" s="2738">
        <f t="shared" si="51"/>
        <v>100</v>
      </c>
      <c r="P481" s="2739">
        <f>'[10]NFMA46 '!K518</f>
        <v>0</v>
      </c>
      <c r="Q481" s="1715">
        <f t="shared" si="52"/>
        <v>0</v>
      </c>
      <c r="R481" s="1715">
        <f t="shared" si="54"/>
        <v>104000</v>
      </c>
      <c r="S481" s="1715">
        <f t="shared" si="53"/>
        <v>100</v>
      </c>
      <c r="T481" s="1715"/>
      <c r="U481" s="1715">
        <f t="shared" si="55"/>
        <v>0</v>
      </c>
      <c r="V481" s="2658"/>
    </row>
    <row r="482" spans="1:22" s="1041" customFormat="1" ht="106.5" customHeight="1">
      <c r="A482" s="2658">
        <v>224</v>
      </c>
      <c r="B482" s="2735" t="s">
        <v>5344</v>
      </c>
      <c r="C482" s="2740" t="s">
        <v>4963</v>
      </c>
      <c r="D482" s="2741"/>
      <c r="E482" s="2742" t="s">
        <v>2832</v>
      </c>
      <c r="F482" s="2738"/>
      <c r="G482" s="2738">
        <v>520000</v>
      </c>
      <c r="H482" s="2738"/>
      <c r="I482" s="2738"/>
      <c r="J482" s="2738"/>
      <c r="K482" s="2738"/>
      <c r="L482" s="2743"/>
      <c r="M482" s="2738">
        <f>'[10]NFMA46 '!I519</f>
        <v>520000</v>
      </c>
      <c r="N482" s="2738">
        <f>'[10]NFMA46 '!L519</f>
        <v>498850.56</v>
      </c>
      <c r="O482" s="2738">
        <f t="shared" si="51"/>
        <v>95.9328</v>
      </c>
      <c r="P482" s="2739">
        <f>'[10]NFMA46 '!K519</f>
        <v>0</v>
      </c>
      <c r="Q482" s="1715">
        <f t="shared" si="52"/>
        <v>0</v>
      </c>
      <c r="R482" s="1715">
        <f t="shared" si="54"/>
        <v>498850.56</v>
      </c>
      <c r="S482" s="1715">
        <f t="shared" si="53"/>
        <v>95.9328</v>
      </c>
      <c r="T482" s="1715"/>
      <c r="U482" s="1715">
        <f t="shared" si="55"/>
        <v>21149.440000000002</v>
      </c>
      <c r="V482" s="2658"/>
    </row>
    <row r="483" spans="1:22" s="1041" customFormat="1" ht="106.5" customHeight="1">
      <c r="A483" s="2658">
        <v>225</v>
      </c>
      <c r="B483" s="2735" t="s">
        <v>5929</v>
      </c>
      <c r="C483" s="2740" t="s">
        <v>4964</v>
      </c>
      <c r="D483" s="2741"/>
      <c r="E483" s="2742" t="s">
        <v>1385</v>
      </c>
      <c r="F483" s="2738"/>
      <c r="G483" s="2738">
        <v>45200</v>
      </c>
      <c r="H483" s="2738"/>
      <c r="I483" s="2738"/>
      <c r="J483" s="2738"/>
      <c r="K483" s="2738"/>
      <c r="L483" s="2743"/>
      <c r="M483" s="2738">
        <f>'[10]NFMA46 '!I520</f>
        <v>45200</v>
      </c>
      <c r="N483" s="2738">
        <f>'[10]NFMA46 '!L520</f>
        <v>0</v>
      </c>
      <c r="O483" s="2738">
        <f t="shared" si="51"/>
        <v>0</v>
      </c>
      <c r="P483" s="2739">
        <f>'[10]NFMA46 '!K520</f>
        <v>45200</v>
      </c>
      <c r="Q483" s="1715">
        <f t="shared" si="52"/>
        <v>100</v>
      </c>
      <c r="R483" s="1715">
        <f t="shared" si="54"/>
        <v>45200</v>
      </c>
      <c r="S483" s="1715">
        <f t="shared" si="53"/>
        <v>100</v>
      </c>
      <c r="T483" s="1715"/>
      <c r="U483" s="1715">
        <f t="shared" si="55"/>
        <v>0</v>
      </c>
      <c r="V483" s="2658"/>
    </row>
    <row r="484" spans="1:22" s="1041" customFormat="1" ht="106.5" customHeight="1">
      <c r="A484" s="2658">
        <v>226</v>
      </c>
      <c r="B484" s="2735" t="s">
        <v>4708</v>
      </c>
      <c r="C484" s="2740" t="s">
        <v>4965</v>
      </c>
      <c r="D484" s="2741"/>
      <c r="E484" s="2742" t="s">
        <v>559</v>
      </c>
      <c r="F484" s="2738"/>
      <c r="G484" s="2738">
        <v>90400</v>
      </c>
      <c r="H484" s="2738"/>
      <c r="I484" s="2738"/>
      <c r="J484" s="2738"/>
      <c r="K484" s="2738"/>
      <c r="L484" s="2743"/>
      <c r="M484" s="2738">
        <f>'[10]NFMA46 '!I521</f>
        <v>90400</v>
      </c>
      <c r="N484" s="2738">
        <f>'[10]NFMA46 '!L521</f>
        <v>90400</v>
      </c>
      <c r="O484" s="2738">
        <f t="shared" si="51"/>
        <v>100</v>
      </c>
      <c r="P484" s="2739">
        <f>'[10]NFMA46 '!K521</f>
        <v>0</v>
      </c>
      <c r="Q484" s="1715">
        <f t="shared" si="52"/>
        <v>0</v>
      </c>
      <c r="R484" s="1715">
        <f t="shared" si="54"/>
        <v>90400</v>
      </c>
      <c r="S484" s="1715">
        <f t="shared" si="53"/>
        <v>100</v>
      </c>
      <c r="T484" s="1715"/>
      <c r="U484" s="1715">
        <f t="shared" si="55"/>
        <v>0</v>
      </c>
      <c r="V484" s="2658"/>
    </row>
    <row r="485" spans="1:22" s="1041" customFormat="1" ht="106.5" customHeight="1">
      <c r="A485" s="2658">
        <v>227</v>
      </c>
      <c r="B485" s="2735" t="s">
        <v>5930</v>
      </c>
      <c r="C485" s="2740" t="s">
        <v>4967</v>
      </c>
      <c r="D485" s="2741"/>
      <c r="E485" s="2742" t="s">
        <v>559</v>
      </c>
      <c r="F485" s="2738"/>
      <c r="G485" s="2738">
        <v>45200</v>
      </c>
      <c r="H485" s="2738"/>
      <c r="I485" s="2738"/>
      <c r="J485" s="2738"/>
      <c r="K485" s="2738"/>
      <c r="L485" s="2743"/>
      <c r="M485" s="2738">
        <f>'[10]NFMA46 '!I522</f>
        <v>45200</v>
      </c>
      <c r="N485" s="2738">
        <f>'[10]NFMA46 '!L522</f>
        <v>45200</v>
      </c>
      <c r="O485" s="2738">
        <f t="shared" si="51"/>
        <v>100</v>
      </c>
      <c r="P485" s="2739">
        <f>'[10]NFMA46 '!K522</f>
        <v>0</v>
      </c>
      <c r="Q485" s="1715">
        <f t="shared" si="52"/>
        <v>0</v>
      </c>
      <c r="R485" s="1715">
        <f t="shared" si="54"/>
        <v>45200</v>
      </c>
      <c r="S485" s="1715">
        <f t="shared" si="53"/>
        <v>100</v>
      </c>
      <c r="T485" s="1715"/>
      <c r="U485" s="1715">
        <f t="shared" si="55"/>
        <v>0</v>
      </c>
      <c r="V485" s="2658"/>
    </row>
    <row r="486" spans="1:22" s="1041" customFormat="1" ht="106.5" customHeight="1">
      <c r="A486" s="2658">
        <v>228</v>
      </c>
      <c r="B486" s="2735" t="s">
        <v>4717</v>
      </c>
      <c r="C486" s="2740" t="s">
        <v>4968</v>
      </c>
      <c r="D486" s="2741"/>
      <c r="E486" s="2742" t="s">
        <v>559</v>
      </c>
      <c r="F486" s="2738"/>
      <c r="G486" s="2738">
        <v>45200</v>
      </c>
      <c r="H486" s="2738"/>
      <c r="I486" s="2738"/>
      <c r="J486" s="2738"/>
      <c r="K486" s="2738"/>
      <c r="L486" s="2743"/>
      <c r="M486" s="2738">
        <f>'[10]NFMA46 '!I523</f>
        <v>45200</v>
      </c>
      <c r="N486" s="2738">
        <f>'[10]NFMA46 '!L523</f>
        <v>45200</v>
      </c>
      <c r="O486" s="2738">
        <f t="shared" si="51"/>
        <v>100</v>
      </c>
      <c r="P486" s="2739">
        <f>'[10]NFMA46 '!K523</f>
        <v>0</v>
      </c>
      <c r="Q486" s="1715">
        <f t="shared" si="52"/>
        <v>0</v>
      </c>
      <c r="R486" s="1715">
        <f t="shared" si="54"/>
        <v>45200</v>
      </c>
      <c r="S486" s="1715">
        <f t="shared" si="53"/>
        <v>100</v>
      </c>
      <c r="T486" s="1715"/>
      <c r="U486" s="1715">
        <f t="shared" si="55"/>
        <v>0</v>
      </c>
      <c r="V486" s="2658"/>
    </row>
    <row r="487" spans="1:22" s="1041" customFormat="1" ht="106.5" customHeight="1">
      <c r="A487" s="2658">
        <v>229</v>
      </c>
      <c r="B487" s="2735" t="s">
        <v>5931</v>
      </c>
      <c r="C487" s="2740" t="s">
        <v>4969</v>
      </c>
      <c r="D487" s="2741"/>
      <c r="E487" s="2742" t="s">
        <v>559</v>
      </c>
      <c r="F487" s="2738"/>
      <c r="G487" s="2738">
        <v>45200</v>
      </c>
      <c r="H487" s="2738"/>
      <c r="I487" s="2738"/>
      <c r="J487" s="2738"/>
      <c r="K487" s="2738"/>
      <c r="L487" s="2743"/>
      <c r="M487" s="2738">
        <f>'[10]NFMA46 '!I524</f>
        <v>45200</v>
      </c>
      <c r="N487" s="2738">
        <f>'[10]NFMA46 '!L524</f>
        <v>45200</v>
      </c>
      <c r="O487" s="2738">
        <f t="shared" si="51"/>
        <v>100</v>
      </c>
      <c r="P487" s="2739">
        <f>'[10]NFMA46 '!K524</f>
        <v>0</v>
      </c>
      <c r="Q487" s="1715">
        <f t="shared" si="52"/>
        <v>0</v>
      </c>
      <c r="R487" s="1715">
        <f t="shared" si="54"/>
        <v>45200</v>
      </c>
      <c r="S487" s="1715">
        <f t="shared" si="53"/>
        <v>100</v>
      </c>
      <c r="T487" s="1715"/>
      <c r="U487" s="1715">
        <f t="shared" si="55"/>
        <v>0</v>
      </c>
      <c r="V487" s="2658"/>
    </row>
    <row r="488" spans="1:22" s="1041" customFormat="1" ht="106.5" customHeight="1">
      <c r="A488" s="2658">
        <v>230</v>
      </c>
      <c r="B488" s="2735" t="s">
        <v>5932</v>
      </c>
      <c r="C488" s="2740" t="s">
        <v>4970</v>
      </c>
      <c r="D488" s="2741"/>
      <c r="E488" s="2742" t="s">
        <v>568</v>
      </c>
      <c r="F488" s="2738"/>
      <c r="G488" s="2738">
        <v>45200</v>
      </c>
      <c r="H488" s="2738"/>
      <c r="I488" s="2738"/>
      <c r="J488" s="2738"/>
      <c r="K488" s="2738"/>
      <c r="L488" s="2743">
        <v>2300</v>
      </c>
      <c r="M488" s="2738">
        <f>'[10]NFMA46 '!I525-L488</f>
        <v>42900</v>
      </c>
      <c r="N488" s="2738">
        <f>'[10]NFMA46 '!L525</f>
        <v>42900</v>
      </c>
      <c r="O488" s="2738">
        <f t="shared" si="51"/>
        <v>100</v>
      </c>
      <c r="P488" s="2739">
        <f>'[10]NFMA46 '!K525</f>
        <v>0</v>
      </c>
      <c r="Q488" s="1715">
        <f t="shared" si="52"/>
        <v>0</v>
      </c>
      <c r="R488" s="1715">
        <f t="shared" si="54"/>
        <v>42900</v>
      </c>
      <c r="S488" s="1715">
        <f t="shared" si="53"/>
        <v>100</v>
      </c>
      <c r="T488" s="1715"/>
      <c r="U488" s="1715">
        <f t="shared" si="55"/>
        <v>0</v>
      </c>
      <c r="V488" s="2658"/>
    </row>
    <row r="489" spans="1:22" s="1041" customFormat="1" ht="106.5" customHeight="1">
      <c r="A489" s="2658">
        <v>231</v>
      </c>
      <c r="B489" s="2735" t="s">
        <v>5933</v>
      </c>
      <c r="C489" s="2740" t="s">
        <v>4972</v>
      </c>
      <c r="D489" s="2741"/>
      <c r="E489" s="2742" t="s">
        <v>568</v>
      </c>
      <c r="F489" s="2738"/>
      <c r="G489" s="2738">
        <v>45200</v>
      </c>
      <c r="H489" s="2738"/>
      <c r="I489" s="2738"/>
      <c r="J489" s="2738"/>
      <c r="K489" s="2738"/>
      <c r="L489" s="2743">
        <v>11216</v>
      </c>
      <c r="M489" s="2738">
        <f>'[10]NFMA46 '!I526-L489</f>
        <v>33984</v>
      </c>
      <c r="N489" s="2738">
        <f>'[10]NFMA46 '!L526</f>
        <v>0</v>
      </c>
      <c r="O489" s="2738">
        <f t="shared" si="51"/>
        <v>0</v>
      </c>
      <c r="P489" s="2739">
        <f>'[10]NFMA46 '!K526</f>
        <v>33984</v>
      </c>
      <c r="Q489" s="1715">
        <f t="shared" si="52"/>
        <v>100</v>
      </c>
      <c r="R489" s="1715">
        <f t="shared" si="54"/>
        <v>33984</v>
      </c>
      <c r="S489" s="1715">
        <f t="shared" si="53"/>
        <v>100</v>
      </c>
      <c r="T489" s="1715"/>
      <c r="U489" s="1715">
        <f t="shared" si="55"/>
        <v>0</v>
      </c>
      <c r="V489" s="2658"/>
    </row>
    <row r="490" spans="1:22" s="1041" customFormat="1" ht="106.5" customHeight="1">
      <c r="A490" s="2658">
        <v>232</v>
      </c>
      <c r="B490" s="2735" t="s">
        <v>4746</v>
      </c>
      <c r="C490" s="2740" t="s">
        <v>4973</v>
      </c>
      <c r="D490" s="2741"/>
      <c r="E490" s="2742" t="s">
        <v>554</v>
      </c>
      <c r="F490" s="2738"/>
      <c r="G490" s="2738">
        <v>45200</v>
      </c>
      <c r="H490" s="2738"/>
      <c r="I490" s="2738"/>
      <c r="J490" s="2738">
        <v>7073</v>
      </c>
      <c r="K490" s="2738"/>
      <c r="L490" s="2743"/>
      <c r="M490" s="2738">
        <f>'[10]NFMA46 '!I527</f>
        <v>38127</v>
      </c>
      <c r="N490" s="2738">
        <f>'[10]NFMA46 '!L527</f>
        <v>0</v>
      </c>
      <c r="O490" s="2738">
        <f t="shared" si="51"/>
        <v>0</v>
      </c>
      <c r="P490" s="2739">
        <f>'[10]NFMA46 '!K527</f>
        <v>38127</v>
      </c>
      <c r="Q490" s="1715">
        <f t="shared" si="52"/>
        <v>100</v>
      </c>
      <c r="R490" s="1715">
        <f t="shared" si="54"/>
        <v>38127</v>
      </c>
      <c r="S490" s="1715">
        <f t="shared" si="53"/>
        <v>100</v>
      </c>
      <c r="T490" s="1715"/>
      <c r="U490" s="1715">
        <f t="shared" si="55"/>
        <v>0</v>
      </c>
      <c r="V490" s="2658"/>
    </row>
    <row r="491" spans="1:22" s="1041" customFormat="1" ht="106.5" customHeight="1">
      <c r="A491" s="2658">
        <v>233</v>
      </c>
      <c r="B491" s="2735" t="s">
        <v>4730</v>
      </c>
      <c r="C491" s="2740" t="s">
        <v>4975</v>
      </c>
      <c r="D491" s="2741"/>
      <c r="E491" s="2742" t="s">
        <v>554</v>
      </c>
      <c r="F491" s="2738"/>
      <c r="G491" s="2738">
        <v>135600</v>
      </c>
      <c r="H491" s="2738"/>
      <c r="I491" s="2738"/>
      <c r="J491" s="2738">
        <v>9000</v>
      </c>
      <c r="K491" s="2738"/>
      <c r="L491" s="2743"/>
      <c r="M491" s="2738">
        <f>'[10]NFMA46 '!I528</f>
        <v>126600</v>
      </c>
      <c r="N491" s="2738">
        <f>'[10]NFMA46 '!L528</f>
        <v>81400</v>
      </c>
      <c r="O491" s="2738">
        <f t="shared" si="51"/>
        <v>64.296998420221172</v>
      </c>
      <c r="P491" s="2739">
        <f>'[10]NFMA46 '!K528</f>
        <v>45200</v>
      </c>
      <c r="Q491" s="1715">
        <f t="shared" si="52"/>
        <v>35.703001579778828</v>
      </c>
      <c r="R491" s="1715">
        <f t="shared" si="54"/>
        <v>126600</v>
      </c>
      <c r="S491" s="1715">
        <f t="shared" si="53"/>
        <v>100</v>
      </c>
      <c r="T491" s="1715"/>
      <c r="U491" s="1715">
        <f t="shared" si="55"/>
        <v>0</v>
      </c>
      <c r="V491" s="2658"/>
    </row>
    <row r="492" spans="1:22" s="1041" customFormat="1" ht="106.5" customHeight="1">
      <c r="A492" s="2658">
        <v>234</v>
      </c>
      <c r="B492" s="2735" t="s">
        <v>4737</v>
      </c>
      <c r="C492" s="2740" t="s">
        <v>4977</v>
      </c>
      <c r="D492" s="2741"/>
      <c r="E492" s="2742" t="s">
        <v>554</v>
      </c>
      <c r="F492" s="2738"/>
      <c r="G492" s="2738">
        <v>45200</v>
      </c>
      <c r="H492" s="2738"/>
      <c r="I492" s="2738"/>
      <c r="J492" s="2738">
        <v>9000</v>
      </c>
      <c r="K492" s="2738"/>
      <c r="L492" s="2743">
        <v>10943</v>
      </c>
      <c r="M492" s="2738">
        <f>'[10]NFMA46 '!I529-L492</f>
        <v>25257</v>
      </c>
      <c r="N492" s="2738">
        <f>'[10]NFMA46 '!L529</f>
        <v>0</v>
      </c>
      <c r="O492" s="2738">
        <f t="shared" si="51"/>
        <v>0</v>
      </c>
      <c r="P492" s="2739">
        <f>'[10]NFMA46 '!K529</f>
        <v>25257</v>
      </c>
      <c r="Q492" s="1715">
        <f t="shared" si="52"/>
        <v>100</v>
      </c>
      <c r="R492" s="1715">
        <f t="shared" si="54"/>
        <v>25257</v>
      </c>
      <c r="S492" s="1715">
        <f t="shared" si="53"/>
        <v>100</v>
      </c>
      <c r="T492" s="1715"/>
      <c r="U492" s="1715">
        <f t="shared" si="55"/>
        <v>0</v>
      </c>
      <c r="V492" s="2658"/>
    </row>
    <row r="493" spans="1:22" s="1041" customFormat="1" ht="106.5" customHeight="1">
      <c r="A493" s="2658">
        <v>235</v>
      </c>
      <c r="B493" s="2735" t="s">
        <v>4723</v>
      </c>
      <c r="C493" s="2740" t="s">
        <v>4979</v>
      </c>
      <c r="D493" s="2741"/>
      <c r="E493" s="2742" t="s">
        <v>554</v>
      </c>
      <c r="F493" s="2738"/>
      <c r="G493" s="2738">
        <v>45200</v>
      </c>
      <c r="H493" s="2738"/>
      <c r="I493" s="2738"/>
      <c r="J493" s="2738">
        <v>7100</v>
      </c>
      <c r="K493" s="2738"/>
      <c r="L493" s="2743"/>
      <c r="M493" s="2738">
        <f>'[10]NFMA46 '!I530</f>
        <v>38100</v>
      </c>
      <c r="N493" s="2738">
        <f>'[10]NFMA46 '!L530</f>
        <v>0</v>
      </c>
      <c r="O493" s="2738">
        <f t="shared" si="51"/>
        <v>0</v>
      </c>
      <c r="P493" s="2739">
        <f>'[10]NFMA46 '!K530</f>
        <v>38100</v>
      </c>
      <c r="Q493" s="1715">
        <f t="shared" si="52"/>
        <v>100</v>
      </c>
      <c r="R493" s="1715">
        <f t="shared" si="54"/>
        <v>38100</v>
      </c>
      <c r="S493" s="1715">
        <f t="shared" si="53"/>
        <v>100</v>
      </c>
      <c r="T493" s="1715"/>
      <c r="U493" s="1715">
        <f t="shared" si="55"/>
        <v>0</v>
      </c>
      <c r="V493" s="2658"/>
    </row>
    <row r="494" spans="1:22" s="1041" customFormat="1" ht="106.5" customHeight="1">
      <c r="A494" s="2658">
        <v>236</v>
      </c>
      <c r="B494" s="2735" t="s">
        <v>4743</v>
      </c>
      <c r="C494" s="2740" t="s">
        <v>4980</v>
      </c>
      <c r="D494" s="2741"/>
      <c r="E494" s="2742" t="s">
        <v>554</v>
      </c>
      <c r="F494" s="2738"/>
      <c r="G494" s="2738">
        <v>45200</v>
      </c>
      <c r="H494" s="2738"/>
      <c r="I494" s="2738"/>
      <c r="J494" s="2738">
        <v>7100</v>
      </c>
      <c r="K494" s="2738"/>
      <c r="L494" s="2743"/>
      <c r="M494" s="2738">
        <f>'[10]NFMA46 '!I532</f>
        <v>38100</v>
      </c>
      <c r="N494" s="2738">
        <f>'[10]NFMA46 '!L532</f>
        <v>33920</v>
      </c>
      <c r="O494" s="2738">
        <f t="shared" si="51"/>
        <v>89.028871391076109</v>
      </c>
      <c r="P494" s="2739">
        <f>'[10]NFMA46 '!K532</f>
        <v>0</v>
      </c>
      <c r="Q494" s="1715">
        <f t="shared" si="52"/>
        <v>0</v>
      </c>
      <c r="R494" s="1715">
        <f t="shared" si="54"/>
        <v>33920</v>
      </c>
      <c r="S494" s="1715">
        <f t="shared" si="53"/>
        <v>89.028871391076109</v>
      </c>
      <c r="T494" s="1715"/>
      <c r="U494" s="1715">
        <f t="shared" si="55"/>
        <v>4180</v>
      </c>
      <c r="V494" s="2658"/>
    </row>
    <row r="495" spans="1:22" s="1041" customFormat="1" ht="106.5" customHeight="1">
      <c r="A495" s="2658">
        <v>237</v>
      </c>
      <c r="B495" s="2735" t="s">
        <v>4721</v>
      </c>
      <c r="C495" s="2740" t="s">
        <v>4982</v>
      </c>
      <c r="D495" s="2741"/>
      <c r="E495" s="2742" t="s">
        <v>554</v>
      </c>
      <c r="F495" s="2738"/>
      <c r="G495" s="2738">
        <v>90400</v>
      </c>
      <c r="H495" s="2738"/>
      <c r="I495" s="2738"/>
      <c r="J495" s="2738">
        <v>18000</v>
      </c>
      <c r="K495" s="2738"/>
      <c r="L495" s="2743">
        <v>24300</v>
      </c>
      <c r="M495" s="2738">
        <f>'[10]NFMA46 '!I533-L495</f>
        <v>48100</v>
      </c>
      <c r="N495" s="2738">
        <f>'[10]NFMA46 '!L533</f>
        <v>0</v>
      </c>
      <c r="O495" s="2738">
        <f t="shared" si="51"/>
        <v>0</v>
      </c>
      <c r="P495" s="2739">
        <f>'[10]NFMA46 '!K533</f>
        <v>48100</v>
      </c>
      <c r="Q495" s="1715">
        <f t="shared" si="52"/>
        <v>100</v>
      </c>
      <c r="R495" s="1715">
        <f t="shared" si="54"/>
        <v>48100</v>
      </c>
      <c r="S495" s="1715">
        <f t="shared" si="53"/>
        <v>100</v>
      </c>
      <c r="T495" s="1715"/>
      <c r="U495" s="1715">
        <f t="shared" si="55"/>
        <v>0</v>
      </c>
      <c r="V495" s="2658"/>
    </row>
    <row r="496" spans="1:22" s="1041" customFormat="1" ht="106.5" customHeight="1">
      <c r="A496" s="2658">
        <v>238</v>
      </c>
      <c r="B496" s="2735" t="s">
        <v>4719</v>
      </c>
      <c r="C496" s="2740" t="s">
        <v>4985</v>
      </c>
      <c r="D496" s="2741"/>
      <c r="E496" s="2742" t="s">
        <v>554</v>
      </c>
      <c r="F496" s="2738"/>
      <c r="G496" s="2738">
        <v>45200</v>
      </c>
      <c r="H496" s="2738"/>
      <c r="I496" s="2738"/>
      <c r="J496" s="2738">
        <v>7059</v>
      </c>
      <c r="K496" s="2738"/>
      <c r="L496" s="2743"/>
      <c r="M496" s="2738">
        <f>'[10]NFMA46 '!I535</f>
        <v>38141</v>
      </c>
      <c r="N496" s="2738">
        <f>'[10]NFMA46 '!L535</f>
        <v>38141</v>
      </c>
      <c r="O496" s="2738">
        <f t="shared" si="51"/>
        <v>100</v>
      </c>
      <c r="P496" s="2739">
        <f>'[10]NFMA46 '!K535</f>
        <v>0</v>
      </c>
      <c r="Q496" s="1715">
        <f t="shared" si="52"/>
        <v>0</v>
      </c>
      <c r="R496" s="1715">
        <f t="shared" si="54"/>
        <v>38141</v>
      </c>
      <c r="S496" s="1715">
        <f t="shared" si="53"/>
        <v>100</v>
      </c>
      <c r="T496" s="1715"/>
      <c r="U496" s="1715">
        <f t="shared" si="55"/>
        <v>0</v>
      </c>
      <c r="V496" s="2658"/>
    </row>
    <row r="497" spans="1:22" s="1041" customFormat="1" ht="106.5" customHeight="1">
      <c r="A497" s="2658">
        <v>239</v>
      </c>
      <c r="B497" s="2735" t="s">
        <v>5934</v>
      </c>
      <c r="C497" s="2740" t="s">
        <v>4987</v>
      </c>
      <c r="D497" s="2741"/>
      <c r="E497" s="2742" t="s">
        <v>1180</v>
      </c>
      <c r="F497" s="2738"/>
      <c r="G497" s="2738">
        <v>90400</v>
      </c>
      <c r="H497" s="2738"/>
      <c r="I497" s="2738"/>
      <c r="J497" s="2738"/>
      <c r="K497" s="2738"/>
      <c r="L497" s="2743"/>
      <c r="M497" s="2738">
        <f>'[10]NFMA46 '!I537</f>
        <v>90400</v>
      </c>
      <c r="N497" s="2738">
        <f>'[10]NFMA46 '!L537</f>
        <v>90400</v>
      </c>
      <c r="O497" s="2738">
        <f t="shared" si="51"/>
        <v>100</v>
      </c>
      <c r="P497" s="2739">
        <f>'[10]NFMA46 '!K537</f>
        <v>0</v>
      </c>
      <c r="Q497" s="1715">
        <f t="shared" si="52"/>
        <v>0</v>
      </c>
      <c r="R497" s="1715">
        <f t="shared" si="54"/>
        <v>90400</v>
      </c>
      <c r="S497" s="1715">
        <f t="shared" si="53"/>
        <v>100</v>
      </c>
      <c r="T497" s="1715"/>
      <c r="U497" s="1715">
        <f t="shared" si="55"/>
        <v>0</v>
      </c>
      <c r="V497" s="2658"/>
    </row>
    <row r="498" spans="1:22" s="1041" customFormat="1" ht="106.5" customHeight="1">
      <c r="A498" s="2658">
        <v>240</v>
      </c>
      <c r="B498" s="2735" t="s">
        <v>5350</v>
      </c>
      <c r="C498" s="2740" t="s">
        <v>4988</v>
      </c>
      <c r="D498" s="2741"/>
      <c r="E498" s="2742" t="s">
        <v>1182</v>
      </c>
      <c r="F498" s="2738"/>
      <c r="G498" s="2738">
        <v>90400</v>
      </c>
      <c r="H498" s="2738"/>
      <c r="I498" s="2738"/>
      <c r="J498" s="2738"/>
      <c r="K498" s="2738"/>
      <c r="L498" s="2743"/>
      <c r="M498" s="2738">
        <f>'[10]NFMA46 '!I538</f>
        <v>90400</v>
      </c>
      <c r="N498" s="2738">
        <f>'[10]NFMA46 '!L538</f>
        <v>90400</v>
      </c>
      <c r="O498" s="2738">
        <f t="shared" si="51"/>
        <v>100</v>
      </c>
      <c r="P498" s="2739">
        <f>'[10]NFMA46 '!K538</f>
        <v>0</v>
      </c>
      <c r="Q498" s="1715">
        <f t="shared" si="52"/>
        <v>0</v>
      </c>
      <c r="R498" s="1715">
        <f t="shared" si="54"/>
        <v>90400</v>
      </c>
      <c r="S498" s="1715">
        <f t="shared" si="53"/>
        <v>100</v>
      </c>
      <c r="T498" s="1715"/>
      <c r="U498" s="1715">
        <f t="shared" si="55"/>
        <v>0</v>
      </c>
      <c r="V498" s="2658"/>
    </row>
    <row r="499" spans="1:22" s="1041" customFormat="1" ht="106.5" customHeight="1">
      <c r="A499" s="2658">
        <v>241</v>
      </c>
      <c r="B499" s="2735" t="s">
        <v>5935</v>
      </c>
      <c r="C499" s="2740" t="s">
        <v>4990</v>
      </c>
      <c r="D499" s="2741"/>
      <c r="E499" s="2742" t="s">
        <v>565</v>
      </c>
      <c r="F499" s="2738"/>
      <c r="G499" s="2738">
        <v>226000</v>
      </c>
      <c r="H499" s="2738"/>
      <c r="I499" s="2738"/>
      <c r="J499" s="2738"/>
      <c r="K499" s="2738"/>
      <c r="L499" s="2743"/>
      <c r="M499" s="2738">
        <f>'[10]NFMA46 '!I540</f>
        <v>226000</v>
      </c>
      <c r="N499" s="2738">
        <f>'[10]NFMA46 '!L540</f>
        <v>45200</v>
      </c>
      <c r="O499" s="2738">
        <f t="shared" si="51"/>
        <v>20</v>
      </c>
      <c r="P499" s="2739">
        <f>'[10]NFMA46 '!K540</f>
        <v>180800</v>
      </c>
      <c r="Q499" s="1715">
        <f t="shared" si="52"/>
        <v>80</v>
      </c>
      <c r="R499" s="1715">
        <f t="shared" si="54"/>
        <v>226000</v>
      </c>
      <c r="S499" s="1715">
        <f t="shared" si="53"/>
        <v>100</v>
      </c>
      <c r="T499" s="1715"/>
      <c r="U499" s="1715">
        <f t="shared" si="55"/>
        <v>0</v>
      </c>
      <c r="V499" s="2658"/>
    </row>
    <row r="500" spans="1:22" s="1041" customFormat="1" ht="106.5" customHeight="1">
      <c r="A500" s="2658">
        <v>242</v>
      </c>
      <c r="B500" s="2735" t="s">
        <v>4767</v>
      </c>
      <c r="C500" s="2740" t="s">
        <v>4992</v>
      </c>
      <c r="D500" s="2741"/>
      <c r="E500" s="2742" t="s">
        <v>565</v>
      </c>
      <c r="F500" s="2738"/>
      <c r="G500" s="2738">
        <v>90400</v>
      </c>
      <c r="H500" s="2738"/>
      <c r="I500" s="2738"/>
      <c r="J500" s="2738"/>
      <c r="K500" s="2738"/>
      <c r="L500" s="2743"/>
      <c r="M500" s="2738">
        <f>'[10]NFMA46 '!I544</f>
        <v>90400</v>
      </c>
      <c r="N500" s="2738">
        <f>'[10]NFMA46 '!L544</f>
        <v>90400</v>
      </c>
      <c r="O500" s="2738">
        <f t="shared" si="51"/>
        <v>100</v>
      </c>
      <c r="P500" s="2739">
        <f>'[10]NFMA46 '!K544</f>
        <v>0</v>
      </c>
      <c r="Q500" s="1715">
        <f t="shared" si="52"/>
        <v>0</v>
      </c>
      <c r="R500" s="1715">
        <f t="shared" si="54"/>
        <v>90400</v>
      </c>
      <c r="S500" s="1715">
        <f t="shared" si="53"/>
        <v>100</v>
      </c>
      <c r="T500" s="1715"/>
      <c r="U500" s="1715">
        <f t="shared" si="55"/>
        <v>0</v>
      </c>
      <c r="V500" s="2658"/>
    </row>
    <row r="501" spans="1:22" s="1041" customFormat="1" ht="106.5" customHeight="1">
      <c r="A501" s="2658">
        <v>243</v>
      </c>
      <c r="B501" s="2735" t="s">
        <v>5936</v>
      </c>
      <c r="C501" s="2740" t="s">
        <v>4993</v>
      </c>
      <c r="D501" s="2741"/>
      <c r="E501" s="2742" t="s">
        <v>565</v>
      </c>
      <c r="F501" s="2738"/>
      <c r="G501" s="2738">
        <v>45200</v>
      </c>
      <c r="H501" s="2738"/>
      <c r="I501" s="2738"/>
      <c r="J501" s="2738"/>
      <c r="K501" s="2738"/>
      <c r="L501" s="2743"/>
      <c r="M501" s="2738">
        <f>'[10]NFMA46 '!I545</f>
        <v>45200</v>
      </c>
      <c r="N501" s="2738">
        <f>'[10]NFMA46 '!L545</f>
        <v>0</v>
      </c>
      <c r="O501" s="2738">
        <f t="shared" si="51"/>
        <v>0</v>
      </c>
      <c r="P501" s="2739">
        <f>'[10]NFMA46 '!K545</f>
        <v>45200</v>
      </c>
      <c r="Q501" s="1715">
        <f t="shared" si="52"/>
        <v>100</v>
      </c>
      <c r="R501" s="1715">
        <f t="shared" si="54"/>
        <v>45200</v>
      </c>
      <c r="S501" s="1715">
        <f t="shared" si="53"/>
        <v>100</v>
      </c>
      <c r="T501" s="1715"/>
      <c r="U501" s="1715">
        <f t="shared" si="55"/>
        <v>0</v>
      </c>
      <c r="V501" s="2658"/>
    </row>
    <row r="502" spans="1:22" s="1041" customFormat="1" ht="106.5" customHeight="1">
      <c r="A502" s="2658">
        <v>244</v>
      </c>
      <c r="B502" s="2735" t="s">
        <v>5937</v>
      </c>
      <c r="C502" s="2740" t="s">
        <v>4994</v>
      </c>
      <c r="D502" s="2741"/>
      <c r="E502" s="2742" t="s">
        <v>565</v>
      </c>
      <c r="F502" s="2738"/>
      <c r="G502" s="2738">
        <v>45200</v>
      </c>
      <c r="H502" s="2738"/>
      <c r="I502" s="2738"/>
      <c r="J502" s="2738"/>
      <c r="K502" s="2738"/>
      <c r="L502" s="2743"/>
      <c r="M502" s="2738">
        <f>'[10]NFMA46 '!I546</f>
        <v>45200</v>
      </c>
      <c r="N502" s="2738">
        <f>'[10]NFMA46 '!L546</f>
        <v>45200</v>
      </c>
      <c r="O502" s="2738">
        <f t="shared" si="51"/>
        <v>100</v>
      </c>
      <c r="P502" s="2739">
        <f>'[10]NFMA46 '!K546</f>
        <v>0</v>
      </c>
      <c r="Q502" s="1715">
        <f t="shared" si="52"/>
        <v>0</v>
      </c>
      <c r="R502" s="1715">
        <f t="shared" si="54"/>
        <v>45200</v>
      </c>
      <c r="S502" s="1715">
        <f t="shared" si="53"/>
        <v>100</v>
      </c>
      <c r="T502" s="1715"/>
      <c r="U502" s="1715">
        <f t="shared" si="55"/>
        <v>0</v>
      </c>
      <c r="V502" s="2658"/>
    </row>
    <row r="503" spans="1:22" s="1041" customFormat="1" ht="106.5" customHeight="1">
      <c r="A503" s="2658">
        <v>245</v>
      </c>
      <c r="B503" s="2735" t="s">
        <v>4770</v>
      </c>
      <c r="C503" s="2740" t="s">
        <v>4995</v>
      </c>
      <c r="D503" s="2741"/>
      <c r="E503" s="2742" t="s">
        <v>565</v>
      </c>
      <c r="F503" s="2738"/>
      <c r="G503" s="2738">
        <v>90400</v>
      </c>
      <c r="H503" s="2738"/>
      <c r="I503" s="2738"/>
      <c r="J503" s="2738"/>
      <c r="K503" s="2738"/>
      <c r="L503" s="2743"/>
      <c r="M503" s="2738">
        <f>'[10]NFMA46 '!I547</f>
        <v>90400</v>
      </c>
      <c r="N503" s="2738">
        <f>'[10]NFMA46 '!L547</f>
        <v>90400</v>
      </c>
      <c r="O503" s="2738">
        <f t="shared" si="51"/>
        <v>100</v>
      </c>
      <c r="P503" s="2739">
        <f>'[10]NFMA46 '!K547</f>
        <v>0</v>
      </c>
      <c r="Q503" s="1715">
        <f t="shared" si="52"/>
        <v>0</v>
      </c>
      <c r="R503" s="1715">
        <f t="shared" si="54"/>
        <v>90400</v>
      </c>
      <c r="S503" s="1715">
        <f t="shared" si="53"/>
        <v>100</v>
      </c>
      <c r="T503" s="1715"/>
      <c r="U503" s="1715">
        <f t="shared" si="55"/>
        <v>0</v>
      </c>
      <c r="V503" s="2658"/>
    </row>
    <row r="504" spans="1:22" s="1041" customFormat="1" ht="106.5" customHeight="1">
      <c r="A504" s="2658">
        <v>246</v>
      </c>
      <c r="B504" s="2735" t="s">
        <v>4756</v>
      </c>
      <c r="C504" s="2740" t="s">
        <v>4996</v>
      </c>
      <c r="D504" s="2741"/>
      <c r="E504" s="2742" t="s">
        <v>565</v>
      </c>
      <c r="F504" s="2738"/>
      <c r="G504" s="2738">
        <v>90400</v>
      </c>
      <c r="H504" s="2738"/>
      <c r="I504" s="2738"/>
      <c r="J504" s="2738"/>
      <c r="K504" s="2738"/>
      <c r="L504" s="2743"/>
      <c r="M504" s="2738">
        <f>'[10]NFMA46 '!I548</f>
        <v>90400</v>
      </c>
      <c r="N504" s="2738">
        <f>'[10]NFMA46 '!L548</f>
        <v>0</v>
      </c>
      <c r="O504" s="2738">
        <f t="shared" si="51"/>
        <v>0</v>
      </c>
      <c r="P504" s="2739">
        <f>'[10]NFMA46 '!K548</f>
        <v>90400</v>
      </c>
      <c r="Q504" s="1715">
        <f t="shared" si="52"/>
        <v>100</v>
      </c>
      <c r="R504" s="1715">
        <f t="shared" si="54"/>
        <v>90400</v>
      </c>
      <c r="S504" s="1715">
        <f t="shared" si="53"/>
        <v>100</v>
      </c>
      <c r="T504" s="1715"/>
      <c r="U504" s="1715">
        <f t="shared" si="55"/>
        <v>0</v>
      </c>
      <c r="V504" s="2658"/>
    </row>
    <row r="505" spans="1:22" s="1041" customFormat="1" ht="106.5" customHeight="1">
      <c r="A505" s="2658">
        <v>247</v>
      </c>
      <c r="B505" s="2735" t="s">
        <v>4758</v>
      </c>
      <c r="C505" s="2740" t="s">
        <v>4997</v>
      </c>
      <c r="D505" s="2741"/>
      <c r="E505" s="2742" t="s">
        <v>565</v>
      </c>
      <c r="F505" s="2738"/>
      <c r="G505" s="2738">
        <v>45200</v>
      </c>
      <c r="H505" s="2738"/>
      <c r="I505" s="2738"/>
      <c r="J505" s="2738"/>
      <c r="K505" s="2738"/>
      <c r="L505" s="2743"/>
      <c r="M505" s="2738">
        <f>'[10]NFMA46 '!I549</f>
        <v>45200</v>
      </c>
      <c r="N505" s="2738">
        <f>'[10]NFMA46 '!L549</f>
        <v>45200</v>
      </c>
      <c r="O505" s="2738">
        <f t="shared" si="51"/>
        <v>100</v>
      </c>
      <c r="P505" s="2739">
        <f>'[10]NFMA46 '!K549</f>
        <v>0</v>
      </c>
      <c r="Q505" s="1715">
        <f t="shared" si="52"/>
        <v>0</v>
      </c>
      <c r="R505" s="1715">
        <f t="shared" si="54"/>
        <v>45200</v>
      </c>
      <c r="S505" s="1715">
        <f t="shared" si="53"/>
        <v>100</v>
      </c>
      <c r="T505" s="1715"/>
      <c r="U505" s="1715">
        <f t="shared" si="55"/>
        <v>0</v>
      </c>
      <c r="V505" s="2658"/>
    </row>
    <row r="506" spans="1:22" s="1041" customFormat="1" ht="106.5" customHeight="1">
      <c r="A506" s="2658">
        <v>248</v>
      </c>
      <c r="B506" s="2735" t="s">
        <v>4762</v>
      </c>
      <c r="C506" s="2740" t="s">
        <v>4999</v>
      </c>
      <c r="D506" s="2741"/>
      <c r="E506" s="2742" t="s">
        <v>565</v>
      </c>
      <c r="F506" s="2738"/>
      <c r="G506" s="2738">
        <v>45200</v>
      </c>
      <c r="H506" s="2738"/>
      <c r="I506" s="2738"/>
      <c r="J506" s="2738"/>
      <c r="K506" s="2738"/>
      <c r="L506" s="2743">
        <v>10048</v>
      </c>
      <c r="M506" s="2738">
        <f>'[10]NFMA46 '!I550-L506</f>
        <v>35152</v>
      </c>
      <c r="N506" s="2738">
        <f>'[10]NFMA46 '!L550</f>
        <v>35152</v>
      </c>
      <c r="O506" s="2738">
        <f t="shared" si="51"/>
        <v>100</v>
      </c>
      <c r="P506" s="2739">
        <f>'[10]NFMA46 '!K550</f>
        <v>0</v>
      </c>
      <c r="Q506" s="1715">
        <f t="shared" si="52"/>
        <v>0</v>
      </c>
      <c r="R506" s="1715">
        <f t="shared" si="54"/>
        <v>35152</v>
      </c>
      <c r="S506" s="1715">
        <f t="shared" si="53"/>
        <v>100</v>
      </c>
      <c r="T506" s="1715"/>
      <c r="U506" s="1715">
        <f t="shared" si="55"/>
        <v>0</v>
      </c>
      <c r="V506" s="2658"/>
    </row>
    <row r="507" spans="1:22" s="1041" customFormat="1" ht="106.5" customHeight="1">
      <c r="A507" s="2658">
        <v>249</v>
      </c>
      <c r="B507" s="2735" t="s">
        <v>4777</v>
      </c>
      <c r="C507" s="2740" t="s">
        <v>5000</v>
      </c>
      <c r="D507" s="2741"/>
      <c r="E507" s="2742" t="s">
        <v>347</v>
      </c>
      <c r="F507" s="2738"/>
      <c r="G507" s="2738">
        <v>90400</v>
      </c>
      <c r="H507" s="2738"/>
      <c r="I507" s="2738"/>
      <c r="J507" s="2738"/>
      <c r="K507" s="2738"/>
      <c r="L507" s="2743"/>
      <c r="M507" s="2738">
        <f>'[10]NFMA46 '!I551</f>
        <v>90400</v>
      </c>
      <c r="N507" s="2738">
        <f>'[10]NFMA46 '!L551</f>
        <v>0</v>
      </c>
      <c r="O507" s="2738">
        <f t="shared" si="51"/>
        <v>0</v>
      </c>
      <c r="P507" s="2739">
        <f>'[10]NFMA46 '!K551</f>
        <v>90400</v>
      </c>
      <c r="Q507" s="1715">
        <f t="shared" si="52"/>
        <v>100</v>
      </c>
      <c r="R507" s="1715">
        <f t="shared" si="54"/>
        <v>90400</v>
      </c>
      <c r="S507" s="1715">
        <f t="shared" si="53"/>
        <v>100</v>
      </c>
      <c r="T507" s="1715"/>
      <c r="U507" s="1715">
        <f t="shared" si="55"/>
        <v>0</v>
      </c>
      <c r="V507" s="2658"/>
    </row>
    <row r="508" spans="1:22" s="1041" customFormat="1" ht="106.5" customHeight="1">
      <c r="A508" s="2658">
        <v>250</v>
      </c>
      <c r="B508" s="2735" t="s">
        <v>4772</v>
      </c>
      <c r="C508" s="2740" t="s">
        <v>5001</v>
      </c>
      <c r="D508" s="2741"/>
      <c r="E508" s="2742" t="s">
        <v>347</v>
      </c>
      <c r="F508" s="2738"/>
      <c r="G508" s="2738">
        <v>90400</v>
      </c>
      <c r="H508" s="2738"/>
      <c r="I508" s="2738"/>
      <c r="J508" s="2738"/>
      <c r="K508" s="2738"/>
      <c r="L508" s="2743"/>
      <c r="M508" s="2738">
        <f>'[10]NFMA46 '!I552</f>
        <v>90400</v>
      </c>
      <c r="N508" s="2738">
        <f>'[10]NFMA46 '!L552</f>
        <v>90400</v>
      </c>
      <c r="O508" s="2738">
        <f t="shared" si="51"/>
        <v>100</v>
      </c>
      <c r="P508" s="2739">
        <f>'[10]NFMA46 '!K552</f>
        <v>0</v>
      </c>
      <c r="Q508" s="1715">
        <f t="shared" si="52"/>
        <v>0</v>
      </c>
      <c r="R508" s="1715">
        <f t="shared" si="54"/>
        <v>90400</v>
      </c>
      <c r="S508" s="1715">
        <f t="shared" si="53"/>
        <v>100</v>
      </c>
      <c r="T508" s="1715"/>
      <c r="U508" s="1715">
        <f t="shared" si="55"/>
        <v>0</v>
      </c>
      <c r="V508" s="2658"/>
    </row>
    <row r="509" spans="1:22" s="1041" customFormat="1" ht="106.5" customHeight="1">
      <c r="A509" s="2658">
        <v>251</v>
      </c>
      <c r="B509" s="2735" t="s">
        <v>5938</v>
      </c>
      <c r="C509" s="2740" t="s">
        <v>5002</v>
      </c>
      <c r="D509" s="2741"/>
      <c r="E509" s="2742" t="s">
        <v>347</v>
      </c>
      <c r="F509" s="2738"/>
      <c r="G509" s="2738">
        <v>45200</v>
      </c>
      <c r="H509" s="2738"/>
      <c r="I509" s="2738"/>
      <c r="J509" s="2738"/>
      <c r="K509" s="2738"/>
      <c r="L509" s="2743"/>
      <c r="M509" s="2738">
        <f>'[10]NFMA46 '!I553</f>
        <v>45200</v>
      </c>
      <c r="N509" s="2738">
        <f>'[10]NFMA46 '!L553</f>
        <v>0</v>
      </c>
      <c r="O509" s="2738">
        <f t="shared" si="51"/>
        <v>0</v>
      </c>
      <c r="P509" s="2739">
        <f>'[10]NFMA46 '!K553</f>
        <v>45200</v>
      </c>
      <c r="Q509" s="1715">
        <f t="shared" si="52"/>
        <v>100</v>
      </c>
      <c r="R509" s="1715">
        <f t="shared" si="54"/>
        <v>45200</v>
      </c>
      <c r="S509" s="1715">
        <f t="shared" si="53"/>
        <v>100</v>
      </c>
      <c r="T509" s="1715"/>
      <c r="U509" s="1715">
        <f t="shared" si="55"/>
        <v>0</v>
      </c>
      <c r="V509" s="2658"/>
    </row>
    <row r="510" spans="1:22" s="1041" customFormat="1" ht="106.5" customHeight="1">
      <c r="A510" s="2658">
        <v>252</v>
      </c>
      <c r="B510" s="2735" t="s">
        <v>5381</v>
      </c>
      <c r="C510" s="2740" t="s">
        <v>5004</v>
      </c>
      <c r="D510" s="2741"/>
      <c r="E510" s="2742" t="s">
        <v>347</v>
      </c>
      <c r="F510" s="2738"/>
      <c r="G510" s="2738">
        <v>90400</v>
      </c>
      <c r="H510" s="2738"/>
      <c r="I510" s="2738"/>
      <c r="J510" s="2738"/>
      <c r="K510" s="2738"/>
      <c r="L510" s="2743">
        <v>90400</v>
      </c>
      <c r="M510" s="2738">
        <f>'[10]NFMA46 '!I554-L510</f>
        <v>0</v>
      </c>
      <c r="N510" s="2738">
        <f>'[10]NFMA46 '!L554</f>
        <v>0</v>
      </c>
      <c r="O510" s="2738" t="e">
        <f t="shared" si="51"/>
        <v>#DIV/0!</v>
      </c>
      <c r="P510" s="2739">
        <f>'[10]NFMA46 '!K554</f>
        <v>0</v>
      </c>
      <c r="Q510" s="1715" t="e">
        <f t="shared" si="52"/>
        <v>#DIV/0!</v>
      </c>
      <c r="R510" s="1715">
        <f t="shared" si="54"/>
        <v>0</v>
      </c>
      <c r="S510" s="1715" t="e">
        <f t="shared" si="53"/>
        <v>#DIV/0!</v>
      </c>
      <c r="T510" s="1715"/>
      <c r="U510" s="1715">
        <f t="shared" si="55"/>
        <v>0</v>
      </c>
      <c r="V510" s="2658"/>
    </row>
    <row r="511" spans="1:22" s="1041" customFormat="1" ht="106.5" customHeight="1">
      <c r="A511" s="2658">
        <v>253</v>
      </c>
      <c r="B511" s="2735" t="s">
        <v>5939</v>
      </c>
      <c r="C511" s="2740" t="s">
        <v>5007</v>
      </c>
      <c r="D511" s="2741"/>
      <c r="E511" s="2742" t="s">
        <v>569</v>
      </c>
      <c r="F511" s="2738"/>
      <c r="G511" s="2738">
        <v>45200</v>
      </c>
      <c r="H511" s="2738"/>
      <c r="I511" s="2738"/>
      <c r="J511" s="2738"/>
      <c r="K511" s="2738"/>
      <c r="L511" s="2743"/>
      <c r="M511" s="2738">
        <f>'[10]NFMA46 '!I556</f>
        <v>45200</v>
      </c>
      <c r="N511" s="2738">
        <f>'[10]NFMA46 '!L556</f>
        <v>0</v>
      </c>
      <c r="O511" s="2738">
        <f t="shared" si="51"/>
        <v>0</v>
      </c>
      <c r="P511" s="2739">
        <f>'[10]NFMA46 '!K556</f>
        <v>45200</v>
      </c>
      <c r="Q511" s="1715">
        <f t="shared" si="52"/>
        <v>100</v>
      </c>
      <c r="R511" s="1715">
        <f t="shared" si="54"/>
        <v>45200</v>
      </c>
      <c r="S511" s="1715">
        <f t="shared" si="53"/>
        <v>100</v>
      </c>
      <c r="T511" s="1715"/>
      <c r="U511" s="1715">
        <f t="shared" si="55"/>
        <v>0</v>
      </c>
      <c r="V511" s="2658"/>
    </row>
    <row r="512" spans="1:22" s="1041" customFormat="1" ht="106.5" customHeight="1">
      <c r="A512" s="2658">
        <v>254</v>
      </c>
      <c r="B512" s="2735" t="s">
        <v>5940</v>
      </c>
      <c r="C512" s="2740" t="s">
        <v>5009</v>
      </c>
      <c r="D512" s="2741"/>
      <c r="E512" s="2742" t="s">
        <v>569</v>
      </c>
      <c r="F512" s="2738"/>
      <c r="G512" s="2738">
        <v>90400</v>
      </c>
      <c r="H512" s="2738"/>
      <c r="I512" s="2738"/>
      <c r="J512" s="2738"/>
      <c r="K512" s="2738"/>
      <c r="L512" s="2743"/>
      <c r="M512" s="2738">
        <f>'[10]NFMA46 '!I557</f>
        <v>90400</v>
      </c>
      <c r="N512" s="2738">
        <f>'[10]NFMA46 '!L557</f>
        <v>0</v>
      </c>
      <c r="O512" s="2738">
        <f t="shared" si="51"/>
        <v>0</v>
      </c>
      <c r="P512" s="2739">
        <f>'[10]NFMA46 '!K557</f>
        <v>0</v>
      </c>
      <c r="Q512" s="1715">
        <f t="shared" si="52"/>
        <v>0</v>
      </c>
      <c r="R512" s="1715">
        <f t="shared" si="54"/>
        <v>0</v>
      </c>
      <c r="S512" s="1715">
        <f t="shared" si="53"/>
        <v>0</v>
      </c>
      <c r="T512" s="1715"/>
      <c r="U512" s="1715">
        <f t="shared" si="55"/>
        <v>90400</v>
      </c>
      <c r="V512" s="2658"/>
    </row>
    <row r="513" spans="1:22" s="1041" customFormat="1" ht="106.5" customHeight="1">
      <c r="A513" s="2658">
        <v>255</v>
      </c>
      <c r="B513" s="2735" t="s">
        <v>4790</v>
      </c>
      <c r="C513" s="2740" t="s">
        <v>5010</v>
      </c>
      <c r="D513" s="2741"/>
      <c r="E513" s="2742" t="s">
        <v>793</v>
      </c>
      <c r="F513" s="2738"/>
      <c r="G513" s="2738">
        <v>90400</v>
      </c>
      <c r="H513" s="2738"/>
      <c r="I513" s="2738"/>
      <c r="J513" s="2738"/>
      <c r="K513" s="2738"/>
      <c r="L513" s="2743">
        <v>18352</v>
      </c>
      <c r="M513" s="2738">
        <f>'[10]NFMA46 '!I558-L513</f>
        <v>72048</v>
      </c>
      <c r="N513" s="2738">
        <f>'[10]NFMA46 '!L558</f>
        <v>0</v>
      </c>
      <c r="O513" s="2738">
        <f t="shared" si="51"/>
        <v>0</v>
      </c>
      <c r="P513" s="2739">
        <f>'[10]NFMA46 '!K558</f>
        <v>72048</v>
      </c>
      <c r="Q513" s="1715">
        <f t="shared" si="52"/>
        <v>100</v>
      </c>
      <c r="R513" s="1715">
        <f t="shared" si="54"/>
        <v>72048</v>
      </c>
      <c r="S513" s="1715">
        <f t="shared" si="53"/>
        <v>100</v>
      </c>
      <c r="T513" s="1715"/>
      <c r="U513" s="1715">
        <f t="shared" si="55"/>
        <v>0</v>
      </c>
      <c r="V513" s="2658"/>
    </row>
    <row r="514" spans="1:22" s="1041" customFormat="1" ht="106.5" customHeight="1">
      <c r="A514" s="2658">
        <v>256</v>
      </c>
      <c r="B514" s="2735" t="s">
        <v>4793</v>
      </c>
      <c r="C514" s="2740" t="s">
        <v>5012</v>
      </c>
      <c r="D514" s="2741"/>
      <c r="E514" s="2742" t="s">
        <v>793</v>
      </c>
      <c r="F514" s="2738"/>
      <c r="G514" s="2738">
        <v>45200</v>
      </c>
      <c r="H514" s="2738"/>
      <c r="I514" s="2738"/>
      <c r="J514" s="2738"/>
      <c r="K514" s="2738"/>
      <c r="L514" s="2743">
        <v>20780</v>
      </c>
      <c r="M514" s="2738">
        <f>'[10]NFMA46 '!I559-L514</f>
        <v>24420</v>
      </c>
      <c r="N514" s="2738">
        <f>'[10]NFMA46 '!L559</f>
        <v>0</v>
      </c>
      <c r="O514" s="2738">
        <f t="shared" si="51"/>
        <v>0</v>
      </c>
      <c r="P514" s="2739">
        <f>'[10]NFMA46 '!K559</f>
        <v>24420</v>
      </c>
      <c r="Q514" s="1715">
        <f t="shared" si="52"/>
        <v>100</v>
      </c>
      <c r="R514" s="1715">
        <f t="shared" si="54"/>
        <v>24420</v>
      </c>
      <c r="S514" s="1715">
        <f t="shared" si="53"/>
        <v>100</v>
      </c>
      <c r="T514" s="1715"/>
      <c r="U514" s="1715">
        <f t="shared" si="55"/>
        <v>0</v>
      </c>
      <c r="V514" s="2658"/>
    </row>
    <row r="515" spans="1:22" s="1041" customFormat="1" ht="106.5" customHeight="1">
      <c r="A515" s="2658">
        <v>257</v>
      </c>
      <c r="B515" s="2735" t="s">
        <v>4792</v>
      </c>
      <c r="C515" s="2740" t="s">
        <v>5014</v>
      </c>
      <c r="D515" s="2741"/>
      <c r="E515" s="2742" t="s">
        <v>793</v>
      </c>
      <c r="F515" s="2738"/>
      <c r="G515" s="2738">
        <v>45200</v>
      </c>
      <c r="H515" s="2738"/>
      <c r="I515" s="2738"/>
      <c r="J515" s="2738"/>
      <c r="K515" s="2738"/>
      <c r="L515" s="2743">
        <v>14500</v>
      </c>
      <c r="M515" s="2738">
        <f>'[10]NFMA46 '!I560-L515</f>
        <v>30700</v>
      </c>
      <c r="N515" s="2738">
        <f>'[10]NFMA46 '!L560</f>
        <v>0</v>
      </c>
      <c r="O515" s="2738">
        <f t="shared" si="51"/>
        <v>0</v>
      </c>
      <c r="P515" s="2739">
        <f>'[10]NFMA46 '!K560</f>
        <v>30700</v>
      </c>
      <c r="Q515" s="1715">
        <f t="shared" si="52"/>
        <v>100</v>
      </c>
      <c r="R515" s="1715">
        <f t="shared" si="54"/>
        <v>30700</v>
      </c>
      <c r="S515" s="1715">
        <f t="shared" si="53"/>
        <v>100</v>
      </c>
      <c r="T515" s="1715"/>
      <c r="U515" s="1715">
        <f t="shared" si="55"/>
        <v>0</v>
      </c>
      <c r="V515" s="2658"/>
    </row>
    <row r="516" spans="1:22" s="1041" customFormat="1" ht="106.5" customHeight="1">
      <c r="A516" s="2658">
        <v>258</v>
      </c>
      <c r="B516" s="2735" t="s">
        <v>4785</v>
      </c>
      <c r="C516" s="2740" t="s">
        <v>5015</v>
      </c>
      <c r="D516" s="2741"/>
      <c r="E516" s="2742" t="s">
        <v>793</v>
      </c>
      <c r="F516" s="2738"/>
      <c r="G516" s="2738">
        <v>45200</v>
      </c>
      <c r="H516" s="2738"/>
      <c r="I516" s="2738"/>
      <c r="J516" s="2738"/>
      <c r="K516" s="2738"/>
      <c r="L516" s="2743"/>
      <c r="M516" s="2738">
        <f>'[10]NFMA46 '!I561</f>
        <v>45200</v>
      </c>
      <c r="N516" s="2738">
        <f>'[10]NFMA46 '!L561</f>
        <v>45200</v>
      </c>
      <c r="O516" s="2738">
        <f t="shared" si="51"/>
        <v>100</v>
      </c>
      <c r="P516" s="2739">
        <f>'[10]NFMA46 '!K561</f>
        <v>0</v>
      </c>
      <c r="Q516" s="1715">
        <f t="shared" si="52"/>
        <v>0</v>
      </c>
      <c r="R516" s="1715">
        <f t="shared" si="54"/>
        <v>45200</v>
      </c>
      <c r="S516" s="1715">
        <f t="shared" si="53"/>
        <v>100</v>
      </c>
      <c r="T516" s="1715"/>
      <c r="U516" s="1715">
        <f t="shared" si="55"/>
        <v>0</v>
      </c>
      <c r="V516" s="2658"/>
    </row>
    <row r="517" spans="1:22" s="1041" customFormat="1" ht="106.5" customHeight="1">
      <c r="A517" s="2658">
        <v>259</v>
      </c>
      <c r="B517" s="2735" t="s">
        <v>4797</v>
      </c>
      <c r="C517" s="2740" t="s">
        <v>5016</v>
      </c>
      <c r="D517" s="2741"/>
      <c r="E517" s="2742" t="s">
        <v>793</v>
      </c>
      <c r="F517" s="2738"/>
      <c r="G517" s="2738">
        <v>45200</v>
      </c>
      <c r="H517" s="2738"/>
      <c r="I517" s="2738"/>
      <c r="J517" s="2738"/>
      <c r="K517" s="2738"/>
      <c r="L517" s="2743"/>
      <c r="M517" s="2738">
        <f>'[10]NFMA46 '!I562</f>
        <v>45200</v>
      </c>
      <c r="N517" s="2738">
        <f>'[10]NFMA46 '!L562</f>
        <v>0</v>
      </c>
      <c r="O517" s="2738">
        <f t="shared" ref="O517:O580" si="56">N517/M517*100</f>
        <v>0</v>
      </c>
      <c r="P517" s="2739">
        <f>'[10]NFMA46 '!K562</f>
        <v>45200</v>
      </c>
      <c r="Q517" s="1715">
        <f t="shared" ref="Q517:Q580" si="57">P517/M517*100</f>
        <v>100</v>
      </c>
      <c r="R517" s="1715">
        <f t="shared" si="54"/>
        <v>45200</v>
      </c>
      <c r="S517" s="1715">
        <f t="shared" ref="S517:S580" si="58">R517/M517*100</f>
        <v>100</v>
      </c>
      <c r="T517" s="1715"/>
      <c r="U517" s="1715">
        <f t="shared" si="55"/>
        <v>0</v>
      </c>
      <c r="V517" s="2658"/>
    </row>
    <row r="518" spans="1:22" s="1041" customFormat="1" ht="106.5" customHeight="1">
      <c r="A518" s="2658">
        <v>260</v>
      </c>
      <c r="B518" s="2735" t="s">
        <v>4795</v>
      </c>
      <c r="C518" s="2740" t="s">
        <v>5017</v>
      </c>
      <c r="D518" s="2741"/>
      <c r="E518" s="2742" t="s">
        <v>793</v>
      </c>
      <c r="F518" s="2738"/>
      <c r="G518" s="2738">
        <v>45200</v>
      </c>
      <c r="H518" s="2738"/>
      <c r="I518" s="2738"/>
      <c r="J518" s="2738"/>
      <c r="K518" s="2738"/>
      <c r="L518" s="2743"/>
      <c r="M518" s="2738">
        <f>'[10]NFMA46 '!I563</f>
        <v>45200</v>
      </c>
      <c r="N518" s="2738">
        <f>'[10]NFMA46 '!L563</f>
        <v>0</v>
      </c>
      <c r="O518" s="2738">
        <f t="shared" si="56"/>
        <v>0</v>
      </c>
      <c r="P518" s="2739">
        <f>'[10]NFMA46 '!K563</f>
        <v>45200</v>
      </c>
      <c r="Q518" s="1715">
        <f t="shared" si="57"/>
        <v>100</v>
      </c>
      <c r="R518" s="1715">
        <f t="shared" si="54"/>
        <v>45200</v>
      </c>
      <c r="S518" s="1715">
        <f t="shared" si="58"/>
        <v>100</v>
      </c>
      <c r="T518" s="1715"/>
      <c r="U518" s="1715">
        <f t="shared" si="55"/>
        <v>0</v>
      </c>
      <c r="V518" s="2658"/>
    </row>
    <row r="519" spans="1:22" s="1041" customFormat="1" ht="106.5" customHeight="1">
      <c r="A519" s="2658">
        <v>261</v>
      </c>
      <c r="B519" s="2735" t="s">
        <v>4819</v>
      </c>
      <c r="C519" s="2740" t="s">
        <v>5018</v>
      </c>
      <c r="D519" s="2741"/>
      <c r="E519" s="2742" t="s">
        <v>548</v>
      </c>
      <c r="F519" s="2738"/>
      <c r="G519" s="2738">
        <v>90400</v>
      </c>
      <c r="H519" s="2738"/>
      <c r="I519" s="2738"/>
      <c r="J519" s="2738"/>
      <c r="K519" s="2738"/>
      <c r="L519" s="2743"/>
      <c r="M519" s="2738">
        <f>'[10]NFMA46 '!I564</f>
        <v>90400</v>
      </c>
      <c r="N519" s="2738">
        <f>'[10]NFMA46 '!L564</f>
        <v>0</v>
      </c>
      <c r="O519" s="2738">
        <f t="shared" si="56"/>
        <v>0</v>
      </c>
      <c r="P519" s="2739">
        <f>'[10]NFMA46 '!K564</f>
        <v>90400</v>
      </c>
      <c r="Q519" s="1715">
        <f t="shared" si="57"/>
        <v>100</v>
      </c>
      <c r="R519" s="1715">
        <f t="shared" ref="R519:R582" si="59">P519+N519</f>
        <v>90400</v>
      </c>
      <c r="S519" s="1715">
        <f t="shared" si="58"/>
        <v>100</v>
      </c>
      <c r="T519" s="1715"/>
      <c r="U519" s="1715">
        <f t="shared" ref="U519:U582" si="60">M519-R519</f>
        <v>0</v>
      </c>
      <c r="V519" s="2658"/>
    </row>
    <row r="520" spans="1:22" s="1041" customFormat="1" ht="106.5" customHeight="1">
      <c r="A520" s="2658">
        <v>262</v>
      </c>
      <c r="B520" s="2735" t="s">
        <v>4816</v>
      </c>
      <c r="C520" s="2740" t="s">
        <v>5019</v>
      </c>
      <c r="D520" s="2741"/>
      <c r="E520" s="2742" t="s">
        <v>548</v>
      </c>
      <c r="F520" s="2738"/>
      <c r="G520" s="2738">
        <v>45200</v>
      </c>
      <c r="H520" s="2738"/>
      <c r="I520" s="2738"/>
      <c r="J520" s="2738"/>
      <c r="K520" s="2738"/>
      <c r="L520" s="2743"/>
      <c r="M520" s="2738">
        <f>'[10]NFMA46 '!I565</f>
        <v>45200</v>
      </c>
      <c r="N520" s="2738">
        <f>'[10]NFMA46 '!L565</f>
        <v>0</v>
      </c>
      <c r="O520" s="2738">
        <f t="shared" si="56"/>
        <v>0</v>
      </c>
      <c r="P520" s="2739">
        <f>'[10]NFMA46 '!K565</f>
        <v>45200</v>
      </c>
      <c r="Q520" s="1715">
        <f t="shared" si="57"/>
        <v>100</v>
      </c>
      <c r="R520" s="1715">
        <f t="shared" si="59"/>
        <v>45200</v>
      </c>
      <c r="S520" s="1715">
        <f t="shared" si="58"/>
        <v>100</v>
      </c>
      <c r="T520" s="1715"/>
      <c r="U520" s="1715">
        <f t="shared" si="60"/>
        <v>0</v>
      </c>
      <c r="V520" s="2658"/>
    </row>
    <row r="521" spans="1:22" s="1041" customFormat="1" ht="106.5" customHeight="1">
      <c r="A521" s="2658">
        <v>263</v>
      </c>
      <c r="B521" s="2735" t="s">
        <v>4806</v>
      </c>
      <c r="C521" s="2740" t="s">
        <v>5393</v>
      </c>
      <c r="D521" s="2741"/>
      <c r="E521" s="2742" t="s">
        <v>548</v>
      </c>
      <c r="F521" s="2738"/>
      <c r="G521" s="2738">
        <v>45200</v>
      </c>
      <c r="H521" s="2738"/>
      <c r="I521" s="2738"/>
      <c r="J521" s="2738"/>
      <c r="K521" s="2738"/>
      <c r="L521" s="2743"/>
      <c r="M521" s="2738">
        <f>'[10]NFMA46 '!I566</f>
        <v>45200</v>
      </c>
      <c r="N521" s="2738">
        <f>'[10]NFMA46 '!L566</f>
        <v>45200</v>
      </c>
      <c r="O521" s="2738">
        <f t="shared" si="56"/>
        <v>100</v>
      </c>
      <c r="P521" s="2739">
        <f>'[10]NFMA46 '!K566</f>
        <v>0</v>
      </c>
      <c r="Q521" s="1715">
        <f t="shared" si="57"/>
        <v>0</v>
      </c>
      <c r="R521" s="1715">
        <f t="shared" si="59"/>
        <v>45200</v>
      </c>
      <c r="S521" s="1715">
        <f t="shared" si="58"/>
        <v>100</v>
      </c>
      <c r="T521" s="1715"/>
      <c r="U521" s="1715">
        <f t="shared" si="60"/>
        <v>0</v>
      </c>
      <c r="V521" s="2658"/>
    </row>
    <row r="522" spans="1:22" s="1041" customFormat="1" ht="106.5" customHeight="1">
      <c r="A522" s="2658">
        <v>264</v>
      </c>
      <c r="B522" s="2735" t="s">
        <v>5941</v>
      </c>
      <c r="C522" s="2740" t="s">
        <v>5020</v>
      </c>
      <c r="D522" s="2741"/>
      <c r="E522" s="2742" t="s">
        <v>548</v>
      </c>
      <c r="F522" s="2738"/>
      <c r="G522" s="2738">
        <v>45200</v>
      </c>
      <c r="H522" s="2738"/>
      <c r="I522" s="2738"/>
      <c r="J522" s="2738"/>
      <c r="K522" s="2738"/>
      <c r="L522" s="2743"/>
      <c r="M522" s="2738">
        <f>'[10]NFMA46 '!I567</f>
        <v>45200</v>
      </c>
      <c r="N522" s="2738">
        <f>'[10]NFMA46 '!L567</f>
        <v>0</v>
      </c>
      <c r="O522" s="2738">
        <f t="shared" si="56"/>
        <v>0</v>
      </c>
      <c r="P522" s="2739">
        <f>'[10]NFMA46 '!K567</f>
        <v>45200</v>
      </c>
      <c r="Q522" s="1715">
        <f t="shared" si="57"/>
        <v>100</v>
      </c>
      <c r="R522" s="1715">
        <f t="shared" si="59"/>
        <v>45200</v>
      </c>
      <c r="S522" s="1715">
        <f t="shared" si="58"/>
        <v>100</v>
      </c>
      <c r="T522" s="1715"/>
      <c r="U522" s="1715">
        <f t="shared" si="60"/>
        <v>0</v>
      </c>
      <c r="V522" s="2658"/>
    </row>
    <row r="523" spans="1:22" s="1041" customFormat="1" ht="106.5" customHeight="1">
      <c r="A523" s="2658">
        <v>265</v>
      </c>
      <c r="B523" s="2735" t="s">
        <v>4808</v>
      </c>
      <c r="C523" s="2740" t="s">
        <v>5021</v>
      </c>
      <c r="D523" s="2741"/>
      <c r="E523" s="2742" t="s">
        <v>548</v>
      </c>
      <c r="F523" s="2738"/>
      <c r="G523" s="2738">
        <v>180800</v>
      </c>
      <c r="H523" s="2738"/>
      <c r="I523" s="2738"/>
      <c r="J523" s="2738"/>
      <c r="K523" s="2738"/>
      <c r="L523" s="2743"/>
      <c r="M523" s="2738">
        <f>'[10]NFMA46 '!I568</f>
        <v>180800</v>
      </c>
      <c r="N523" s="2738">
        <f>'[10]NFMA46 '!L568</f>
        <v>135600</v>
      </c>
      <c r="O523" s="2738">
        <f t="shared" si="56"/>
        <v>75</v>
      </c>
      <c r="P523" s="2739">
        <f>'[10]NFMA46 '!K568</f>
        <v>45200</v>
      </c>
      <c r="Q523" s="1715">
        <f t="shared" si="57"/>
        <v>25</v>
      </c>
      <c r="R523" s="1715">
        <f t="shared" si="59"/>
        <v>180800</v>
      </c>
      <c r="S523" s="1715">
        <f t="shared" si="58"/>
        <v>100</v>
      </c>
      <c r="T523" s="1715"/>
      <c r="U523" s="1715">
        <f t="shared" si="60"/>
        <v>0</v>
      </c>
      <c r="V523" s="2658"/>
    </row>
    <row r="524" spans="1:22" s="1041" customFormat="1" ht="106.5" customHeight="1">
      <c r="A524" s="2658">
        <v>266</v>
      </c>
      <c r="B524" s="2735" t="s">
        <v>4812</v>
      </c>
      <c r="C524" s="2740" t="s">
        <v>5023</v>
      </c>
      <c r="D524" s="2741"/>
      <c r="E524" s="2742" t="s">
        <v>548</v>
      </c>
      <c r="F524" s="2738"/>
      <c r="G524" s="2738">
        <v>45200</v>
      </c>
      <c r="H524" s="2738"/>
      <c r="I524" s="2738"/>
      <c r="J524" s="2738"/>
      <c r="K524" s="2738"/>
      <c r="L524" s="2743"/>
      <c r="M524" s="2738">
        <f>'[10]NFMA46 '!I569</f>
        <v>45200</v>
      </c>
      <c r="N524" s="2738">
        <f>'[10]NFMA46 '!L569</f>
        <v>45200</v>
      </c>
      <c r="O524" s="2738">
        <f t="shared" si="56"/>
        <v>100</v>
      </c>
      <c r="P524" s="2739">
        <f>'[10]NFMA46 '!K569</f>
        <v>0</v>
      </c>
      <c r="Q524" s="1715">
        <f t="shared" si="57"/>
        <v>0</v>
      </c>
      <c r="R524" s="1715">
        <f t="shared" si="59"/>
        <v>45200</v>
      </c>
      <c r="S524" s="1715">
        <f t="shared" si="58"/>
        <v>100</v>
      </c>
      <c r="T524" s="1715"/>
      <c r="U524" s="1715">
        <f t="shared" si="60"/>
        <v>0</v>
      </c>
      <c r="V524" s="2658"/>
    </row>
    <row r="525" spans="1:22" s="1041" customFormat="1" ht="106.5" customHeight="1">
      <c r="A525" s="2658">
        <v>267</v>
      </c>
      <c r="B525" s="2735" t="s">
        <v>5942</v>
      </c>
      <c r="C525" s="2740" t="s">
        <v>5024</v>
      </c>
      <c r="D525" s="2741"/>
      <c r="E525" s="2742" t="s">
        <v>548</v>
      </c>
      <c r="F525" s="2738"/>
      <c r="G525" s="2738">
        <v>135600</v>
      </c>
      <c r="H525" s="2738"/>
      <c r="I525" s="2738"/>
      <c r="J525" s="2738"/>
      <c r="K525" s="2738"/>
      <c r="L525" s="2743"/>
      <c r="M525" s="2738">
        <f>'[10]NFMA46 '!I570</f>
        <v>135600</v>
      </c>
      <c r="N525" s="2738">
        <f>'[10]NFMA46 '!L570</f>
        <v>0</v>
      </c>
      <c r="O525" s="2738">
        <f t="shared" si="56"/>
        <v>0</v>
      </c>
      <c r="P525" s="2739">
        <f>'[10]NFMA46 '!K570</f>
        <v>135600</v>
      </c>
      <c r="Q525" s="1715">
        <f t="shared" si="57"/>
        <v>100</v>
      </c>
      <c r="R525" s="1715">
        <f t="shared" si="59"/>
        <v>135600</v>
      </c>
      <c r="S525" s="1715">
        <f t="shared" si="58"/>
        <v>100</v>
      </c>
      <c r="T525" s="1715"/>
      <c r="U525" s="1715">
        <f t="shared" si="60"/>
        <v>0</v>
      </c>
      <c r="V525" s="2658"/>
    </row>
    <row r="526" spans="1:22" s="1041" customFormat="1" ht="106.5" customHeight="1">
      <c r="A526" s="2658">
        <v>268</v>
      </c>
      <c r="B526" s="2735" t="s">
        <v>4802</v>
      </c>
      <c r="C526" s="2740" t="s">
        <v>5026</v>
      </c>
      <c r="D526" s="2741"/>
      <c r="E526" s="2742" t="s">
        <v>548</v>
      </c>
      <c r="F526" s="2738"/>
      <c r="G526" s="2738">
        <v>45200</v>
      </c>
      <c r="H526" s="2738"/>
      <c r="I526" s="2738"/>
      <c r="J526" s="2738"/>
      <c r="K526" s="2738"/>
      <c r="L526" s="2743"/>
      <c r="M526" s="2738">
        <f>'[10]NFMA46 '!I571</f>
        <v>45200</v>
      </c>
      <c r="N526" s="2738">
        <f>'[10]NFMA46 '!L571</f>
        <v>0</v>
      </c>
      <c r="O526" s="2738">
        <f t="shared" si="56"/>
        <v>0</v>
      </c>
      <c r="P526" s="2739">
        <f>'[10]NFMA46 '!K571</f>
        <v>45200</v>
      </c>
      <c r="Q526" s="1715">
        <f t="shared" si="57"/>
        <v>100</v>
      </c>
      <c r="R526" s="1715">
        <f t="shared" si="59"/>
        <v>45200</v>
      </c>
      <c r="S526" s="1715">
        <f t="shared" si="58"/>
        <v>100</v>
      </c>
      <c r="T526" s="1715"/>
      <c r="U526" s="1715">
        <f t="shared" si="60"/>
        <v>0</v>
      </c>
      <c r="V526" s="2658"/>
    </row>
    <row r="527" spans="1:22" s="1041" customFormat="1" ht="106.5" customHeight="1">
      <c r="A527" s="2658">
        <v>269</v>
      </c>
      <c r="B527" s="2735" t="s">
        <v>4825</v>
      </c>
      <c r="C527" s="2740" t="s">
        <v>5027</v>
      </c>
      <c r="D527" s="2741"/>
      <c r="E527" s="2742" t="s">
        <v>548</v>
      </c>
      <c r="F527" s="2738"/>
      <c r="G527" s="2738">
        <v>45200</v>
      </c>
      <c r="H527" s="2738"/>
      <c r="I527" s="2738"/>
      <c r="J527" s="2738"/>
      <c r="K527" s="2738"/>
      <c r="L527" s="2743"/>
      <c r="M527" s="2738">
        <f>'[10]NFMA46 '!I572</f>
        <v>45200</v>
      </c>
      <c r="N527" s="2738">
        <f>'[10]NFMA46 '!L572</f>
        <v>45200</v>
      </c>
      <c r="O527" s="2738">
        <f t="shared" si="56"/>
        <v>100</v>
      </c>
      <c r="P527" s="2739">
        <f>'[10]NFMA46 '!K572</f>
        <v>0</v>
      </c>
      <c r="Q527" s="1715">
        <f t="shared" si="57"/>
        <v>0</v>
      </c>
      <c r="R527" s="1715">
        <f t="shared" si="59"/>
        <v>45200</v>
      </c>
      <c r="S527" s="1715">
        <f t="shared" si="58"/>
        <v>100</v>
      </c>
      <c r="T527" s="1715"/>
      <c r="U527" s="1715">
        <f t="shared" si="60"/>
        <v>0</v>
      </c>
      <c r="V527" s="2658"/>
    </row>
    <row r="528" spans="1:22" s="1041" customFormat="1" ht="106.5" customHeight="1">
      <c r="A528" s="2658">
        <v>270</v>
      </c>
      <c r="B528" s="2735" t="s">
        <v>4830</v>
      </c>
      <c r="C528" s="2740" t="s">
        <v>5028</v>
      </c>
      <c r="D528" s="2741"/>
      <c r="E528" s="2742" t="s">
        <v>576</v>
      </c>
      <c r="F528" s="2738"/>
      <c r="G528" s="2738">
        <v>45200</v>
      </c>
      <c r="H528" s="2738"/>
      <c r="I528" s="2738"/>
      <c r="J528" s="2738"/>
      <c r="K528" s="2738"/>
      <c r="L528" s="2743"/>
      <c r="M528" s="2738">
        <f>'[10]NFMA46 '!I574</f>
        <v>45200</v>
      </c>
      <c r="N528" s="2738">
        <f>'[10]NFMA46 '!L574</f>
        <v>45200</v>
      </c>
      <c r="O528" s="2738">
        <f t="shared" si="56"/>
        <v>100</v>
      </c>
      <c r="P528" s="2739">
        <f>'[10]NFMA46 '!K574</f>
        <v>0</v>
      </c>
      <c r="Q528" s="1715">
        <f t="shared" si="57"/>
        <v>0</v>
      </c>
      <c r="R528" s="1715">
        <f t="shared" si="59"/>
        <v>45200</v>
      </c>
      <c r="S528" s="1715">
        <f t="shared" si="58"/>
        <v>100</v>
      </c>
      <c r="T528" s="1715"/>
      <c r="U528" s="1715">
        <f t="shared" si="60"/>
        <v>0</v>
      </c>
      <c r="V528" s="2658"/>
    </row>
    <row r="529" spans="1:22" s="1041" customFormat="1" ht="106.5" customHeight="1">
      <c r="A529" s="2658">
        <v>271</v>
      </c>
      <c r="B529" s="2735" t="s">
        <v>5943</v>
      </c>
      <c r="C529" s="2740" t="s">
        <v>5029</v>
      </c>
      <c r="D529" s="2741"/>
      <c r="E529" s="2742" t="s">
        <v>566</v>
      </c>
      <c r="F529" s="2738"/>
      <c r="G529" s="2738">
        <v>45200</v>
      </c>
      <c r="H529" s="2738"/>
      <c r="I529" s="2738"/>
      <c r="J529" s="2738"/>
      <c r="K529" s="2738"/>
      <c r="L529" s="2743">
        <v>18600</v>
      </c>
      <c r="M529" s="2738">
        <f>'[10]NFMA46 '!I575-L529</f>
        <v>26600</v>
      </c>
      <c r="N529" s="2738">
        <f>'[10]NFMA46 '!L575</f>
        <v>0</v>
      </c>
      <c r="O529" s="2738">
        <f t="shared" si="56"/>
        <v>0</v>
      </c>
      <c r="P529" s="2739">
        <f>'[10]NFMA46 '!K575</f>
        <v>26600</v>
      </c>
      <c r="Q529" s="1715">
        <f t="shared" si="57"/>
        <v>100</v>
      </c>
      <c r="R529" s="1715">
        <f t="shared" si="59"/>
        <v>26600</v>
      </c>
      <c r="S529" s="1715">
        <f t="shared" si="58"/>
        <v>100</v>
      </c>
      <c r="T529" s="1715"/>
      <c r="U529" s="1715">
        <f t="shared" si="60"/>
        <v>0</v>
      </c>
      <c r="V529" s="2658"/>
    </row>
    <row r="530" spans="1:22" s="1041" customFormat="1" ht="106.5" customHeight="1">
      <c r="A530" s="2658">
        <v>272</v>
      </c>
      <c r="B530" s="2735" t="s">
        <v>5944</v>
      </c>
      <c r="C530" s="2740" t="s">
        <v>5031</v>
      </c>
      <c r="D530" s="2741"/>
      <c r="E530" s="2742" t="s">
        <v>563</v>
      </c>
      <c r="F530" s="2738"/>
      <c r="G530" s="2738">
        <v>45200</v>
      </c>
      <c r="H530" s="2738"/>
      <c r="I530" s="2738"/>
      <c r="J530" s="2738"/>
      <c r="K530" s="2738"/>
      <c r="L530" s="2743"/>
      <c r="M530" s="2738">
        <f>'[10]NFMA46 '!I577</f>
        <v>45200</v>
      </c>
      <c r="N530" s="2738">
        <f>'[10]NFMA46 '!L577</f>
        <v>0</v>
      </c>
      <c r="O530" s="2738">
        <f t="shared" si="56"/>
        <v>0</v>
      </c>
      <c r="P530" s="2739">
        <f>'[10]NFMA46 '!K577</f>
        <v>45200</v>
      </c>
      <c r="Q530" s="1715">
        <f t="shared" si="57"/>
        <v>100</v>
      </c>
      <c r="R530" s="1715">
        <f t="shared" si="59"/>
        <v>45200</v>
      </c>
      <c r="S530" s="1715">
        <f t="shared" si="58"/>
        <v>100</v>
      </c>
      <c r="T530" s="1715"/>
      <c r="U530" s="1715">
        <f t="shared" si="60"/>
        <v>0</v>
      </c>
      <c r="V530" s="2658"/>
    </row>
    <row r="531" spans="1:22" s="1041" customFormat="1" ht="106.5" customHeight="1">
      <c r="A531" s="2658">
        <v>273</v>
      </c>
      <c r="B531" s="2735" t="s">
        <v>4854</v>
      </c>
      <c r="C531" s="2740" t="s">
        <v>5032</v>
      </c>
      <c r="D531" s="2741"/>
      <c r="E531" s="2742" t="s">
        <v>563</v>
      </c>
      <c r="F531" s="2738"/>
      <c r="G531" s="2738">
        <v>45200</v>
      </c>
      <c r="H531" s="2738"/>
      <c r="I531" s="2738"/>
      <c r="J531" s="2738"/>
      <c r="K531" s="2738"/>
      <c r="L531" s="2743"/>
      <c r="M531" s="2738">
        <f>'[10]NFMA46 '!I578</f>
        <v>45200</v>
      </c>
      <c r="N531" s="2738">
        <f>'[10]NFMA46 '!L578</f>
        <v>0</v>
      </c>
      <c r="O531" s="2738">
        <f t="shared" si="56"/>
        <v>0</v>
      </c>
      <c r="P531" s="2739">
        <f>'[10]NFMA46 '!K578</f>
        <v>45200</v>
      </c>
      <c r="Q531" s="1715">
        <f t="shared" si="57"/>
        <v>100</v>
      </c>
      <c r="R531" s="1715">
        <f t="shared" si="59"/>
        <v>45200</v>
      </c>
      <c r="S531" s="1715">
        <f t="shared" si="58"/>
        <v>100</v>
      </c>
      <c r="T531" s="1715"/>
      <c r="U531" s="1715">
        <f t="shared" si="60"/>
        <v>0</v>
      </c>
      <c r="V531" s="2658"/>
    </row>
    <row r="532" spans="1:22" s="1041" customFormat="1" ht="106.5" customHeight="1">
      <c r="A532" s="2658">
        <v>274</v>
      </c>
      <c r="B532" s="2735" t="s">
        <v>4859</v>
      </c>
      <c r="C532" s="2740" t="s">
        <v>5033</v>
      </c>
      <c r="D532" s="2741"/>
      <c r="E532" s="2742" t="s">
        <v>586</v>
      </c>
      <c r="F532" s="2738"/>
      <c r="G532" s="2738">
        <v>45200</v>
      </c>
      <c r="H532" s="2738"/>
      <c r="I532" s="2738"/>
      <c r="J532" s="2738"/>
      <c r="K532" s="2738"/>
      <c r="L532" s="2743"/>
      <c r="M532" s="2738">
        <f>'[10]NFMA46 '!I579</f>
        <v>45200</v>
      </c>
      <c r="N532" s="2738">
        <f>'[10]NFMA46 '!L579</f>
        <v>45200</v>
      </c>
      <c r="O532" s="2738">
        <f t="shared" si="56"/>
        <v>100</v>
      </c>
      <c r="P532" s="2739">
        <f>'[10]NFMA46 '!K579</f>
        <v>0</v>
      </c>
      <c r="Q532" s="1715">
        <f t="shared" si="57"/>
        <v>0</v>
      </c>
      <c r="R532" s="1715">
        <f t="shared" si="59"/>
        <v>45200</v>
      </c>
      <c r="S532" s="1715">
        <f t="shared" si="58"/>
        <v>100</v>
      </c>
      <c r="T532" s="1715"/>
      <c r="U532" s="1715">
        <f t="shared" si="60"/>
        <v>0</v>
      </c>
      <c r="V532" s="2658"/>
    </row>
    <row r="533" spans="1:22" s="1041" customFormat="1" ht="106.5" customHeight="1">
      <c r="A533" s="2658">
        <v>275</v>
      </c>
      <c r="B533" s="2735" t="s">
        <v>4865</v>
      </c>
      <c r="C533" s="2740" t="s">
        <v>5034</v>
      </c>
      <c r="D533" s="2741"/>
      <c r="E533" s="2742" t="s">
        <v>586</v>
      </c>
      <c r="F533" s="2738"/>
      <c r="G533" s="2738">
        <v>45200</v>
      </c>
      <c r="H533" s="2738"/>
      <c r="I533" s="2738"/>
      <c r="J533" s="2738"/>
      <c r="K533" s="2738"/>
      <c r="L533" s="2743"/>
      <c r="M533" s="2738">
        <f>'[10]NFMA46 '!I580</f>
        <v>45200</v>
      </c>
      <c r="N533" s="2738">
        <f>'[10]NFMA46 '!L580</f>
        <v>0</v>
      </c>
      <c r="O533" s="2738">
        <f t="shared" si="56"/>
        <v>0</v>
      </c>
      <c r="P533" s="2739">
        <f>'[10]NFMA46 '!K580</f>
        <v>45200</v>
      </c>
      <c r="Q533" s="1715">
        <f t="shared" si="57"/>
        <v>100</v>
      </c>
      <c r="R533" s="1715">
        <f t="shared" si="59"/>
        <v>45200</v>
      </c>
      <c r="S533" s="1715">
        <f t="shared" si="58"/>
        <v>100</v>
      </c>
      <c r="T533" s="1715"/>
      <c r="U533" s="1715">
        <f t="shared" si="60"/>
        <v>0</v>
      </c>
      <c r="V533" s="2658"/>
    </row>
    <row r="534" spans="1:22" s="1041" customFormat="1" ht="106.5" customHeight="1">
      <c r="A534" s="2658">
        <v>276</v>
      </c>
      <c r="B534" s="2735" t="s">
        <v>4857</v>
      </c>
      <c r="C534" s="2740" t="s">
        <v>5035</v>
      </c>
      <c r="D534" s="2741"/>
      <c r="E534" s="2742" t="s">
        <v>586</v>
      </c>
      <c r="F534" s="2738"/>
      <c r="G534" s="2738">
        <v>45200</v>
      </c>
      <c r="H534" s="2738"/>
      <c r="I534" s="2738"/>
      <c r="J534" s="2738"/>
      <c r="K534" s="2738"/>
      <c r="L534" s="2743">
        <v>4600</v>
      </c>
      <c r="M534" s="2738">
        <f>G534+H534+I534+J534+K534-L534</f>
        <v>40600</v>
      </c>
      <c r="N534" s="2738">
        <f>'[10]NFMA46 '!L581</f>
        <v>40600</v>
      </c>
      <c r="O534" s="2738">
        <f t="shared" si="56"/>
        <v>100</v>
      </c>
      <c r="P534" s="2739">
        <f>'[10]NFMA46 '!K581</f>
        <v>0</v>
      </c>
      <c r="Q534" s="1715">
        <f t="shared" si="57"/>
        <v>0</v>
      </c>
      <c r="R534" s="1715">
        <f t="shared" si="59"/>
        <v>40600</v>
      </c>
      <c r="S534" s="1715">
        <f t="shared" si="58"/>
        <v>100</v>
      </c>
      <c r="T534" s="1715"/>
      <c r="U534" s="1715">
        <f t="shared" si="60"/>
        <v>0</v>
      </c>
      <c r="V534" s="2658"/>
    </row>
    <row r="535" spans="1:22" s="1041" customFormat="1" ht="106.5" customHeight="1">
      <c r="A535" s="2658">
        <v>277</v>
      </c>
      <c r="B535" s="2735" t="s">
        <v>5945</v>
      </c>
      <c r="C535" s="2740" t="s">
        <v>5036</v>
      </c>
      <c r="D535" s="2741"/>
      <c r="E535" s="2742" t="s">
        <v>549</v>
      </c>
      <c r="F535" s="2738"/>
      <c r="G535" s="2738">
        <v>45200</v>
      </c>
      <c r="H535" s="2738"/>
      <c r="I535" s="2738"/>
      <c r="J535" s="2738"/>
      <c r="K535" s="2738"/>
      <c r="L535" s="2743"/>
      <c r="M535" s="2738">
        <f>'[10]NFMA46 '!I582</f>
        <v>45200</v>
      </c>
      <c r="N535" s="2738">
        <f>'[10]NFMA46 '!L582</f>
        <v>45200</v>
      </c>
      <c r="O535" s="2738">
        <f t="shared" si="56"/>
        <v>100</v>
      </c>
      <c r="P535" s="2739">
        <f>'[10]NFMA46 '!K582</f>
        <v>0</v>
      </c>
      <c r="Q535" s="1715">
        <f t="shared" si="57"/>
        <v>0</v>
      </c>
      <c r="R535" s="1715">
        <f t="shared" si="59"/>
        <v>45200</v>
      </c>
      <c r="S535" s="1715">
        <f t="shared" si="58"/>
        <v>100</v>
      </c>
      <c r="T535" s="1715"/>
      <c r="U535" s="1715">
        <f t="shared" si="60"/>
        <v>0</v>
      </c>
      <c r="V535" s="2658"/>
    </row>
    <row r="536" spans="1:22" s="1041" customFormat="1" ht="106.5" customHeight="1">
      <c r="A536" s="2658">
        <v>278</v>
      </c>
      <c r="B536" s="2735" t="s">
        <v>5946</v>
      </c>
      <c r="C536" s="2740" t="s">
        <v>5037</v>
      </c>
      <c r="D536" s="2741"/>
      <c r="E536" s="2742" t="s">
        <v>549</v>
      </c>
      <c r="F536" s="2738"/>
      <c r="G536" s="2738">
        <v>45200</v>
      </c>
      <c r="H536" s="2738"/>
      <c r="I536" s="2738"/>
      <c r="J536" s="2738"/>
      <c r="K536" s="2738"/>
      <c r="L536" s="2743">
        <v>1500</v>
      </c>
      <c r="M536" s="2738">
        <f>'[10]NFMA46 '!I583-L536</f>
        <v>43700</v>
      </c>
      <c r="N536" s="2738">
        <f>'[10]NFMA46 '!L583</f>
        <v>43700</v>
      </c>
      <c r="O536" s="2738">
        <f t="shared" si="56"/>
        <v>100</v>
      </c>
      <c r="P536" s="2739">
        <f>'[10]NFMA46 '!K583</f>
        <v>0</v>
      </c>
      <c r="Q536" s="1715">
        <f t="shared" si="57"/>
        <v>0</v>
      </c>
      <c r="R536" s="1715">
        <f t="shared" si="59"/>
        <v>43700</v>
      </c>
      <c r="S536" s="1715">
        <f t="shared" si="58"/>
        <v>100</v>
      </c>
      <c r="T536" s="1715"/>
      <c r="U536" s="1715">
        <f t="shared" si="60"/>
        <v>0</v>
      </c>
      <c r="V536" s="2658"/>
    </row>
    <row r="537" spans="1:22" s="1041" customFormat="1" ht="106.5" customHeight="1">
      <c r="A537" s="2658">
        <v>279</v>
      </c>
      <c r="B537" s="2735" t="s">
        <v>5947</v>
      </c>
      <c r="C537" s="2740" t="s">
        <v>5039</v>
      </c>
      <c r="D537" s="2741"/>
      <c r="E537" s="2742" t="s">
        <v>549</v>
      </c>
      <c r="F537" s="2738"/>
      <c r="G537" s="2738">
        <v>45200</v>
      </c>
      <c r="H537" s="2738"/>
      <c r="I537" s="2738"/>
      <c r="J537" s="2738"/>
      <c r="K537" s="2738"/>
      <c r="L537" s="2743"/>
      <c r="M537" s="2738">
        <f>'[10]NFMA46 '!I585</f>
        <v>45200</v>
      </c>
      <c r="N537" s="2738">
        <f>'[10]NFMA46 '!L585</f>
        <v>42500</v>
      </c>
      <c r="O537" s="2738">
        <f t="shared" si="56"/>
        <v>94.026548672566364</v>
      </c>
      <c r="P537" s="2739">
        <f>'[10]NFMA46 '!K585</f>
        <v>0</v>
      </c>
      <c r="Q537" s="1715">
        <f t="shared" si="57"/>
        <v>0</v>
      </c>
      <c r="R537" s="1715">
        <f t="shared" si="59"/>
        <v>42500</v>
      </c>
      <c r="S537" s="1715">
        <f t="shared" si="58"/>
        <v>94.026548672566364</v>
      </c>
      <c r="T537" s="1715"/>
      <c r="U537" s="1715">
        <f t="shared" si="60"/>
        <v>2700</v>
      </c>
      <c r="V537" s="2658"/>
    </row>
    <row r="538" spans="1:22" s="1041" customFormat="1" ht="106.5" customHeight="1">
      <c r="A538" s="2658">
        <v>280</v>
      </c>
      <c r="B538" s="2735" t="s">
        <v>4875</v>
      </c>
      <c r="C538" s="2740" t="s">
        <v>5041</v>
      </c>
      <c r="D538" s="2741"/>
      <c r="E538" s="2742" t="s">
        <v>549</v>
      </c>
      <c r="F538" s="2738"/>
      <c r="G538" s="2738">
        <v>45200</v>
      </c>
      <c r="H538" s="2738"/>
      <c r="I538" s="2738"/>
      <c r="J538" s="2738"/>
      <c r="K538" s="2738"/>
      <c r="L538" s="2743">
        <v>11596</v>
      </c>
      <c r="M538" s="2738">
        <f>'[10]NFMA46 '!I586-L538</f>
        <v>33604</v>
      </c>
      <c r="N538" s="2738">
        <f>'[10]NFMA46 '!L586</f>
        <v>33604</v>
      </c>
      <c r="O538" s="2738">
        <f t="shared" si="56"/>
        <v>100</v>
      </c>
      <c r="P538" s="2739">
        <f>'[10]NFMA46 '!K586</f>
        <v>0</v>
      </c>
      <c r="Q538" s="1715">
        <f t="shared" si="57"/>
        <v>0</v>
      </c>
      <c r="R538" s="1715">
        <f t="shared" si="59"/>
        <v>33604</v>
      </c>
      <c r="S538" s="1715">
        <f t="shared" si="58"/>
        <v>100</v>
      </c>
      <c r="T538" s="1715"/>
      <c r="U538" s="1715">
        <f t="shared" si="60"/>
        <v>0</v>
      </c>
      <c r="V538" s="2658"/>
    </row>
    <row r="539" spans="1:22" s="1041" customFormat="1" ht="106.5" customHeight="1">
      <c r="A539" s="2658">
        <v>281</v>
      </c>
      <c r="B539" s="2735" t="s">
        <v>4880</v>
      </c>
      <c r="C539" s="2740" t="s">
        <v>5042</v>
      </c>
      <c r="D539" s="2741"/>
      <c r="E539" s="2742" t="s">
        <v>549</v>
      </c>
      <c r="F539" s="2738"/>
      <c r="G539" s="2738">
        <v>45200</v>
      </c>
      <c r="H539" s="2738"/>
      <c r="I539" s="2738"/>
      <c r="J539" s="2738"/>
      <c r="K539" s="2738"/>
      <c r="L539" s="2743"/>
      <c r="M539" s="2738">
        <f>'[10]NFMA46 '!I587</f>
        <v>45200</v>
      </c>
      <c r="N539" s="2738">
        <f>'[10]NFMA46 '!L587</f>
        <v>45200</v>
      </c>
      <c r="O539" s="2738">
        <f t="shared" si="56"/>
        <v>100</v>
      </c>
      <c r="P539" s="2739">
        <f>'[10]NFMA46 '!K587</f>
        <v>0</v>
      </c>
      <c r="Q539" s="1715">
        <f t="shared" si="57"/>
        <v>0</v>
      </c>
      <c r="R539" s="1715">
        <f t="shared" si="59"/>
        <v>45200</v>
      </c>
      <c r="S539" s="1715">
        <f t="shared" si="58"/>
        <v>100</v>
      </c>
      <c r="T539" s="1715"/>
      <c r="U539" s="1715">
        <f t="shared" si="60"/>
        <v>0</v>
      </c>
      <c r="V539" s="2658"/>
    </row>
    <row r="540" spans="1:22" s="1041" customFormat="1" ht="106.5" customHeight="1">
      <c r="A540" s="2658">
        <v>282</v>
      </c>
      <c r="B540" s="2735" t="s">
        <v>5948</v>
      </c>
      <c r="C540" s="2740" t="s">
        <v>5044</v>
      </c>
      <c r="D540" s="2741"/>
      <c r="E540" s="2742" t="s">
        <v>549</v>
      </c>
      <c r="F540" s="2738"/>
      <c r="G540" s="2738">
        <v>45200</v>
      </c>
      <c r="H540" s="2738"/>
      <c r="I540" s="2738"/>
      <c r="J540" s="2738"/>
      <c r="K540" s="2738"/>
      <c r="L540" s="2743"/>
      <c r="M540" s="2738">
        <f>'[10]NFMA46 '!I588</f>
        <v>45200</v>
      </c>
      <c r="N540" s="2738">
        <f>'[10]NFMA46 '!L588</f>
        <v>45200</v>
      </c>
      <c r="O540" s="2738">
        <f t="shared" si="56"/>
        <v>100</v>
      </c>
      <c r="P540" s="2739">
        <f>'[10]NFMA46 '!K587</f>
        <v>0</v>
      </c>
      <c r="Q540" s="1715">
        <f t="shared" si="57"/>
        <v>0</v>
      </c>
      <c r="R540" s="1715">
        <f t="shared" si="59"/>
        <v>45200</v>
      </c>
      <c r="S540" s="1715">
        <f t="shared" si="58"/>
        <v>100</v>
      </c>
      <c r="T540" s="1715"/>
      <c r="U540" s="1715">
        <f t="shared" si="60"/>
        <v>0</v>
      </c>
      <c r="V540" s="2658"/>
    </row>
    <row r="541" spans="1:22" s="1041" customFormat="1" ht="106.5" customHeight="1">
      <c r="A541" s="2658">
        <v>283</v>
      </c>
      <c r="B541" s="2735" t="s">
        <v>4882</v>
      </c>
      <c r="C541" s="2740" t="s">
        <v>5046</v>
      </c>
      <c r="D541" s="2741"/>
      <c r="E541" s="2742" t="s">
        <v>549</v>
      </c>
      <c r="F541" s="2738"/>
      <c r="G541" s="2738">
        <v>45200</v>
      </c>
      <c r="H541" s="2738"/>
      <c r="I541" s="2738"/>
      <c r="J541" s="2738"/>
      <c r="K541" s="2738"/>
      <c r="L541" s="2743"/>
      <c r="M541" s="2738">
        <f>'[10]NFMA46 '!I589</f>
        <v>45200</v>
      </c>
      <c r="N541" s="2738">
        <f>'[10]NFMA46 '!L589</f>
        <v>45200</v>
      </c>
      <c r="O541" s="2738">
        <f t="shared" si="56"/>
        <v>100</v>
      </c>
      <c r="P541" s="2739">
        <f>'[10]NFMA46 '!K589</f>
        <v>0</v>
      </c>
      <c r="Q541" s="1715">
        <f t="shared" si="57"/>
        <v>0</v>
      </c>
      <c r="R541" s="1715">
        <f t="shared" si="59"/>
        <v>45200</v>
      </c>
      <c r="S541" s="1715">
        <f t="shared" si="58"/>
        <v>100</v>
      </c>
      <c r="T541" s="1715"/>
      <c r="U541" s="1715">
        <f t="shared" si="60"/>
        <v>0</v>
      </c>
      <c r="V541" s="2658"/>
    </row>
    <row r="542" spans="1:22" s="1041" customFormat="1" ht="106.5" customHeight="1">
      <c r="A542" s="2658">
        <v>284</v>
      </c>
      <c r="B542" s="2735" t="s">
        <v>4888</v>
      </c>
      <c r="C542" s="2740" t="s">
        <v>5047</v>
      </c>
      <c r="D542" s="2741"/>
      <c r="E542" s="2742" t="s">
        <v>1181</v>
      </c>
      <c r="F542" s="2738"/>
      <c r="G542" s="2738">
        <v>45200</v>
      </c>
      <c r="H542" s="2738"/>
      <c r="I542" s="2738"/>
      <c r="J542" s="2738"/>
      <c r="K542" s="2738"/>
      <c r="L542" s="2743"/>
      <c r="M542" s="2738">
        <f>'[10]NFMA46 '!I592</f>
        <v>45200</v>
      </c>
      <c r="N542" s="2738">
        <f>'[10]NFMA46 '!L592</f>
        <v>0</v>
      </c>
      <c r="O542" s="2738">
        <f t="shared" si="56"/>
        <v>0</v>
      </c>
      <c r="P542" s="2739">
        <f>'[10]NFMA46 '!K592</f>
        <v>45200</v>
      </c>
      <c r="Q542" s="1715">
        <f t="shared" si="57"/>
        <v>100</v>
      </c>
      <c r="R542" s="1715">
        <f t="shared" si="59"/>
        <v>45200</v>
      </c>
      <c r="S542" s="1715">
        <f t="shared" si="58"/>
        <v>100</v>
      </c>
      <c r="T542" s="1715"/>
      <c r="U542" s="1715">
        <f t="shared" si="60"/>
        <v>0</v>
      </c>
      <c r="V542" s="2658"/>
    </row>
    <row r="543" spans="1:22" s="1041" customFormat="1" ht="106.5" customHeight="1">
      <c r="A543" s="2658">
        <v>285</v>
      </c>
      <c r="B543" s="2735" t="s">
        <v>4895</v>
      </c>
      <c r="C543" s="2740" t="s">
        <v>5049</v>
      </c>
      <c r="D543" s="2741"/>
      <c r="E543" s="2742" t="s">
        <v>1188</v>
      </c>
      <c r="F543" s="2738"/>
      <c r="G543" s="2738">
        <v>90400</v>
      </c>
      <c r="H543" s="2738"/>
      <c r="I543" s="2738"/>
      <c r="J543" s="2738"/>
      <c r="K543" s="2738"/>
      <c r="L543" s="2743"/>
      <c r="M543" s="2738">
        <f>'[10]NFMA46 '!I593</f>
        <v>90400</v>
      </c>
      <c r="N543" s="2738">
        <f>'[10]NFMA46 '!L593</f>
        <v>90400</v>
      </c>
      <c r="O543" s="2738">
        <f t="shared" si="56"/>
        <v>100</v>
      </c>
      <c r="P543" s="2739">
        <f>'[10]NFMA46 '!K593</f>
        <v>0</v>
      </c>
      <c r="Q543" s="1715">
        <f t="shared" si="57"/>
        <v>0</v>
      </c>
      <c r="R543" s="1715">
        <f t="shared" si="59"/>
        <v>90400</v>
      </c>
      <c r="S543" s="1715">
        <f t="shared" si="58"/>
        <v>100</v>
      </c>
      <c r="T543" s="1715"/>
      <c r="U543" s="1715">
        <f t="shared" si="60"/>
        <v>0</v>
      </c>
      <c r="V543" s="2658"/>
    </row>
    <row r="544" spans="1:22" s="1041" customFormat="1" ht="106.5" customHeight="1">
      <c r="A544" s="2658">
        <v>286</v>
      </c>
      <c r="B544" s="2735" t="s">
        <v>4891</v>
      </c>
      <c r="C544" s="2740" t="s">
        <v>5050</v>
      </c>
      <c r="D544" s="2741"/>
      <c r="E544" s="2742" t="s">
        <v>1188</v>
      </c>
      <c r="F544" s="2738"/>
      <c r="G544" s="2738">
        <v>90400</v>
      </c>
      <c r="H544" s="2738"/>
      <c r="I544" s="2738"/>
      <c r="J544" s="2738"/>
      <c r="K544" s="2738"/>
      <c r="L544" s="2743"/>
      <c r="M544" s="2738">
        <f>'[10]NFMA46 '!I594</f>
        <v>90400</v>
      </c>
      <c r="N544" s="2738">
        <f>'[10]NFMA46 '!L594</f>
        <v>90400</v>
      </c>
      <c r="O544" s="2738">
        <f t="shared" si="56"/>
        <v>100</v>
      </c>
      <c r="P544" s="2739">
        <f>'[10]NFMA46 '!K594</f>
        <v>0</v>
      </c>
      <c r="Q544" s="1715">
        <f t="shared" si="57"/>
        <v>0</v>
      </c>
      <c r="R544" s="1715">
        <f t="shared" si="59"/>
        <v>90400</v>
      </c>
      <c r="S544" s="1715">
        <f t="shared" si="58"/>
        <v>100</v>
      </c>
      <c r="T544" s="1715"/>
      <c r="U544" s="1715">
        <f t="shared" si="60"/>
        <v>0</v>
      </c>
      <c r="V544" s="2658"/>
    </row>
    <row r="545" spans="1:22" s="1041" customFormat="1" ht="106.5" customHeight="1">
      <c r="A545" s="2658">
        <v>287</v>
      </c>
      <c r="B545" s="2735" t="s">
        <v>4897</v>
      </c>
      <c r="C545" s="2740" t="s">
        <v>5052</v>
      </c>
      <c r="D545" s="2741"/>
      <c r="E545" s="2742" t="s">
        <v>1188</v>
      </c>
      <c r="F545" s="2738"/>
      <c r="G545" s="2738">
        <v>45200</v>
      </c>
      <c r="H545" s="2738"/>
      <c r="I545" s="2738"/>
      <c r="J545" s="2738"/>
      <c r="K545" s="2738"/>
      <c r="L545" s="2743"/>
      <c r="M545" s="2738">
        <f>'[10]NFMA46 '!I595</f>
        <v>45200</v>
      </c>
      <c r="N545" s="2738">
        <f>'[10]NFMA46 '!L595</f>
        <v>0</v>
      </c>
      <c r="O545" s="2738">
        <f t="shared" si="56"/>
        <v>0</v>
      </c>
      <c r="P545" s="2739">
        <f>'[10]NFMA46 '!K595</f>
        <v>45200</v>
      </c>
      <c r="Q545" s="1715">
        <f t="shared" si="57"/>
        <v>100</v>
      </c>
      <c r="R545" s="1715">
        <f t="shared" si="59"/>
        <v>45200</v>
      </c>
      <c r="S545" s="1715">
        <f t="shared" si="58"/>
        <v>100</v>
      </c>
      <c r="T545" s="1715"/>
      <c r="U545" s="1715">
        <f t="shared" si="60"/>
        <v>0</v>
      </c>
      <c r="V545" s="2658"/>
    </row>
    <row r="546" spans="1:22" s="1041" customFormat="1" ht="106.5" customHeight="1">
      <c r="A546" s="2658">
        <v>288</v>
      </c>
      <c r="B546" s="2735" t="s">
        <v>5949</v>
      </c>
      <c r="C546" s="2740" t="s">
        <v>5053</v>
      </c>
      <c r="D546" s="2741"/>
      <c r="E546" s="2742" t="s">
        <v>339</v>
      </c>
      <c r="F546" s="2738"/>
      <c r="G546" s="2738">
        <v>45200</v>
      </c>
      <c r="H546" s="2738"/>
      <c r="I546" s="2738"/>
      <c r="J546" s="2738"/>
      <c r="K546" s="2738"/>
      <c r="L546" s="2743">
        <f>413+15249</f>
        <v>15662</v>
      </c>
      <c r="M546" s="2738">
        <f>44787-15249</f>
        <v>29538</v>
      </c>
      <c r="N546" s="2738">
        <f>'[10]NFMA46 '!L597</f>
        <v>29538</v>
      </c>
      <c r="O546" s="2738">
        <f t="shared" si="56"/>
        <v>100</v>
      </c>
      <c r="P546" s="2739">
        <f>'[10]NFMA46 '!K597</f>
        <v>0</v>
      </c>
      <c r="Q546" s="1715">
        <f t="shared" si="57"/>
        <v>0</v>
      </c>
      <c r="R546" s="1715">
        <f t="shared" si="59"/>
        <v>29538</v>
      </c>
      <c r="S546" s="1715">
        <f t="shared" si="58"/>
        <v>100</v>
      </c>
      <c r="T546" s="1715"/>
      <c r="U546" s="1715">
        <f t="shared" si="60"/>
        <v>0</v>
      </c>
      <c r="V546" s="2658"/>
    </row>
    <row r="547" spans="1:22" s="1041" customFormat="1" ht="106.5" customHeight="1">
      <c r="A547" s="2658">
        <v>289</v>
      </c>
      <c r="B547" s="2735" t="s">
        <v>5950</v>
      </c>
      <c r="C547" s="2740" t="s">
        <v>5055</v>
      </c>
      <c r="D547" s="2741"/>
      <c r="E547" s="2742" t="s">
        <v>583</v>
      </c>
      <c r="F547" s="2738"/>
      <c r="G547" s="2738">
        <v>45200</v>
      </c>
      <c r="H547" s="2738"/>
      <c r="I547" s="2738"/>
      <c r="J547" s="2738"/>
      <c r="K547" s="2738"/>
      <c r="L547" s="2743"/>
      <c r="M547" s="2738">
        <f>'[10]NFMA46 '!I599</f>
        <v>45200</v>
      </c>
      <c r="N547" s="2738">
        <f>'[10]NFMA46 '!L599</f>
        <v>45200</v>
      </c>
      <c r="O547" s="2738">
        <f t="shared" si="56"/>
        <v>100</v>
      </c>
      <c r="P547" s="2739">
        <f>'[10]NFMA46 '!K599</f>
        <v>0</v>
      </c>
      <c r="Q547" s="1715">
        <f t="shared" si="57"/>
        <v>0</v>
      </c>
      <c r="R547" s="1715">
        <f t="shared" si="59"/>
        <v>45200</v>
      </c>
      <c r="S547" s="1715">
        <f t="shared" si="58"/>
        <v>100</v>
      </c>
      <c r="T547" s="1715"/>
      <c r="U547" s="1715">
        <f t="shared" si="60"/>
        <v>0</v>
      </c>
      <c r="V547" s="2658"/>
    </row>
    <row r="548" spans="1:22" s="1041" customFormat="1" ht="106.5" customHeight="1">
      <c r="A548" s="2658">
        <v>290</v>
      </c>
      <c r="B548" s="2735" t="s">
        <v>5951</v>
      </c>
      <c r="C548" s="2740" t="s">
        <v>5056</v>
      </c>
      <c r="D548" s="2741"/>
      <c r="E548" s="2742" t="s">
        <v>583</v>
      </c>
      <c r="F548" s="2738"/>
      <c r="G548" s="2738">
        <v>90400</v>
      </c>
      <c r="H548" s="2738"/>
      <c r="I548" s="2738"/>
      <c r="J548" s="2738"/>
      <c r="K548" s="2738"/>
      <c r="L548" s="2743"/>
      <c r="M548" s="2738">
        <f>'[10]NFMA46 '!I601</f>
        <v>90400</v>
      </c>
      <c r="N548" s="2738">
        <f>'[10]NFMA46 '!L601</f>
        <v>90400</v>
      </c>
      <c r="O548" s="2738">
        <f t="shared" si="56"/>
        <v>100</v>
      </c>
      <c r="P548" s="2739">
        <f>'[10]NFMA46 '!K601</f>
        <v>0</v>
      </c>
      <c r="Q548" s="1715">
        <f t="shared" si="57"/>
        <v>0</v>
      </c>
      <c r="R548" s="1715">
        <f t="shared" si="59"/>
        <v>90400</v>
      </c>
      <c r="S548" s="1715">
        <f t="shared" si="58"/>
        <v>100</v>
      </c>
      <c r="T548" s="1715"/>
      <c r="U548" s="1715">
        <f t="shared" si="60"/>
        <v>0</v>
      </c>
      <c r="V548" s="2658"/>
    </row>
    <row r="549" spans="1:22" s="1041" customFormat="1" ht="106.5" customHeight="1">
      <c r="A549" s="2658">
        <v>291</v>
      </c>
      <c r="B549" s="2735" t="s">
        <v>5952</v>
      </c>
      <c r="C549" s="2740" t="s">
        <v>5058</v>
      </c>
      <c r="D549" s="2741"/>
      <c r="E549" s="2742" t="s">
        <v>572</v>
      </c>
      <c r="F549" s="2738"/>
      <c r="G549" s="2738">
        <v>45200</v>
      </c>
      <c r="H549" s="2738"/>
      <c r="I549" s="2738"/>
      <c r="J549" s="2738"/>
      <c r="K549" s="2738"/>
      <c r="L549" s="2743">
        <v>4352.9799999999996</v>
      </c>
      <c r="M549" s="2738">
        <f>'[10]NFMA46 '!I602-L549</f>
        <v>40847.020000000004</v>
      </c>
      <c r="N549" s="2738">
        <f>'[10]NFMA46 '!L602</f>
        <v>40847.019999999997</v>
      </c>
      <c r="O549" s="2738">
        <f t="shared" si="56"/>
        <v>99.999999999999972</v>
      </c>
      <c r="P549" s="2739">
        <f>'[10]NFMA46 '!K602</f>
        <v>0</v>
      </c>
      <c r="Q549" s="1715">
        <f t="shared" si="57"/>
        <v>0</v>
      </c>
      <c r="R549" s="1715">
        <f t="shared" si="59"/>
        <v>40847.019999999997</v>
      </c>
      <c r="S549" s="1715">
        <f t="shared" si="58"/>
        <v>99.999999999999972</v>
      </c>
      <c r="T549" s="1715"/>
      <c r="U549" s="1715">
        <f t="shared" si="60"/>
        <v>0</v>
      </c>
      <c r="V549" s="2658"/>
    </row>
    <row r="550" spans="1:22" s="1041" customFormat="1" ht="106.5" customHeight="1">
      <c r="A550" s="2658">
        <v>292</v>
      </c>
      <c r="B550" s="2735" t="s">
        <v>5953</v>
      </c>
      <c r="C550" s="2740" t="s">
        <v>5059</v>
      </c>
      <c r="D550" s="2741"/>
      <c r="E550" s="2742" t="s">
        <v>1185</v>
      </c>
      <c r="F550" s="2738"/>
      <c r="G550" s="2738">
        <v>45200</v>
      </c>
      <c r="H550" s="2738"/>
      <c r="I550" s="2738"/>
      <c r="J550" s="2738"/>
      <c r="K550" s="2738"/>
      <c r="L550" s="2743"/>
      <c r="M550" s="2738">
        <f>'[10]NFMA46 '!I603</f>
        <v>45200</v>
      </c>
      <c r="N550" s="2738">
        <f>'[10]NFMA46 '!L603</f>
        <v>45200</v>
      </c>
      <c r="O550" s="2738">
        <f t="shared" si="56"/>
        <v>100</v>
      </c>
      <c r="P550" s="2739">
        <f>'[10]NFMA46 '!K603</f>
        <v>0</v>
      </c>
      <c r="Q550" s="1715">
        <f t="shared" si="57"/>
        <v>0</v>
      </c>
      <c r="R550" s="1715">
        <f t="shared" si="59"/>
        <v>45200</v>
      </c>
      <c r="S550" s="1715">
        <f t="shared" si="58"/>
        <v>100</v>
      </c>
      <c r="T550" s="1715"/>
      <c r="U550" s="1715">
        <f t="shared" si="60"/>
        <v>0</v>
      </c>
      <c r="V550" s="2658"/>
    </row>
    <row r="551" spans="1:22" s="1041" customFormat="1" ht="106.5" customHeight="1">
      <c r="A551" s="2658">
        <v>293</v>
      </c>
      <c r="B551" s="2735" t="s">
        <v>5954</v>
      </c>
      <c r="C551" s="2740" t="s">
        <v>5060</v>
      </c>
      <c r="D551" s="2741"/>
      <c r="E551" s="2742" t="s">
        <v>578</v>
      </c>
      <c r="F551" s="2738"/>
      <c r="G551" s="2738">
        <v>45200</v>
      </c>
      <c r="H551" s="2738"/>
      <c r="I551" s="2738"/>
      <c r="J551" s="2738"/>
      <c r="K551" s="2738"/>
      <c r="L551" s="2743"/>
      <c r="M551" s="2738">
        <f>'[10]NFMA46 '!I604</f>
        <v>45200</v>
      </c>
      <c r="N551" s="2738">
        <f>'[10]NFMA46 '!L604</f>
        <v>0</v>
      </c>
      <c r="O551" s="2738">
        <f t="shared" si="56"/>
        <v>0</v>
      </c>
      <c r="P551" s="2739">
        <f>'[10]NFMA46 '!K604</f>
        <v>0</v>
      </c>
      <c r="Q551" s="1715">
        <f t="shared" si="57"/>
        <v>0</v>
      </c>
      <c r="R551" s="1715">
        <f t="shared" si="59"/>
        <v>0</v>
      </c>
      <c r="S551" s="1715">
        <f t="shared" si="58"/>
        <v>0</v>
      </c>
      <c r="T551" s="1715"/>
      <c r="U551" s="1715">
        <f t="shared" si="60"/>
        <v>45200</v>
      </c>
      <c r="V551" s="2658"/>
    </row>
    <row r="552" spans="1:22" s="1041" customFormat="1" ht="106.5" customHeight="1">
      <c r="A552" s="2658">
        <v>294</v>
      </c>
      <c r="B552" s="2735" t="s">
        <v>4921</v>
      </c>
      <c r="C552" s="2740" t="s">
        <v>5062</v>
      </c>
      <c r="D552" s="2741"/>
      <c r="E552" s="2742" t="s">
        <v>557</v>
      </c>
      <c r="F552" s="2738"/>
      <c r="G552" s="2738">
        <v>180800</v>
      </c>
      <c r="H552" s="2738"/>
      <c r="I552" s="2738"/>
      <c r="J552" s="2738"/>
      <c r="K552" s="2738"/>
      <c r="L552" s="2743"/>
      <c r="M552" s="2738">
        <f>'[10]NFMA46 '!I605</f>
        <v>180800</v>
      </c>
      <c r="N552" s="2738">
        <f>'[10]NFMA46 '!L605</f>
        <v>180800</v>
      </c>
      <c r="O552" s="2738">
        <f t="shared" si="56"/>
        <v>100</v>
      </c>
      <c r="P552" s="2739">
        <f>'[10]NFMA46 '!K605</f>
        <v>0</v>
      </c>
      <c r="Q552" s="1715">
        <f t="shared" si="57"/>
        <v>0</v>
      </c>
      <c r="R552" s="1715">
        <f t="shared" si="59"/>
        <v>180800</v>
      </c>
      <c r="S552" s="1715">
        <f t="shared" si="58"/>
        <v>100</v>
      </c>
      <c r="T552" s="1715"/>
      <c r="U552" s="1715">
        <f t="shared" si="60"/>
        <v>0</v>
      </c>
      <c r="V552" s="2658"/>
    </row>
    <row r="553" spans="1:22" s="1041" customFormat="1" ht="106.5" customHeight="1">
      <c r="A553" s="2658">
        <v>295</v>
      </c>
      <c r="B553" s="2735" t="s">
        <v>4923</v>
      </c>
      <c r="C553" s="2740" t="s">
        <v>5064</v>
      </c>
      <c r="D553" s="2741"/>
      <c r="E553" s="2742" t="s">
        <v>557</v>
      </c>
      <c r="F553" s="2738"/>
      <c r="G553" s="2738">
        <v>45200</v>
      </c>
      <c r="H553" s="2738"/>
      <c r="I553" s="2738"/>
      <c r="J553" s="2738"/>
      <c r="K553" s="2738"/>
      <c r="L553" s="2743">
        <v>4410.5200000000004</v>
      </c>
      <c r="M553" s="2738">
        <f>'[10]NFMA46 '!I606-L553</f>
        <v>40789.479999999996</v>
      </c>
      <c r="N553" s="2738">
        <f>'[10]NFMA46 '!L606</f>
        <v>40789.480000000003</v>
      </c>
      <c r="O553" s="2738">
        <f t="shared" si="56"/>
        <v>100.00000000000003</v>
      </c>
      <c r="P553" s="2739">
        <f>'[10]NFMA46 '!K606</f>
        <v>0</v>
      </c>
      <c r="Q553" s="1715">
        <f t="shared" si="57"/>
        <v>0</v>
      </c>
      <c r="R553" s="1715">
        <f t="shared" si="59"/>
        <v>40789.480000000003</v>
      </c>
      <c r="S553" s="1715">
        <f t="shared" si="58"/>
        <v>100.00000000000003</v>
      </c>
      <c r="T553" s="1715"/>
      <c r="U553" s="1715">
        <f t="shared" si="60"/>
        <v>0</v>
      </c>
      <c r="V553" s="2658"/>
    </row>
    <row r="554" spans="1:22" s="1041" customFormat="1" ht="106.5" customHeight="1">
      <c r="A554" s="2658">
        <v>296</v>
      </c>
      <c r="B554" s="2735" t="s">
        <v>4919</v>
      </c>
      <c r="C554" s="2740" t="s">
        <v>5066</v>
      </c>
      <c r="D554" s="2741"/>
      <c r="E554" s="2742" t="s">
        <v>557</v>
      </c>
      <c r="F554" s="2738"/>
      <c r="G554" s="2738">
        <v>90400</v>
      </c>
      <c r="H554" s="2738"/>
      <c r="I554" s="2738"/>
      <c r="J554" s="2738"/>
      <c r="K554" s="2738"/>
      <c r="L554" s="2743">
        <v>1225</v>
      </c>
      <c r="M554" s="2738">
        <f>'[10]NFMA46 '!I607-L554</f>
        <v>89175</v>
      </c>
      <c r="N554" s="2738">
        <f>'[10]NFMA46 '!L607</f>
        <v>89175</v>
      </c>
      <c r="O554" s="2738">
        <f t="shared" si="56"/>
        <v>100</v>
      </c>
      <c r="P554" s="2739">
        <f>'[10]NFMA46 '!K607</f>
        <v>0</v>
      </c>
      <c r="Q554" s="1715">
        <f t="shared" si="57"/>
        <v>0</v>
      </c>
      <c r="R554" s="1715">
        <f t="shared" si="59"/>
        <v>89175</v>
      </c>
      <c r="S554" s="1715">
        <f t="shared" si="58"/>
        <v>100</v>
      </c>
      <c r="T554" s="1715"/>
      <c r="U554" s="1715">
        <f t="shared" si="60"/>
        <v>0</v>
      </c>
      <c r="V554" s="2658"/>
    </row>
    <row r="555" spans="1:22" s="1041" customFormat="1" ht="106.5" customHeight="1">
      <c r="A555" s="2658">
        <v>297</v>
      </c>
      <c r="B555" s="2735" t="s">
        <v>4925</v>
      </c>
      <c r="C555" s="2740" t="s">
        <v>5068</v>
      </c>
      <c r="D555" s="2741"/>
      <c r="E555" s="2742" t="s">
        <v>557</v>
      </c>
      <c r="F555" s="2738"/>
      <c r="G555" s="2738">
        <v>90400</v>
      </c>
      <c r="H555" s="2738"/>
      <c r="I555" s="2738"/>
      <c r="J555" s="2738"/>
      <c r="K555" s="2738"/>
      <c r="L555" s="2743">
        <v>16114</v>
      </c>
      <c r="M555" s="2738">
        <f>'[10]NFMA46 '!I608-L555</f>
        <v>74286</v>
      </c>
      <c r="N555" s="2738">
        <f>'[10]NFMA46 '!L608</f>
        <v>74286</v>
      </c>
      <c r="O555" s="2738">
        <f t="shared" si="56"/>
        <v>100</v>
      </c>
      <c r="P555" s="2739">
        <f>'[10]NFMA46 '!K608</f>
        <v>0</v>
      </c>
      <c r="Q555" s="1715">
        <f t="shared" si="57"/>
        <v>0</v>
      </c>
      <c r="R555" s="1715">
        <f t="shared" si="59"/>
        <v>74286</v>
      </c>
      <c r="S555" s="1715">
        <f t="shared" si="58"/>
        <v>100</v>
      </c>
      <c r="T555" s="1715"/>
      <c r="U555" s="1715">
        <f t="shared" si="60"/>
        <v>0</v>
      </c>
      <c r="V555" s="2658"/>
    </row>
    <row r="556" spans="1:22" s="1041" customFormat="1" ht="106.5" customHeight="1">
      <c r="A556" s="2658">
        <v>298</v>
      </c>
      <c r="B556" s="2735" t="s">
        <v>4926</v>
      </c>
      <c r="C556" s="2740" t="s">
        <v>5070</v>
      </c>
      <c r="D556" s="2741"/>
      <c r="E556" s="2742" t="s">
        <v>557</v>
      </c>
      <c r="F556" s="2738"/>
      <c r="G556" s="2738">
        <v>45200</v>
      </c>
      <c r="H556" s="2738"/>
      <c r="I556" s="2738"/>
      <c r="J556" s="2738"/>
      <c r="K556" s="2738"/>
      <c r="L556" s="2743">
        <v>7449.98</v>
      </c>
      <c r="M556" s="2738">
        <f>'[10]NFMA46 '!I609-L556</f>
        <v>37750.020000000004</v>
      </c>
      <c r="N556" s="2738">
        <f>'[10]NFMA46 '!L609</f>
        <v>37750.019999999997</v>
      </c>
      <c r="O556" s="2738">
        <f t="shared" si="56"/>
        <v>99.999999999999972</v>
      </c>
      <c r="P556" s="2739">
        <f>'[10]NFMA46 '!K609</f>
        <v>0</v>
      </c>
      <c r="Q556" s="1715">
        <f t="shared" si="57"/>
        <v>0</v>
      </c>
      <c r="R556" s="1715">
        <f t="shared" si="59"/>
        <v>37750.019999999997</v>
      </c>
      <c r="S556" s="1715">
        <f t="shared" si="58"/>
        <v>99.999999999999972</v>
      </c>
      <c r="T556" s="1715"/>
      <c r="U556" s="1715">
        <f t="shared" si="60"/>
        <v>0</v>
      </c>
      <c r="V556" s="2658"/>
    </row>
    <row r="557" spans="1:22" s="1041" customFormat="1" ht="106.5" customHeight="1">
      <c r="A557" s="2658">
        <v>299</v>
      </c>
      <c r="B557" s="2735" t="s">
        <v>5955</v>
      </c>
      <c r="C557" s="2740" t="s">
        <v>5071</v>
      </c>
      <c r="D557" s="2741"/>
      <c r="E557" s="2742" t="s">
        <v>561</v>
      </c>
      <c r="F557" s="2738"/>
      <c r="G557" s="2738">
        <v>45200</v>
      </c>
      <c r="H557" s="2738"/>
      <c r="I557" s="2738"/>
      <c r="J557" s="2738"/>
      <c r="K557" s="2738"/>
      <c r="L557" s="2743"/>
      <c r="M557" s="2738">
        <f>'[10]NFMA46 '!I610</f>
        <v>45200</v>
      </c>
      <c r="N557" s="2738">
        <f>'[10]NFMA46 '!L610</f>
        <v>45200</v>
      </c>
      <c r="O557" s="2738">
        <f t="shared" si="56"/>
        <v>100</v>
      </c>
      <c r="P557" s="2739">
        <f>'[10]NFMA46 '!K610</f>
        <v>0</v>
      </c>
      <c r="Q557" s="1715">
        <f t="shared" si="57"/>
        <v>0</v>
      </c>
      <c r="R557" s="1715">
        <f t="shared" si="59"/>
        <v>45200</v>
      </c>
      <c r="S557" s="1715">
        <f t="shared" si="58"/>
        <v>100</v>
      </c>
      <c r="T557" s="1715"/>
      <c r="U557" s="1715">
        <f t="shared" si="60"/>
        <v>0</v>
      </c>
      <c r="V557" s="2658"/>
    </row>
    <row r="558" spans="1:22" s="1041" customFormat="1" ht="106.5" customHeight="1">
      <c r="A558" s="2658">
        <v>300</v>
      </c>
      <c r="B558" s="2735" t="s">
        <v>5956</v>
      </c>
      <c r="C558" s="2740" t="s">
        <v>5072</v>
      </c>
      <c r="D558" s="2741"/>
      <c r="E558" s="2742" t="s">
        <v>561</v>
      </c>
      <c r="F558" s="2738"/>
      <c r="G558" s="2738">
        <v>45200</v>
      </c>
      <c r="H558" s="2738"/>
      <c r="I558" s="2738"/>
      <c r="J558" s="2738"/>
      <c r="K558" s="2738"/>
      <c r="L558" s="2743"/>
      <c r="M558" s="2738">
        <f>'[10]NFMA46 '!I611</f>
        <v>45200</v>
      </c>
      <c r="N558" s="2738">
        <f>'[10]NFMA46 '!L611</f>
        <v>45200</v>
      </c>
      <c r="O558" s="2738">
        <f t="shared" si="56"/>
        <v>100</v>
      </c>
      <c r="P558" s="2739">
        <f>'[10]NFMA46 '!K611</f>
        <v>0</v>
      </c>
      <c r="Q558" s="1715">
        <f t="shared" si="57"/>
        <v>0</v>
      </c>
      <c r="R558" s="1715">
        <f t="shared" si="59"/>
        <v>45200</v>
      </c>
      <c r="S558" s="1715">
        <f t="shared" si="58"/>
        <v>100</v>
      </c>
      <c r="T558" s="1715"/>
      <c r="U558" s="1715">
        <f t="shared" si="60"/>
        <v>0</v>
      </c>
      <c r="V558" s="2658"/>
    </row>
    <row r="559" spans="1:22" s="1041" customFormat="1" ht="106.5" customHeight="1">
      <c r="A559" s="2658">
        <v>301</v>
      </c>
      <c r="B559" s="2735" t="s">
        <v>5957</v>
      </c>
      <c r="C559" s="2740" t="s">
        <v>5073</v>
      </c>
      <c r="D559" s="2741"/>
      <c r="E559" s="2742" t="s">
        <v>561</v>
      </c>
      <c r="F559" s="2738"/>
      <c r="G559" s="2738">
        <v>45200</v>
      </c>
      <c r="H559" s="2738"/>
      <c r="I559" s="2738"/>
      <c r="J559" s="2738"/>
      <c r="K559" s="2738"/>
      <c r="L559" s="2743"/>
      <c r="M559" s="2738">
        <f>'[10]NFMA46 '!I612</f>
        <v>45200</v>
      </c>
      <c r="N559" s="2738">
        <f>'[10]NFMA46 '!L612</f>
        <v>45200</v>
      </c>
      <c r="O559" s="2738">
        <f t="shared" si="56"/>
        <v>100</v>
      </c>
      <c r="P559" s="2739">
        <f>'[10]NFMA46 '!K612</f>
        <v>0</v>
      </c>
      <c r="Q559" s="1715">
        <f t="shared" si="57"/>
        <v>0</v>
      </c>
      <c r="R559" s="1715">
        <f t="shared" si="59"/>
        <v>45200</v>
      </c>
      <c r="S559" s="1715">
        <f t="shared" si="58"/>
        <v>100</v>
      </c>
      <c r="T559" s="1715"/>
      <c r="U559" s="1715">
        <f t="shared" si="60"/>
        <v>0</v>
      </c>
      <c r="V559" s="2658"/>
    </row>
    <row r="560" spans="1:22" s="1041" customFormat="1" ht="106.5" customHeight="1">
      <c r="A560" s="2658">
        <v>302</v>
      </c>
      <c r="B560" s="2735" t="s">
        <v>4940</v>
      </c>
      <c r="C560" s="2740" t="s">
        <v>5074</v>
      </c>
      <c r="D560" s="2741"/>
      <c r="E560" s="2742" t="s">
        <v>552</v>
      </c>
      <c r="F560" s="2738"/>
      <c r="G560" s="2738">
        <v>90400</v>
      </c>
      <c r="H560" s="2738"/>
      <c r="I560" s="2738"/>
      <c r="J560" s="2738"/>
      <c r="K560" s="2738"/>
      <c r="L560" s="2743"/>
      <c r="M560" s="2738">
        <f>'[10]NFMA46 '!I614</f>
        <v>90400</v>
      </c>
      <c r="N560" s="2738">
        <f>'[10]NFMA46 '!L614</f>
        <v>0</v>
      </c>
      <c r="O560" s="2738">
        <f t="shared" si="56"/>
        <v>0</v>
      </c>
      <c r="P560" s="2739">
        <f>'[10]NFMA46 '!K614</f>
        <v>90400</v>
      </c>
      <c r="Q560" s="1715">
        <f t="shared" si="57"/>
        <v>100</v>
      </c>
      <c r="R560" s="1715">
        <f t="shared" si="59"/>
        <v>90400</v>
      </c>
      <c r="S560" s="1715">
        <f t="shared" si="58"/>
        <v>100</v>
      </c>
      <c r="T560" s="1715"/>
      <c r="U560" s="1715">
        <f t="shared" si="60"/>
        <v>0</v>
      </c>
      <c r="V560" s="2658"/>
    </row>
    <row r="561" spans="1:22" s="1041" customFormat="1" ht="106.5" customHeight="1">
      <c r="A561" s="2658">
        <v>303</v>
      </c>
      <c r="B561" s="2735" t="s">
        <v>4933</v>
      </c>
      <c r="C561" s="2740" t="s">
        <v>5075</v>
      </c>
      <c r="D561" s="2741"/>
      <c r="E561" s="2742" t="s">
        <v>552</v>
      </c>
      <c r="F561" s="2738"/>
      <c r="G561" s="2738">
        <v>90400</v>
      </c>
      <c r="H561" s="2738"/>
      <c r="I561" s="2738"/>
      <c r="J561" s="2738"/>
      <c r="K561" s="2738"/>
      <c r="L561" s="2743">
        <v>22800</v>
      </c>
      <c r="M561" s="2738">
        <f>'[10]NFMA46 '!I615-L561</f>
        <v>67600</v>
      </c>
      <c r="N561" s="2738">
        <f>'[10]NFMA46 '!L615</f>
        <v>61100</v>
      </c>
      <c r="O561" s="2738">
        <f t="shared" si="56"/>
        <v>90.384615384615387</v>
      </c>
      <c r="P561" s="2739">
        <f>'[10]NFMA46 '!K615</f>
        <v>0</v>
      </c>
      <c r="Q561" s="1715">
        <f t="shared" si="57"/>
        <v>0</v>
      </c>
      <c r="R561" s="1715">
        <f t="shared" si="59"/>
        <v>61100</v>
      </c>
      <c r="S561" s="1715">
        <f t="shared" si="58"/>
        <v>90.384615384615387</v>
      </c>
      <c r="T561" s="1715"/>
      <c r="U561" s="1715">
        <f t="shared" si="60"/>
        <v>6500</v>
      </c>
      <c r="V561" s="2658"/>
    </row>
    <row r="562" spans="1:22" s="1041" customFormat="1" ht="106.5" customHeight="1">
      <c r="A562" s="2658">
        <v>304</v>
      </c>
      <c r="B562" s="2735" t="s">
        <v>4942</v>
      </c>
      <c r="C562" s="2740" t="s">
        <v>5077</v>
      </c>
      <c r="D562" s="2741"/>
      <c r="E562" s="2742" t="s">
        <v>552</v>
      </c>
      <c r="F562" s="2738"/>
      <c r="G562" s="2738">
        <v>135600</v>
      </c>
      <c r="H562" s="2738"/>
      <c r="I562" s="2738"/>
      <c r="J562" s="2738"/>
      <c r="K562" s="2738"/>
      <c r="L562" s="2743"/>
      <c r="M562" s="2738">
        <f>'[10]NFMA46 '!I616</f>
        <v>135600</v>
      </c>
      <c r="N562" s="2738">
        <f>'[10]NFMA46 '!L616</f>
        <v>0</v>
      </c>
      <c r="O562" s="2738">
        <f t="shared" si="56"/>
        <v>0</v>
      </c>
      <c r="P562" s="2739">
        <f>'[10]NFMA46 '!K616</f>
        <v>135600</v>
      </c>
      <c r="Q562" s="1715">
        <f t="shared" si="57"/>
        <v>100</v>
      </c>
      <c r="R562" s="1715">
        <f t="shared" si="59"/>
        <v>135600</v>
      </c>
      <c r="S562" s="1715">
        <f t="shared" si="58"/>
        <v>100</v>
      </c>
      <c r="T562" s="1715"/>
      <c r="U562" s="1715">
        <f t="shared" si="60"/>
        <v>0</v>
      </c>
      <c r="V562" s="2658"/>
    </row>
    <row r="563" spans="1:22" s="1041" customFormat="1" ht="106.5" customHeight="1">
      <c r="A563" s="2658">
        <v>305</v>
      </c>
      <c r="B563" s="2735" t="s">
        <v>4935</v>
      </c>
      <c r="C563" s="2740" t="s">
        <v>5078</v>
      </c>
      <c r="D563" s="2741"/>
      <c r="E563" s="2742" t="s">
        <v>552</v>
      </c>
      <c r="F563" s="2738"/>
      <c r="G563" s="2738">
        <v>45200</v>
      </c>
      <c r="H563" s="2738"/>
      <c r="I563" s="2738"/>
      <c r="J563" s="2738"/>
      <c r="K563" s="2738"/>
      <c r="L563" s="2743"/>
      <c r="M563" s="2738">
        <f>'[10]NFMA46 '!I617</f>
        <v>45200</v>
      </c>
      <c r="N563" s="2738">
        <f>'[10]NFMA46 '!L617</f>
        <v>0</v>
      </c>
      <c r="O563" s="2738">
        <f t="shared" si="56"/>
        <v>0</v>
      </c>
      <c r="P563" s="2739">
        <f>'[10]NFMA46 '!K617</f>
        <v>45200</v>
      </c>
      <c r="Q563" s="1715">
        <f t="shared" si="57"/>
        <v>100</v>
      </c>
      <c r="R563" s="1715">
        <f t="shared" si="59"/>
        <v>45200</v>
      </c>
      <c r="S563" s="1715">
        <f t="shared" si="58"/>
        <v>100</v>
      </c>
      <c r="T563" s="1715"/>
      <c r="U563" s="1715">
        <f t="shared" si="60"/>
        <v>0</v>
      </c>
      <c r="V563" s="2658"/>
    </row>
    <row r="564" spans="1:22" s="1041" customFormat="1" ht="106.5" customHeight="1">
      <c r="A564" s="2658">
        <v>306</v>
      </c>
      <c r="B564" s="2735" t="s">
        <v>4937</v>
      </c>
      <c r="C564" s="2740" t="s">
        <v>5079</v>
      </c>
      <c r="D564" s="2741"/>
      <c r="E564" s="2742" t="s">
        <v>552</v>
      </c>
      <c r="F564" s="2738"/>
      <c r="G564" s="2738">
        <v>45200</v>
      </c>
      <c r="H564" s="2738"/>
      <c r="I564" s="2738"/>
      <c r="J564" s="2738"/>
      <c r="K564" s="2738"/>
      <c r="L564" s="2743">
        <v>0.98</v>
      </c>
      <c r="M564" s="2738">
        <f>'[10]NFMA46 '!I618-L564</f>
        <v>45199.02</v>
      </c>
      <c r="N564" s="2738">
        <f>'[10]NFMA46 '!L618</f>
        <v>45199.02</v>
      </c>
      <c r="O564" s="2738">
        <f t="shared" si="56"/>
        <v>100</v>
      </c>
      <c r="P564" s="2739">
        <f>'[10]NFMA46 '!K618</f>
        <v>0</v>
      </c>
      <c r="Q564" s="1715">
        <f t="shared" si="57"/>
        <v>0</v>
      </c>
      <c r="R564" s="1715">
        <f t="shared" si="59"/>
        <v>45199.02</v>
      </c>
      <c r="S564" s="1715">
        <f t="shared" si="58"/>
        <v>100</v>
      </c>
      <c r="T564" s="1715"/>
      <c r="U564" s="1715">
        <f t="shared" si="60"/>
        <v>0</v>
      </c>
      <c r="V564" s="2658"/>
    </row>
    <row r="565" spans="1:22" s="1041" customFormat="1" ht="106.5" customHeight="1">
      <c r="A565" s="2658">
        <v>307</v>
      </c>
      <c r="B565" s="2735" t="s">
        <v>4931</v>
      </c>
      <c r="C565" s="2740" t="s">
        <v>5081</v>
      </c>
      <c r="D565" s="2741"/>
      <c r="E565" s="2742" t="s">
        <v>552</v>
      </c>
      <c r="F565" s="2738"/>
      <c r="G565" s="2738">
        <v>45200</v>
      </c>
      <c r="H565" s="2738"/>
      <c r="I565" s="2738"/>
      <c r="J565" s="2738"/>
      <c r="K565" s="2738"/>
      <c r="L565" s="2743">
        <v>9970</v>
      </c>
      <c r="M565" s="2738">
        <f>'[10]NFMA46 '!I619-L565</f>
        <v>35230</v>
      </c>
      <c r="N565" s="2738">
        <f>'[10]NFMA46 '!L619</f>
        <v>35230</v>
      </c>
      <c r="O565" s="2738">
        <f t="shared" si="56"/>
        <v>100</v>
      </c>
      <c r="P565" s="2739">
        <f>'[10]NFMA46 '!K619</f>
        <v>0</v>
      </c>
      <c r="Q565" s="1715">
        <f t="shared" si="57"/>
        <v>0</v>
      </c>
      <c r="R565" s="1715">
        <f t="shared" si="59"/>
        <v>35230</v>
      </c>
      <c r="S565" s="1715">
        <f t="shared" si="58"/>
        <v>100</v>
      </c>
      <c r="T565" s="1715"/>
      <c r="U565" s="1715">
        <f t="shared" si="60"/>
        <v>0</v>
      </c>
      <c r="V565" s="2658"/>
    </row>
    <row r="566" spans="1:22" s="1041" customFormat="1" ht="106.5" customHeight="1">
      <c r="A566" s="2658">
        <v>308</v>
      </c>
      <c r="B566" s="2735" t="s">
        <v>4945</v>
      </c>
      <c r="C566" s="2740" t="s">
        <v>5082</v>
      </c>
      <c r="D566" s="2741"/>
      <c r="E566" s="2742" t="s">
        <v>558</v>
      </c>
      <c r="F566" s="2738"/>
      <c r="G566" s="2738">
        <v>45200</v>
      </c>
      <c r="H566" s="2738"/>
      <c r="I566" s="2738"/>
      <c r="J566" s="2738"/>
      <c r="K566" s="2738"/>
      <c r="L566" s="2743"/>
      <c r="M566" s="2738">
        <f>'[10]NFMA46 '!I620</f>
        <v>45200</v>
      </c>
      <c r="N566" s="2738">
        <f>'[10]NFMA46 '!L620</f>
        <v>0</v>
      </c>
      <c r="O566" s="2738">
        <f t="shared" si="56"/>
        <v>0</v>
      </c>
      <c r="P566" s="2739">
        <f>'[10]NFMA46 '!K620</f>
        <v>45200</v>
      </c>
      <c r="Q566" s="1715">
        <f t="shared" si="57"/>
        <v>100</v>
      </c>
      <c r="R566" s="1715">
        <f t="shared" si="59"/>
        <v>45200</v>
      </c>
      <c r="S566" s="1715">
        <f t="shared" si="58"/>
        <v>100</v>
      </c>
      <c r="T566" s="1715"/>
      <c r="U566" s="1715">
        <f t="shared" si="60"/>
        <v>0</v>
      </c>
      <c r="V566" s="2658"/>
    </row>
    <row r="567" spans="1:22" s="1041" customFormat="1" ht="106.5" customHeight="1">
      <c r="A567" s="2658">
        <v>309</v>
      </c>
      <c r="B567" s="2735" t="s">
        <v>4948</v>
      </c>
      <c r="C567" s="2740" t="s">
        <v>5083</v>
      </c>
      <c r="D567" s="2741"/>
      <c r="E567" s="2742" t="s">
        <v>558</v>
      </c>
      <c r="F567" s="2738"/>
      <c r="G567" s="2738">
        <v>45200</v>
      </c>
      <c r="H567" s="2738"/>
      <c r="I567" s="2738"/>
      <c r="J567" s="2738"/>
      <c r="K567" s="2738"/>
      <c r="L567" s="2743"/>
      <c r="M567" s="2738">
        <f>'[10]NFMA46 '!I621</f>
        <v>45200</v>
      </c>
      <c r="N567" s="2738">
        <f>'[10]NFMA46 '!L621</f>
        <v>45200</v>
      </c>
      <c r="O567" s="2738">
        <f t="shared" si="56"/>
        <v>100</v>
      </c>
      <c r="P567" s="2739">
        <f>'[10]NFMA46 '!K621</f>
        <v>0</v>
      </c>
      <c r="Q567" s="1715">
        <f t="shared" si="57"/>
        <v>0</v>
      </c>
      <c r="R567" s="1715">
        <f t="shared" si="59"/>
        <v>45200</v>
      </c>
      <c r="S567" s="1715">
        <f t="shared" si="58"/>
        <v>100</v>
      </c>
      <c r="T567" s="1715"/>
      <c r="U567" s="1715">
        <f t="shared" si="60"/>
        <v>0</v>
      </c>
      <c r="V567" s="2658"/>
    </row>
    <row r="568" spans="1:22" s="1041" customFormat="1" ht="106.5" customHeight="1">
      <c r="A568" s="2658">
        <v>310</v>
      </c>
      <c r="B568" s="2735" t="s">
        <v>5958</v>
      </c>
      <c r="C568" s="2740" t="s">
        <v>5084</v>
      </c>
      <c r="D568" s="2741"/>
      <c r="E568" s="2742" t="s">
        <v>558</v>
      </c>
      <c r="F568" s="2738"/>
      <c r="G568" s="2738">
        <v>45200</v>
      </c>
      <c r="H568" s="2738"/>
      <c r="I568" s="2738"/>
      <c r="J568" s="2738"/>
      <c r="K568" s="2738"/>
      <c r="L568" s="2743"/>
      <c r="M568" s="2738">
        <f>'[10]NFMA46 '!I622</f>
        <v>45200</v>
      </c>
      <c r="N568" s="2738">
        <f>'[10]NFMA46 '!L622</f>
        <v>0</v>
      </c>
      <c r="O568" s="2738">
        <f t="shared" si="56"/>
        <v>0</v>
      </c>
      <c r="P568" s="2739">
        <f>'[10]NFMA46 '!K622</f>
        <v>45200</v>
      </c>
      <c r="Q568" s="1715">
        <f t="shared" si="57"/>
        <v>100</v>
      </c>
      <c r="R568" s="1715">
        <f t="shared" si="59"/>
        <v>45200</v>
      </c>
      <c r="S568" s="1715">
        <f t="shared" si="58"/>
        <v>100</v>
      </c>
      <c r="T568" s="1715"/>
      <c r="U568" s="1715">
        <f t="shared" si="60"/>
        <v>0</v>
      </c>
      <c r="V568" s="2658"/>
    </row>
    <row r="569" spans="1:22" s="1041" customFormat="1" ht="106.5" customHeight="1">
      <c r="A569" s="2658">
        <v>311</v>
      </c>
      <c r="B569" s="2735" t="s">
        <v>5959</v>
      </c>
      <c r="C569" s="2740" t="s">
        <v>5085</v>
      </c>
      <c r="D569" s="2741"/>
      <c r="E569" s="2742" t="s">
        <v>558</v>
      </c>
      <c r="F569" s="2738"/>
      <c r="G569" s="2738">
        <v>45200</v>
      </c>
      <c r="H569" s="2738"/>
      <c r="I569" s="2738"/>
      <c r="J569" s="2738"/>
      <c r="K569" s="2738"/>
      <c r="L569" s="2743">
        <v>1743.14</v>
      </c>
      <c r="M569" s="2738">
        <f>'[10]NFMA46 '!I623-L569</f>
        <v>43456.86</v>
      </c>
      <c r="N569" s="2738">
        <f>'[10]NFMA46 '!L623</f>
        <v>43456.86</v>
      </c>
      <c r="O569" s="2738">
        <f t="shared" si="56"/>
        <v>100</v>
      </c>
      <c r="P569" s="2739">
        <f>'[10]NFMA46 '!K623</f>
        <v>0</v>
      </c>
      <c r="Q569" s="1715">
        <f t="shared" si="57"/>
        <v>0</v>
      </c>
      <c r="R569" s="1715">
        <f t="shared" si="59"/>
        <v>43456.86</v>
      </c>
      <c r="S569" s="1715">
        <f t="shared" si="58"/>
        <v>100</v>
      </c>
      <c r="T569" s="1715"/>
      <c r="U569" s="1715">
        <f t="shared" si="60"/>
        <v>0</v>
      </c>
      <c r="V569" s="2658"/>
    </row>
    <row r="570" spans="1:22" s="1041" customFormat="1" ht="106.5" customHeight="1">
      <c r="A570" s="2658">
        <v>312</v>
      </c>
      <c r="B570" s="2735" t="s">
        <v>5348</v>
      </c>
      <c r="C570" s="2740" t="s">
        <v>5086</v>
      </c>
      <c r="D570" s="2741"/>
      <c r="E570" s="2742" t="s">
        <v>558</v>
      </c>
      <c r="F570" s="2738"/>
      <c r="G570" s="2738">
        <v>45200</v>
      </c>
      <c r="H570" s="2738"/>
      <c r="I570" s="2738"/>
      <c r="J570" s="2738"/>
      <c r="K570" s="2738"/>
      <c r="L570" s="2743"/>
      <c r="M570" s="2738">
        <f>'[10]NFMA46 '!I624</f>
        <v>45200</v>
      </c>
      <c r="N570" s="2738">
        <f>'[10]NFMA46 '!L624</f>
        <v>45200</v>
      </c>
      <c r="O570" s="2738">
        <f t="shared" si="56"/>
        <v>100</v>
      </c>
      <c r="P570" s="2739">
        <f>'[10]NFMA46 '!K624</f>
        <v>0</v>
      </c>
      <c r="Q570" s="1715">
        <f t="shared" si="57"/>
        <v>0</v>
      </c>
      <c r="R570" s="1715">
        <f t="shared" si="59"/>
        <v>45200</v>
      </c>
      <c r="S570" s="1715">
        <f t="shared" si="58"/>
        <v>100</v>
      </c>
      <c r="T570" s="1715"/>
      <c r="U570" s="1715">
        <f t="shared" si="60"/>
        <v>0</v>
      </c>
      <c r="V570" s="2658"/>
    </row>
    <row r="571" spans="1:22" s="1041" customFormat="1" ht="106.5" customHeight="1">
      <c r="A571" s="2658">
        <v>313</v>
      </c>
      <c r="B571" s="2735" t="s">
        <v>5960</v>
      </c>
      <c r="C571" s="2740" t="s">
        <v>5087</v>
      </c>
      <c r="D571" s="2741"/>
      <c r="E571" s="2742" t="s">
        <v>543</v>
      </c>
      <c r="F571" s="2738"/>
      <c r="G571" s="2738">
        <v>45200</v>
      </c>
      <c r="H571" s="2738"/>
      <c r="I571" s="2738"/>
      <c r="J571" s="2738"/>
      <c r="K571" s="2738"/>
      <c r="L571" s="2743"/>
      <c r="M571" s="2738">
        <f>'[10]NFMA46 '!I626</f>
        <v>45200</v>
      </c>
      <c r="N571" s="2738">
        <f>'[10]NFMA46 '!L626</f>
        <v>0</v>
      </c>
      <c r="O571" s="2738">
        <f t="shared" si="56"/>
        <v>0</v>
      </c>
      <c r="P571" s="2739">
        <f>'[10]NFMA46 '!K626</f>
        <v>45200</v>
      </c>
      <c r="Q571" s="1715">
        <f t="shared" si="57"/>
        <v>100</v>
      </c>
      <c r="R571" s="1715">
        <f t="shared" si="59"/>
        <v>45200</v>
      </c>
      <c r="S571" s="1715">
        <f t="shared" si="58"/>
        <v>100</v>
      </c>
      <c r="T571" s="1715"/>
      <c r="U571" s="1715">
        <f t="shared" si="60"/>
        <v>0</v>
      </c>
      <c r="V571" s="2658"/>
    </row>
    <row r="572" spans="1:22" s="1041" customFormat="1" ht="106.5" customHeight="1">
      <c r="A572" s="2658">
        <v>314</v>
      </c>
      <c r="B572" s="2735" t="s">
        <v>5961</v>
      </c>
      <c r="C572" s="2740" t="s">
        <v>5088</v>
      </c>
      <c r="D572" s="2741"/>
      <c r="E572" s="2742" t="s">
        <v>543</v>
      </c>
      <c r="F572" s="2738"/>
      <c r="G572" s="2738">
        <v>90400</v>
      </c>
      <c r="H572" s="2738"/>
      <c r="I572" s="2738"/>
      <c r="J572" s="2738"/>
      <c r="K572" s="2738"/>
      <c r="L572" s="2743">
        <v>45200</v>
      </c>
      <c r="M572" s="2738">
        <f>'[10]NFMA46 '!I627-L572</f>
        <v>45200</v>
      </c>
      <c r="N572" s="2738">
        <f>'[10]NFMA46 '!L627</f>
        <v>0</v>
      </c>
      <c r="O572" s="2738">
        <f t="shared" si="56"/>
        <v>0</v>
      </c>
      <c r="P572" s="2739">
        <f>'[10]NFMA46 '!K627</f>
        <v>45200</v>
      </c>
      <c r="Q572" s="1715">
        <f t="shared" si="57"/>
        <v>100</v>
      </c>
      <c r="R572" s="1715">
        <f t="shared" si="59"/>
        <v>45200</v>
      </c>
      <c r="S572" s="1715">
        <f t="shared" si="58"/>
        <v>100</v>
      </c>
      <c r="T572" s="1715"/>
      <c r="U572" s="1715">
        <f t="shared" si="60"/>
        <v>0</v>
      </c>
      <c r="V572" s="2658"/>
    </row>
    <row r="573" spans="1:22" s="1041" customFormat="1" ht="106.5" customHeight="1">
      <c r="A573" s="2658">
        <v>315</v>
      </c>
      <c r="B573" s="2735" t="s">
        <v>5962</v>
      </c>
      <c r="C573" s="2740" t="s">
        <v>5089</v>
      </c>
      <c r="D573" s="2741"/>
      <c r="E573" s="2742" t="s">
        <v>543</v>
      </c>
      <c r="F573" s="2738"/>
      <c r="G573" s="2738">
        <v>45200</v>
      </c>
      <c r="H573" s="2738"/>
      <c r="I573" s="2738"/>
      <c r="J573" s="2738"/>
      <c r="K573" s="2738"/>
      <c r="L573" s="2743"/>
      <c r="M573" s="2738">
        <f>'[10]NFMA46 '!I628</f>
        <v>45200</v>
      </c>
      <c r="N573" s="2738">
        <f>'[10]NFMA46 '!L628</f>
        <v>0</v>
      </c>
      <c r="O573" s="2738">
        <f t="shared" si="56"/>
        <v>0</v>
      </c>
      <c r="P573" s="2739">
        <f>'[10]NFMA46 '!K628</f>
        <v>45200</v>
      </c>
      <c r="Q573" s="1715">
        <f t="shared" si="57"/>
        <v>100</v>
      </c>
      <c r="R573" s="1715">
        <f t="shared" si="59"/>
        <v>45200</v>
      </c>
      <c r="S573" s="1715">
        <f t="shared" si="58"/>
        <v>100</v>
      </c>
      <c r="T573" s="1715"/>
      <c r="U573" s="1715">
        <f t="shared" si="60"/>
        <v>0</v>
      </c>
      <c r="V573" s="2658"/>
    </row>
    <row r="574" spans="1:22" s="1041" customFormat="1" ht="106.5" customHeight="1">
      <c r="A574" s="2658">
        <v>316</v>
      </c>
      <c r="B574" s="2735" t="s">
        <v>5963</v>
      </c>
      <c r="C574" s="2740" t="s">
        <v>5090</v>
      </c>
      <c r="D574" s="2741"/>
      <c r="E574" s="2742" t="s">
        <v>2978</v>
      </c>
      <c r="F574" s="2738"/>
      <c r="G574" s="2738">
        <v>45200</v>
      </c>
      <c r="H574" s="2738"/>
      <c r="I574" s="2738"/>
      <c r="J574" s="2738"/>
      <c r="K574" s="2738"/>
      <c r="L574" s="2743"/>
      <c r="M574" s="2738">
        <f>'[10]NFMA46 '!I629</f>
        <v>45200</v>
      </c>
      <c r="N574" s="2738">
        <f>'[10]NFMA46 '!L629</f>
        <v>45200</v>
      </c>
      <c r="O574" s="2738">
        <f t="shared" si="56"/>
        <v>100</v>
      </c>
      <c r="P574" s="2739">
        <f>'[10]NFMA46 '!K629</f>
        <v>0</v>
      </c>
      <c r="Q574" s="1715">
        <f t="shared" si="57"/>
        <v>0</v>
      </c>
      <c r="R574" s="1715">
        <f t="shared" si="59"/>
        <v>45200</v>
      </c>
      <c r="S574" s="1715">
        <f t="shared" si="58"/>
        <v>100</v>
      </c>
      <c r="T574" s="1715"/>
      <c r="U574" s="1715">
        <f t="shared" si="60"/>
        <v>0</v>
      </c>
      <c r="V574" s="2658"/>
    </row>
    <row r="575" spans="1:22" s="1041" customFormat="1" ht="106.5" customHeight="1">
      <c r="A575" s="2658">
        <v>317</v>
      </c>
      <c r="B575" s="2735" t="s">
        <v>4966</v>
      </c>
      <c r="C575" s="2740" t="s">
        <v>5091</v>
      </c>
      <c r="D575" s="2741"/>
      <c r="E575" s="2742" t="s">
        <v>358</v>
      </c>
      <c r="F575" s="2738"/>
      <c r="G575" s="2738">
        <v>90400</v>
      </c>
      <c r="H575" s="2738"/>
      <c r="I575" s="2738"/>
      <c r="J575" s="2738"/>
      <c r="K575" s="2738"/>
      <c r="L575" s="2743">
        <f>45200+45200</f>
        <v>90400</v>
      </c>
      <c r="M575" s="2738">
        <f>'[10]NFMA46 '!I630-L575</f>
        <v>0</v>
      </c>
      <c r="N575" s="2738">
        <f>'[10]NFMA46 '!L630</f>
        <v>0</v>
      </c>
      <c r="O575" s="2738" t="e">
        <f t="shared" si="56"/>
        <v>#DIV/0!</v>
      </c>
      <c r="P575" s="2739">
        <f>'[10]NFMA46 '!K630</f>
        <v>0</v>
      </c>
      <c r="Q575" s="1715" t="e">
        <f t="shared" si="57"/>
        <v>#DIV/0!</v>
      </c>
      <c r="R575" s="1715">
        <f t="shared" si="59"/>
        <v>0</v>
      </c>
      <c r="S575" s="1715" t="e">
        <f t="shared" si="58"/>
        <v>#DIV/0!</v>
      </c>
      <c r="T575" s="1715"/>
      <c r="U575" s="1715">
        <f t="shared" si="60"/>
        <v>0</v>
      </c>
      <c r="V575" s="2658"/>
    </row>
    <row r="576" spans="1:22" s="1041" customFormat="1" ht="106.5" customHeight="1">
      <c r="A576" s="2658">
        <v>318</v>
      </c>
      <c r="B576" s="2735" t="s">
        <v>4955</v>
      </c>
      <c r="C576" s="2740" t="s">
        <v>5092</v>
      </c>
      <c r="D576" s="2741"/>
      <c r="E576" s="2742" t="s">
        <v>358</v>
      </c>
      <c r="F576" s="2738"/>
      <c r="G576" s="2738">
        <v>45200</v>
      </c>
      <c r="H576" s="2738"/>
      <c r="I576" s="2738"/>
      <c r="J576" s="2738"/>
      <c r="K576" s="2738"/>
      <c r="L576" s="2743"/>
      <c r="M576" s="2738">
        <f>'[10]NFMA46 '!I631</f>
        <v>45200</v>
      </c>
      <c r="N576" s="2738">
        <f>'[10]NFMA46 '!L631</f>
        <v>45200</v>
      </c>
      <c r="O576" s="2738">
        <f t="shared" si="56"/>
        <v>100</v>
      </c>
      <c r="P576" s="2739">
        <f>'[10]NFMA46 '!K631</f>
        <v>0</v>
      </c>
      <c r="Q576" s="1715">
        <f t="shared" si="57"/>
        <v>0</v>
      </c>
      <c r="R576" s="1715">
        <f t="shared" si="59"/>
        <v>45200</v>
      </c>
      <c r="S576" s="1715">
        <f t="shared" si="58"/>
        <v>100</v>
      </c>
      <c r="T576" s="1715"/>
      <c r="U576" s="1715">
        <f t="shared" si="60"/>
        <v>0</v>
      </c>
      <c r="V576" s="2658"/>
    </row>
    <row r="577" spans="1:22" s="1041" customFormat="1" ht="106.5" customHeight="1">
      <c r="A577" s="2658">
        <v>319</v>
      </c>
      <c r="B577" s="2735" t="s">
        <v>4971</v>
      </c>
      <c r="C577" s="2740" t="s">
        <v>5093</v>
      </c>
      <c r="D577" s="2741"/>
      <c r="E577" s="2742" t="s">
        <v>555</v>
      </c>
      <c r="F577" s="2738"/>
      <c r="G577" s="2738">
        <v>90400</v>
      </c>
      <c r="H577" s="2738"/>
      <c r="I577" s="2738"/>
      <c r="J577" s="2738"/>
      <c r="K577" s="2738"/>
      <c r="L577" s="2743"/>
      <c r="M577" s="2738">
        <f>'[10]NFMA46 '!I632</f>
        <v>90400</v>
      </c>
      <c r="N577" s="2738">
        <f>'[10]NFMA46 '!L632</f>
        <v>90400</v>
      </c>
      <c r="O577" s="2738">
        <f t="shared" si="56"/>
        <v>100</v>
      </c>
      <c r="P577" s="2739">
        <f>'[10]NFMA46 '!K632</f>
        <v>0</v>
      </c>
      <c r="Q577" s="1715">
        <f t="shared" si="57"/>
        <v>0</v>
      </c>
      <c r="R577" s="1715">
        <f t="shared" si="59"/>
        <v>90400</v>
      </c>
      <c r="S577" s="1715">
        <f t="shared" si="58"/>
        <v>100</v>
      </c>
      <c r="T577" s="1715"/>
      <c r="U577" s="1715">
        <f t="shared" si="60"/>
        <v>0</v>
      </c>
      <c r="V577" s="2658"/>
    </row>
    <row r="578" spans="1:22" s="1041" customFormat="1" ht="106.5" customHeight="1">
      <c r="A578" s="2658">
        <v>320</v>
      </c>
      <c r="B578" s="2735" t="s">
        <v>4986</v>
      </c>
      <c r="C578" s="2740" t="s">
        <v>5094</v>
      </c>
      <c r="D578" s="2741"/>
      <c r="E578" s="2742" t="s">
        <v>555</v>
      </c>
      <c r="F578" s="2738"/>
      <c r="G578" s="2738">
        <v>45200</v>
      </c>
      <c r="H578" s="2738"/>
      <c r="I578" s="2738"/>
      <c r="J578" s="2738"/>
      <c r="K578" s="2738"/>
      <c r="L578" s="2743"/>
      <c r="M578" s="2738">
        <f>'[10]NFMA46 '!I633</f>
        <v>45200</v>
      </c>
      <c r="N578" s="2738">
        <f>'[10]NFMA46 '!L633</f>
        <v>45200</v>
      </c>
      <c r="O578" s="2738">
        <f t="shared" si="56"/>
        <v>100</v>
      </c>
      <c r="P578" s="2739">
        <f>'[10]NFMA46 '!K633</f>
        <v>0</v>
      </c>
      <c r="Q578" s="1715">
        <f t="shared" si="57"/>
        <v>0</v>
      </c>
      <c r="R578" s="1715">
        <f t="shared" si="59"/>
        <v>45200</v>
      </c>
      <c r="S578" s="1715">
        <f t="shared" si="58"/>
        <v>100</v>
      </c>
      <c r="T578" s="1715"/>
      <c r="U578" s="1715">
        <f t="shared" si="60"/>
        <v>0</v>
      </c>
      <c r="V578" s="2658"/>
    </row>
    <row r="579" spans="1:22" s="1041" customFormat="1" ht="106.5" customHeight="1">
      <c r="A579" s="2658">
        <v>321</v>
      </c>
      <c r="B579" s="2735" t="s">
        <v>4974</v>
      </c>
      <c r="C579" s="2740" t="s">
        <v>5095</v>
      </c>
      <c r="D579" s="2741"/>
      <c r="E579" s="2742" t="s">
        <v>555</v>
      </c>
      <c r="F579" s="2738"/>
      <c r="G579" s="2738">
        <v>45200</v>
      </c>
      <c r="H579" s="2738"/>
      <c r="I579" s="2738"/>
      <c r="J579" s="2738"/>
      <c r="K579" s="2738"/>
      <c r="L579" s="2743">
        <v>3200</v>
      </c>
      <c r="M579" s="2738">
        <f>'[10]NFMA46 '!I634-L579</f>
        <v>42000</v>
      </c>
      <c r="N579" s="2738">
        <f>'[10]NFMA46 '!L634</f>
        <v>42000</v>
      </c>
      <c r="O579" s="2738">
        <f t="shared" si="56"/>
        <v>100</v>
      </c>
      <c r="P579" s="2739">
        <f>'[10]NFMA46 '!K634</f>
        <v>0</v>
      </c>
      <c r="Q579" s="1715">
        <f t="shared" si="57"/>
        <v>0</v>
      </c>
      <c r="R579" s="1715">
        <f t="shared" si="59"/>
        <v>42000</v>
      </c>
      <c r="S579" s="1715">
        <f t="shared" si="58"/>
        <v>100</v>
      </c>
      <c r="T579" s="1715"/>
      <c r="U579" s="1715">
        <f t="shared" si="60"/>
        <v>0</v>
      </c>
      <c r="V579" s="2658"/>
    </row>
    <row r="580" spans="1:22" s="1041" customFormat="1" ht="106.5" customHeight="1">
      <c r="A580" s="2658">
        <v>322</v>
      </c>
      <c r="B580" s="2735" t="s">
        <v>4981</v>
      </c>
      <c r="C580" s="2740" t="s">
        <v>5096</v>
      </c>
      <c r="D580" s="2741"/>
      <c r="E580" s="2742" t="s">
        <v>555</v>
      </c>
      <c r="F580" s="2738"/>
      <c r="G580" s="2738">
        <v>45200</v>
      </c>
      <c r="H580" s="2738"/>
      <c r="I580" s="2738"/>
      <c r="J580" s="2738"/>
      <c r="K580" s="2738"/>
      <c r="L580" s="2743"/>
      <c r="M580" s="2738">
        <f>'[10]NFMA46 '!I635</f>
        <v>45200</v>
      </c>
      <c r="N580" s="2738">
        <f>'[10]NFMA46 '!L635</f>
        <v>45200</v>
      </c>
      <c r="O580" s="2738">
        <f t="shared" si="56"/>
        <v>100</v>
      </c>
      <c r="P580" s="2739">
        <f>'[10]NFMA46 '!K635</f>
        <v>0</v>
      </c>
      <c r="Q580" s="1715">
        <f t="shared" si="57"/>
        <v>0</v>
      </c>
      <c r="R580" s="1715">
        <f t="shared" si="59"/>
        <v>45200</v>
      </c>
      <c r="S580" s="1715">
        <f t="shared" si="58"/>
        <v>100</v>
      </c>
      <c r="T580" s="1715"/>
      <c r="U580" s="1715">
        <f t="shared" si="60"/>
        <v>0</v>
      </c>
      <c r="V580" s="2658"/>
    </row>
    <row r="581" spans="1:22" s="1041" customFormat="1" ht="106.5" customHeight="1">
      <c r="A581" s="2658">
        <v>323</v>
      </c>
      <c r="B581" s="2735" t="s">
        <v>4983</v>
      </c>
      <c r="C581" s="2740" t="s">
        <v>5098</v>
      </c>
      <c r="D581" s="2741"/>
      <c r="E581" s="2742" t="s">
        <v>555</v>
      </c>
      <c r="F581" s="2738"/>
      <c r="G581" s="2738">
        <v>271200</v>
      </c>
      <c r="H581" s="2738"/>
      <c r="I581" s="2738"/>
      <c r="J581" s="2738"/>
      <c r="K581" s="2738"/>
      <c r="L581" s="2743"/>
      <c r="M581" s="2738">
        <f>'[10]NFMA46 '!I636</f>
        <v>271200</v>
      </c>
      <c r="N581" s="2738">
        <f>'[10]NFMA46 '!L636</f>
        <v>271200</v>
      </c>
      <c r="O581" s="2738">
        <f t="shared" ref="O581:O644" si="61">N581/M581*100</f>
        <v>100</v>
      </c>
      <c r="P581" s="2739">
        <f>'[10]NFMA46 '!K636</f>
        <v>0</v>
      </c>
      <c r="Q581" s="1715">
        <f t="shared" ref="Q581:Q644" si="62">P581/M581*100</f>
        <v>0</v>
      </c>
      <c r="R581" s="1715">
        <f t="shared" si="59"/>
        <v>271200</v>
      </c>
      <c r="S581" s="1715">
        <f t="shared" ref="S581:S644" si="63">R581/M581*100</f>
        <v>100</v>
      </c>
      <c r="T581" s="1715"/>
      <c r="U581" s="1715">
        <f t="shared" si="60"/>
        <v>0</v>
      </c>
      <c r="V581" s="2658"/>
    </row>
    <row r="582" spans="1:22" s="1041" customFormat="1" ht="106.5" customHeight="1">
      <c r="A582" s="2658">
        <v>324</v>
      </c>
      <c r="B582" s="2735" t="s">
        <v>4976</v>
      </c>
      <c r="C582" s="2740" t="s">
        <v>5099</v>
      </c>
      <c r="D582" s="2741"/>
      <c r="E582" s="2742" t="s">
        <v>555</v>
      </c>
      <c r="F582" s="2738"/>
      <c r="G582" s="2738">
        <v>45200</v>
      </c>
      <c r="H582" s="2738"/>
      <c r="I582" s="2738"/>
      <c r="J582" s="2738"/>
      <c r="K582" s="2738"/>
      <c r="L582" s="2743"/>
      <c r="M582" s="2738">
        <f>'[10]NFMA46 '!I637</f>
        <v>45200</v>
      </c>
      <c r="N582" s="2738">
        <f>'[10]NFMA46 '!L637</f>
        <v>45200</v>
      </c>
      <c r="O582" s="2738">
        <f t="shared" si="61"/>
        <v>100</v>
      </c>
      <c r="P582" s="2739">
        <f>'[10]NFMA46 '!K637</f>
        <v>0</v>
      </c>
      <c r="Q582" s="1715">
        <f t="shared" si="62"/>
        <v>0</v>
      </c>
      <c r="R582" s="1715">
        <f t="shared" si="59"/>
        <v>45200</v>
      </c>
      <c r="S582" s="1715">
        <f t="shared" si="63"/>
        <v>100</v>
      </c>
      <c r="T582" s="1715"/>
      <c r="U582" s="1715">
        <f t="shared" si="60"/>
        <v>0</v>
      </c>
      <c r="V582" s="2658"/>
    </row>
    <row r="583" spans="1:22" s="1041" customFormat="1" ht="106.5" customHeight="1">
      <c r="A583" s="2658">
        <v>325</v>
      </c>
      <c r="B583" s="2735" t="s">
        <v>4984</v>
      </c>
      <c r="C583" s="2740" t="s">
        <v>5100</v>
      </c>
      <c r="D583" s="2741"/>
      <c r="E583" s="2742" t="s">
        <v>555</v>
      </c>
      <c r="F583" s="2738"/>
      <c r="G583" s="2738">
        <v>45200</v>
      </c>
      <c r="H583" s="2738"/>
      <c r="I583" s="2738"/>
      <c r="J583" s="2738"/>
      <c r="K583" s="2738"/>
      <c r="L583" s="2743"/>
      <c r="M583" s="2738">
        <f>'[10]NFMA46 '!I638</f>
        <v>45200</v>
      </c>
      <c r="N583" s="2738">
        <f>'[10]NFMA46 '!L638</f>
        <v>45200</v>
      </c>
      <c r="O583" s="2738">
        <f t="shared" si="61"/>
        <v>100</v>
      </c>
      <c r="P583" s="2739">
        <f>'[10]NFMA46 '!K638</f>
        <v>0</v>
      </c>
      <c r="Q583" s="1715">
        <f t="shared" si="62"/>
        <v>0</v>
      </c>
      <c r="R583" s="1715">
        <f t="shared" ref="R583:R644" si="64">P583+N583</f>
        <v>45200</v>
      </c>
      <c r="S583" s="1715">
        <f t="shared" si="63"/>
        <v>100</v>
      </c>
      <c r="T583" s="1715"/>
      <c r="U583" s="1715">
        <f t="shared" ref="U583:U644" si="65">M583-R583</f>
        <v>0</v>
      </c>
      <c r="V583" s="2658"/>
    </row>
    <row r="584" spans="1:22" s="1041" customFormat="1" ht="106.5" customHeight="1">
      <c r="A584" s="2658">
        <v>326</v>
      </c>
      <c r="B584" s="2735" t="s">
        <v>4978</v>
      </c>
      <c r="C584" s="2740" t="s">
        <v>5101</v>
      </c>
      <c r="D584" s="2741"/>
      <c r="E584" s="2742" t="s">
        <v>555</v>
      </c>
      <c r="F584" s="2738"/>
      <c r="G584" s="2738">
        <v>45200</v>
      </c>
      <c r="H584" s="2738"/>
      <c r="I584" s="2738"/>
      <c r="J584" s="2738"/>
      <c r="K584" s="2738"/>
      <c r="L584" s="2743"/>
      <c r="M584" s="2738">
        <f>'[10]NFMA46 '!I639</f>
        <v>45200</v>
      </c>
      <c r="N584" s="2738">
        <f>'[10]NFMA46 '!L639</f>
        <v>45200</v>
      </c>
      <c r="O584" s="2738">
        <f t="shared" si="61"/>
        <v>100</v>
      </c>
      <c r="P584" s="2739">
        <f>'[10]NFMA46 '!K639</f>
        <v>0</v>
      </c>
      <c r="Q584" s="1715">
        <f t="shared" si="62"/>
        <v>0</v>
      </c>
      <c r="R584" s="1715">
        <f t="shared" si="64"/>
        <v>45200</v>
      </c>
      <c r="S584" s="1715">
        <f t="shared" si="63"/>
        <v>100</v>
      </c>
      <c r="T584" s="1715"/>
      <c r="U584" s="1715">
        <f t="shared" si="65"/>
        <v>0</v>
      </c>
      <c r="V584" s="2658"/>
    </row>
    <row r="585" spans="1:22" s="1041" customFormat="1" ht="106.5" customHeight="1">
      <c r="A585" s="2658">
        <v>327</v>
      </c>
      <c r="B585" s="2735" t="s">
        <v>5964</v>
      </c>
      <c r="C585" s="2740" t="s">
        <v>5102</v>
      </c>
      <c r="D585" s="2741"/>
      <c r="E585" s="2742" t="s">
        <v>551</v>
      </c>
      <c r="F585" s="2738"/>
      <c r="G585" s="2738">
        <v>135600</v>
      </c>
      <c r="H585" s="2738"/>
      <c r="I585" s="2738"/>
      <c r="J585" s="2738"/>
      <c r="K585" s="2738"/>
      <c r="L585" s="2743">
        <v>10536.36</v>
      </c>
      <c r="M585" s="2738">
        <f>'[10]NFMA46 '!I640-L585</f>
        <v>125063.64</v>
      </c>
      <c r="N585" s="2738">
        <f>'[10]NFMA46 '!L640</f>
        <v>0</v>
      </c>
      <c r="O585" s="2738">
        <f t="shared" si="61"/>
        <v>0</v>
      </c>
      <c r="P585" s="2739">
        <f>'[10]NFMA46 '!K640</f>
        <v>125063.64</v>
      </c>
      <c r="Q585" s="1715">
        <f t="shared" si="62"/>
        <v>100</v>
      </c>
      <c r="R585" s="1715">
        <f t="shared" si="64"/>
        <v>125063.64</v>
      </c>
      <c r="S585" s="1715">
        <f t="shared" si="63"/>
        <v>100</v>
      </c>
      <c r="T585" s="1715"/>
      <c r="U585" s="1715">
        <f t="shared" si="65"/>
        <v>0</v>
      </c>
      <c r="V585" s="2658"/>
    </row>
    <row r="586" spans="1:22" s="1041" customFormat="1" ht="106.5" customHeight="1">
      <c r="A586" s="2658">
        <v>328</v>
      </c>
      <c r="B586" s="2735" t="s">
        <v>5965</v>
      </c>
      <c r="C586" s="2740" t="s">
        <v>5103</v>
      </c>
      <c r="D586" s="2741"/>
      <c r="E586" s="2742" t="s">
        <v>551</v>
      </c>
      <c r="F586" s="2738"/>
      <c r="G586" s="2738">
        <v>226000</v>
      </c>
      <c r="H586" s="2738"/>
      <c r="I586" s="2738"/>
      <c r="J586" s="2738"/>
      <c r="K586" s="2738"/>
      <c r="L586" s="2743"/>
      <c r="M586" s="2738">
        <f>'[10]NFMA46 '!I641</f>
        <v>226000</v>
      </c>
      <c r="N586" s="2738">
        <f>'[10]NFMA46 '!L641</f>
        <v>226000</v>
      </c>
      <c r="O586" s="2738">
        <f t="shared" si="61"/>
        <v>100</v>
      </c>
      <c r="P586" s="2739">
        <f>'[10]NFMA46 '!K641</f>
        <v>0</v>
      </c>
      <c r="Q586" s="1715">
        <f t="shared" si="62"/>
        <v>0</v>
      </c>
      <c r="R586" s="1715">
        <f t="shared" si="64"/>
        <v>226000</v>
      </c>
      <c r="S586" s="1715">
        <f t="shared" si="63"/>
        <v>100</v>
      </c>
      <c r="T586" s="1715"/>
      <c r="U586" s="1715">
        <f t="shared" si="65"/>
        <v>0</v>
      </c>
      <c r="V586" s="2658"/>
    </row>
    <row r="587" spans="1:22" s="1041" customFormat="1" ht="106.5" customHeight="1">
      <c r="A587" s="2658">
        <v>329</v>
      </c>
      <c r="B587" s="2735" t="s">
        <v>5966</v>
      </c>
      <c r="C587" s="2740" t="s">
        <v>5105</v>
      </c>
      <c r="D587" s="2741"/>
      <c r="E587" s="2742" t="s">
        <v>551</v>
      </c>
      <c r="F587" s="2738"/>
      <c r="G587" s="2738">
        <v>45200</v>
      </c>
      <c r="H587" s="2738"/>
      <c r="I587" s="2738"/>
      <c r="J587" s="2738"/>
      <c r="K587" s="2738"/>
      <c r="L587" s="2743">
        <v>7073</v>
      </c>
      <c r="M587" s="2738">
        <f>'[10]NFMA46 '!I642-L587</f>
        <v>38127</v>
      </c>
      <c r="N587" s="2738">
        <f>'[10]NFMA46 '!L642</f>
        <v>0</v>
      </c>
      <c r="O587" s="2738">
        <f t="shared" si="61"/>
        <v>0</v>
      </c>
      <c r="P587" s="2739">
        <f>'[10]NFMA46 '!K642</f>
        <v>38127</v>
      </c>
      <c r="Q587" s="1715">
        <f t="shared" si="62"/>
        <v>100</v>
      </c>
      <c r="R587" s="1715">
        <f t="shared" si="64"/>
        <v>38127</v>
      </c>
      <c r="S587" s="1715">
        <f t="shared" si="63"/>
        <v>100</v>
      </c>
      <c r="T587" s="1715"/>
      <c r="U587" s="1715">
        <f t="shared" si="65"/>
        <v>0</v>
      </c>
      <c r="V587" s="2658"/>
    </row>
    <row r="588" spans="1:22" s="1041" customFormat="1" ht="106.5" customHeight="1">
      <c r="A588" s="2658">
        <v>330</v>
      </c>
      <c r="B588" s="2735" t="s">
        <v>5967</v>
      </c>
      <c r="C588" s="2740" t="s">
        <v>5106</v>
      </c>
      <c r="D588" s="2741"/>
      <c r="E588" s="2742" t="s">
        <v>551</v>
      </c>
      <c r="F588" s="2738"/>
      <c r="G588" s="2738">
        <v>135600</v>
      </c>
      <c r="H588" s="2738"/>
      <c r="I588" s="2738"/>
      <c r="J588" s="2738"/>
      <c r="K588" s="2738"/>
      <c r="L588" s="2743"/>
      <c r="M588" s="2738">
        <f>'[10]NFMA46 '!I643</f>
        <v>135600</v>
      </c>
      <c r="N588" s="2738">
        <f>'[10]NFMA46 '!L643</f>
        <v>0</v>
      </c>
      <c r="O588" s="2738">
        <f t="shared" si="61"/>
        <v>0</v>
      </c>
      <c r="P588" s="2739">
        <f>'[10]NFMA46 '!K643</f>
        <v>135600</v>
      </c>
      <c r="Q588" s="1715">
        <f t="shared" si="62"/>
        <v>100</v>
      </c>
      <c r="R588" s="1715">
        <f t="shared" si="64"/>
        <v>135600</v>
      </c>
      <c r="S588" s="1715">
        <f t="shared" si="63"/>
        <v>100</v>
      </c>
      <c r="T588" s="1715"/>
      <c r="U588" s="1715">
        <f t="shared" si="65"/>
        <v>0</v>
      </c>
      <c r="V588" s="2658"/>
    </row>
    <row r="589" spans="1:22" s="1041" customFormat="1" ht="106.5" customHeight="1">
      <c r="A589" s="2658">
        <v>331</v>
      </c>
      <c r="B589" s="2735" t="s">
        <v>4989</v>
      </c>
      <c r="C589" s="2740" t="s">
        <v>5107</v>
      </c>
      <c r="D589" s="2741"/>
      <c r="E589" s="2742" t="s">
        <v>551</v>
      </c>
      <c r="F589" s="2738"/>
      <c r="G589" s="2738">
        <v>90400</v>
      </c>
      <c r="H589" s="2738"/>
      <c r="I589" s="2738"/>
      <c r="J589" s="2738"/>
      <c r="K589" s="2738"/>
      <c r="L589" s="2743">
        <f>22083.23+2262.2</f>
        <v>24345.43</v>
      </c>
      <c r="M589" s="2738">
        <f>'[10]NFMA46 '!I644-L589</f>
        <v>66054.570000000007</v>
      </c>
      <c r="N589" s="2738">
        <f>'[10]NFMA46 '!L644</f>
        <v>66054.570000000007</v>
      </c>
      <c r="O589" s="2738">
        <f t="shared" si="61"/>
        <v>100</v>
      </c>
      <c r="P589" s="2739">
        <f>'[10]NFMA46 '!K644</f>
        <v>0</v>
      </c>
      <c r="Q589" s="1715">
        <f t="shared" si="62"/>
        <v>0</v>
      </c>
      <c r="R589" s="1715">
        <f t="shared" si="64"/>
        <v>66054.570000000007</v>
      </c>
      <c r="S589" s="1715">
        <f t="shared" si="63"/>
        <v>100</v>
      </c>
      <c r="T589" s="1715"/>
      <c r="U589" s="1715">
        <f t="shared" si="65"/>
        <v>0</v>
      </c>
      <c r="V589" s="2658"/>
    </row>
    <row r="590" spans="1:22" s="1041" customFormat="1" ht="106.5" customHeight="1">
      <c r="A590" s="2658">
        <v>332</v>
      </c>
      <c r="B590" s="2735" t="s">
        <v>4991</v>
      </c>
      <c r="C590" s="2740" t="s">
        <v>5108</v>
      </c>
      <c r="D590" s="2741"/>
      <c r="E590" s="2742" t="s">
        <v>551</v>
      </c>
      <c r="F590" s="2738"/>
      <c r="G590" s="2738">
        <v>45200</v>
      </c>
      <c r="H590" s="2738"/>
      <c r="I590" s="2738"/>
      <c r="J590" s="2738"/>
      <c r="K590" s="2738"/>
      <c r="L590" s="2743"/>
      <c r="M590" s="2738">
        <f>'[10]NFMA46 '!I645</f>
        <v>45200</v>
      </c>
      <c r="N590" s="2738">
        <f>'[10]NFMA46 '!L645</f>
        <v>0</v>
      </c>
      <c r="O590" s="2738">
        <f t="shared" si="61"/>
        <v>0</v>
      </c>
      <c r="P590" s="2739">
        <f>'[10]NFMA46 '!K645</f>
        <v>45200</v>
      </c>
      <c r="Q590" s="1715">
        <f t="shared" si="62"/>
        <v>100</v>
      </c>
      <c r="R590" s="1715">
        <f t="shared" si="64"/>
        <v>45200</v>
      </c>
      <c r="S590" s="1715">
        <f t="shared" si="63"/>
        <v>100</v>
      </c>
      <c r="T590" s="1715"/>
      <c r="U590" s="1715">
        <f t="shared" si="65"/>
        <v>0</v>
      </c>
      <c r="V590" s="2658"/>
    </row>
    <row r="591" spans="1:22" s="1041" customFormat="1" ht="106.5" customHeight="1">
      <c r="A591" s="2658">
        <v>333</v>
      </c>
      <c r="B591" s="2735" t="s">
        <v>5968</v>
      </c>
      <c r="C591" s="2740" t="s">
        <v>5109</v>
      </c>
      <c r="D591" s="2741"/>
      <c r="E591" s="2742" t="s">
        <v>551</v>
      </c>
      <c r="F591" s="2738"/>
      <c r="G591" s="2738">
        <v>90400</v>
      </c>
      <c r="H591" s="2738"/>
      <c r="I591" s="2738"/>
      <c r="J591" s="2738"/>
      <c r="K591" s="2738"/>
      <c r="L591" s="2743"/>
      <c r="M591" s="2738">
        <f>'[10]NFMA46 '!I646</f>
        <v>90400</v>
      </c>
      <c r="N591" s="2738">
        <f>'[10]NFMA46 '!L646</f>
        <v>0</v>
      </c>
      <c r="O591" s="2738">
        <f t="shared" si="61"/>
        <v>0</v>
      </c>
      <c r="P591" s="2739">
        <f>'[10]NFMA46 '!K646</f>
        <v>90400</v>
      </c>
      <c r="Q591" s="1715">
        <f t="shared" si="62"/>
        <v>100</v>
      </c>
      <c r="R591" s="1715">
        <f t="shared" si="64"/>
        <v>90400</v>
      </c>
      <c r="S591" s="1715">
        <f t="shared" si="63"/>
        <v>100</v>
      </c>
      <c r="T591" s="1715"/>
      <c r="U591" s="1715">
        <f t="shared" si="65"/>
        <v>0</v>
      </c>
      <c r="V591" s="2658"/>
    </row>
    <row r="592" spans="1:22" s="1041" customFormat="1" ht="106.5" customHeight="1">
      <c r="A592" s="2658">
        <v>334</v>
      </c>
      <c r="B592" s="2735" t="s">
        <v>5969</v>
      </c>
      <c r="C592" s="2740" t="s">
        <v>5110</v>
      </c>
      <c r="D592" s="2741"/>
      <c r="E592" s="2742" t="s">
        <v>551</v>
      </c>
      <c r="F592" s="2738"/>
      <c r="G592" s="2738">
        <v>45200</v>
      </c>
      <c r="H592" s="2738"/>
      <c r="I592" s="2738"/>
      <c r="J592" s="2738"/>
      <c r="K592" s="2738"/>
      <c r="L592" s="2743"/>
      <c r="M592" s="2738">
        <f>'[10]NFMA46 '!I647</f>
        <v>45200</v>
      </c>
      <c r="N592" s="2738">
        <f>'[10]NFMA46 '!L647</f>
        <v>0</v>
      </c>
      <c r="O592" s="2738">
        <f t="shared" si="61"/>
        <v>0</v>
      </c>
      <c r="P592" s="2739">
        <f>'[10]NFMA46 '!K647</f>
        <v>45200</v>
      </c>
      <c r="Q592" s="1715">
        <f t="shared" si="62"/>
        <v>100</v>
      </c>
      <c r="R592" s="1715">
        <f t="shared" si="64"/>
        <v>45200</v>
      </c>
      <c r="S592" s="1715">
        <f t="shared" si="63"/>
        <v>100</v>
      </c>
      <c r="T592" s="1715"/>
      <c r="U592" s="1715">
        <f t="shared" si="65"/>
        <v>0</v>
      </c>
      <c r="V592" s="2658"/>
    </row>
    <row r="593" spans="1:22" s="1041" customFormat="1" ht="106.5" customHeight="1">
      <c r="A593" s="2658">
        <v>335</v>
      </c>
      <c r="B593" s="2735" t="s">
        <v>5003</v>
      </c>
      <c r="C593" s="2740" t="s">
        <v>5111</v>
      </c>
      <c r="D593" s="2741"/>
      <c r="E593" s="2742" t="s">
        <v>560</v>
      </c>
      <c r="F593" s="2738"/>
      <c r="G593" s="2738">
        <v>135600</v>
      </c>
      <c r="H593" s="2738"/>
      <c r="I593" s="2738"/>
      <c r="J593" s="2738"/>
      <c r="K593" s="2738"/>
      <c r="L593" s="2743"/>
      <c r="M593" s="2738">
        <f>'[10]NFMA46 '!I648</f>
        <v>135600</v>
      </c>
      <c r="N593" s="2738">
        <f>'[10]NFMA46 '!L648</f>
        <v>135600</v>
      </c>
      <c r="O593" s="2738">
        <f t="shared" si="61"/>
        <v>100</v>
      </c>
      <c r="P593" s="2739">
        <f>'[10]NFMA46 '!K648</f>
        <v>0</v>
      </c>
      <c r="Q593" s="1715">
        <f t="shared" si="62"/>
        <v>0</v>
      </c>
      <c r="R593" s="1715">
        <f t="shared" si="64"/>
        <v>135600</v>
      </c>
      <c r="S593" s="1715">
        <f t="shared" si="63"/>
        <v>100</v>
      </c>
      <c r="T593" s="1715"/>
      <c r="U593" s="1715">
        <f t="shared" si="65"/>
        <v>0</v>
      </c>
      <c r="V593" s="2658"/>
    </row>
    <row r="594" spans="1:22" s="1041" customFormat="1" ht="106.5" customHeight="1">
      <c r="A594" s="2658">
        <v>336</v>
      </c>
      <c r="B594" s="2735" t="s">
        <v>5005</v>
      </c>
      <c r="C594" s="2740" t="s">
        <v>5112</v>
      </c>
      <c r="D594" s="2741"/>
      <c r="E594" s="2742" t="s">
        <v>560</v>
      </c>
      <c r="F594" s="2738"/>
      <c r="G594" s="2738">
        <v>45200</v>
      </c>
      <c r="H594" s="2738"/>
      <c r="I594" s="2738"/>
      <c r="J594" s="2738"/>
      <c r="K594" s="2738"/>
      <c r="L594" s="2743"/>
      <c r="M594" s="2738">
        <f>'[10]NFMA46 '!I649</f>
        <v>45200</v>
      </c>
      <c r="N594" s="2738">
        <f>'[10]NFMA46 '!L649</f>
        <v>44132</v>
      </c>
      <c r="O594" s="2738">
        <f t="shared" si="61"/>
        <v>97.637168141592923</v>
      </c>
      <c r="P594" s="2739">
        <f>'[10]NFMA46 '!K649</f>
        <v>0</v>
      </c>
      <c r="Q594" s="1715">
        <f t="shared" si="62"/>
        <v>0</v>
      </c>
      <c r="R594" s="1715">
        <f t="shared" si="64"/>
        <v>44132</v>
      </c>
      <c r="S594" s="1715">
        <f t="shared" si="63"/>
        <v>97.637168141592923</v>
      </c>
      <c r="T594" s="1715"/>
      <c r="U594" s="1715">
        <f t="shared" si="65"/>
        <v>1068</v>
      </c>
      <c r="V594" s="2658"/>
    </row>
    <row r="595" spans="1:22" s="1041" customFormat="1" ht="106.5" customHeight="1">
      <c r="A595" s="2658">
        <v>337</v>
      </c>
      <c r="B595" s="2735" t="s">
        <v>5970</v>
      </c>
      <c r="C595" s="2740" t="s">
        <v>5113</v>
      </c>
      <c r="D595" s="2741"/>
      <c r="E595" s="2742" t="s">
        <v>560</v>
      </c>
      <c r="F595" s="2738"/>
      <c r="G595" s="2738">
        <v>90400</v>
      </c>
      <c r="H595" s="2738"/>
      <c r="I595" s="2738"/>
      <c r="J595" s="2738"/>
      <c r="K595" s="2738"/>
      <c r="L595" s="2743"/>
      <c r="M595" s="2738">
        <f>'[10]NFMA46 '!I650</f>
        <v>90400</v>
      </c>
      <c r="N595" s="2738">
        <f>'[10]NFMA46 '!L650</f>
        <v>87276</v>
      </c>
      <c r="O595" s="2738">
        <f t="shared" si="61"/>
        <v>96.544247787610615</v>
      </c>
      <c r="P595" s="2739">
        <f>'[10]NFMA46 '!K650</f>
        <v>0</v>
      </c>
      <c r="Q595" s="1715">
        <f t="shared" si="62"/>
        <v>0</v>
      </c>
      <c r="R595" s="1715">
        <f t="shared" si="64"/>
        <v>87276</v>
      </c>
      <c r="S595" s="1715">
        <f t="shared" si="63"/>
        <v>96.544247787610615</v>
      </c>
      <c r="T595" s="1715"/>
      <c r="U595" s="1715">
        <f t="shared" si="65"/>
        <v>3124</v>
      </c>
      <c r="V595" s="2658"/>
    </row>
    <row r="596" spans="1:22" s="1041" customFormat="1" ht="106.5" customHeight="1">
      <c r="A596" s="2658">
        <v>338</v>
      </c>
      <c r="B596" s="2735" t="s">
        <v>4998</v>
      </c>
      <c r="C596" s="2740" t="s">
        <v>5114</v>
      </c>
      <c r="D596" s="2741"/>
      <c r="E596" s="2742" t="s">
        <v>560</v>
      </c>
      <c r="F596" s="2738"/>
      <c r="G596" s="2738">
        <v>135600</v>
      </c>
      <c r="H596" s="2738"/>
      <c r="I596" s="2738"/>
      <c r="J596" s="2738"/>
      <c r="K596" s="2738"/>
      <c r="L596" s="2743"/>
      <c r="M596" s="2738">
        <f>'[10]NFMA46 '!I651</f>
        <v>135600</v>
      </c>
      <c r="N596" s="2738">
        <f>'[10]NFMA46 '!L651</f>
        <v>127625.64</v>
      </c>
      <c r="O596" s="2738">
        <f t="shared" si="61"/>
        <v>94.119203539823005</v>
      </c>
      <c r="P596" s="2739">
        <f>'[10]NFMA46 '!K651</f>
        <v>0</v>
      </c>
      <c r="Q596" s="1715">
        <f t="shared" si="62"/>
        <v>0</v>
      </c>
      <c r="R596" s="1715">
        <f t="shared" si="64"/>
        <v>127625.64</v>
      </c>
      <c r="S596" s="1715">
        <f t="shared" si="63"/>
        <v>94.119203539823005</v>
      </c>
      <c r="T596" s="1715"/>
      <c r="U596" s="1715">
        <f t="shared" si="65"/>
        <v>7974.3600000000006</v>
      </c>
      <c r="V596" s="2658"/>
    </row>
    <row r="597" spans="1:22" s="1041" customFormat="1" ht="106.5" customHeight="1">
      <c r="A597" s="2658">
        <v>339</v>
      </c>
      <c r="B597" s="2735" t="s">
        <v>5013</v>
      </c>
      <c r="C597" s="2740" t="s">
        <v>5115</v>
      </c>
      <c r="D597" s="2741"/>
      <c r="E597" s="2742" t="s">
        <v>560</v>
      </c>
      <c r="F597" s="2738"/>
      <c r="G597" s="2738">
        <v>45200</v>
      </c>
      <c r="H597" s="2738"/>
      <c r="I597" s="2738"/>
      <c r="J597" s="2738"/>
      <c r="K597" s="2738"/>
      <c r="L597" s="2743"/>
      <c r="M597" s="2738">
        <f>'[10]NFMA46 '!I652</f>
        <v>45200</v>
      </c>
      <c r="N597" s="2738">
        <f>'[10]NFMA46 '!L652</f>
        <v>45200</v>
      </c>
      <c r="O597" s="2738">
        <f t="shared" si="61"/>
        <v>100</v>
      </c>
      <c r="P597" s="2739">
        <f>'[10]NFMA46 '!K652</f>
        <v>0</v>
      </c>
      <c r="Q597" s="1715">
        <f t="shared" si="62"/>
        <v>0</v>
      </c>
      <c r="R597" s="1715">
        <f t="shared" si="64"/>
        <v>45200</v>
      </c>
      <c r="S597" s="1715">
        <f t="shared" si="63"/>
        <v>100</v>
      </c>
      <c r="T597" s="1715"/>
      <c r="U597" s="1715">
        <f t="shared" si="65"/>
        <v>0</v>
      </c>
      <c r="V597" s="2658"/>
    </row>
    <row r="598" spans="1:22" s="1041" customFormat="1" ht="105" customHeight="1">
      <c r="A598" s="2658">
        <v>340</v>
      </c>
      <c r="B598" s="2735" t="s">
        <v>5011</v>
      </c>
      <c r="C598" s="2740" t="s">
        <v>5116</v>
      </c>
      <c r="D598" s="2741"/>
      <c r="E598" s="2742" t="s">
        <v>560</v>
      </c>
      <c r="F598" s="2738"/>
      <c r="G598" s="2738">
        <v>226000</v>
      </c>
      <c r="H598" s="2738"/>
      <c r="I598" s="2738"/>
      <c r="J598" s="2738"/>
      <c r="K598" s="2738"/>
      <c r="L598" s="2743"/>
      <c r="M598" s="2738">
        <f>'[10]NFMA46 '!I655</f>
        <v>226000</v>
      </c>
      <c r="N598" s="2738">
        <f>'[10]NFMA46 '!L655</f>
        <v>214572.55</v>
      </c>
      <c r="O598" s="2738">
        <f t="shared" si="61"/>
        <v>94.943606194690261</v>
      </c>
      <c r="P598" s="2739">
        <f>'[10]NFMA46 '!K655</f>
        <v>0</v>
      </c>
      <c r="Q598" s="1715">
        <f t="shared" si="62"/>
        <v>0</v>
      </c>
      <c r="R598" s="1715">
        <f t="shared" si="64"/>
        <v>214572.55</v>
      </c>
      <c r="S598" s="1715">
        <f t="shared" si="63"/>
        <v>94.943606194690261</v>
      </c>
      <c r="T598" s="1715"/>
      <c r="U598" s="1715">
        <f t="shared" si="65"/>
        <v>11427.450000000012</v>
      </c>
      <c r="V598" s="2658"/>
    </row>
    <row r="599" spans="1:22" s="1041" customFormat="1" ht="105" customHeight="1">
      <c r="A599" s="2658">
        <v>341</v>
      </c>
      <c r="B599" s="2735" t="s">
        <v>5006</v>
      </c>
      <c r="C599" s="2740" t="s">
        <v>5117</v>
      </c>
      <c r="D599" s="2741"/>
      <c r="E599" s="2742" t="s">
        <v>560</v>
      </c>
      <c r="F599" s="2738"/>
      <c r="G599" s="2738">
        <v>45200</v>
      </c>
      <c r="H599" s="2738"/>
      <c r="I599" s="2738"/>
      <c r="J599" s="2738"/>
      <c r="K599" s="2738"/>
      <c r="L599" s="2743"/>
      <c r="M599" s="2738">
        <f>'[10]NFMA46 '!I656</f>
        <v>45200</v>
      </c>
      <c r="N599" s="2738">
        <f>'[10]NFMA46 '!L656</f>
        <v>30821</v>
      </c>
      <c r="O599" s="2738">
        <f t="shared" si="61"/>
        <v>68.188053097345133</v>
      </c>
      <c r="P599" s="2739">
        <f>'[10]NFMA46 '!K656</f>
        <v>0</v>
      </c>
      <c r="Q599" s="1715">
        <f t="shared" si="62"/>
        <v>0</v>
      </c>
      <c r="R599" s="1715">
        <f t="shared" si="64"/>
        <v>30821</v>
      </c>
      <c r="S599" s="1715">
        <f t="shared" si="63"/>
        <v>68.188053097345133</v>
      </c>
      <c r="T599" s="1715"/>
      <c r="U599" s="1715">
        <f t="shared" si="65"/>
        <v>14379</v>
      </c>
      <c r="V599" s="2658"/>
    </row>
    <row r="600" spans="1:22" s="1041" customFormat="1" ht="99" customHeight="1">
      <c r="A600" s="2658">
        <v>342</v>
      </c>
      <c r="B600" s="2735" t="s">
        <v>5008</v>
      </c>
      <c r="C600" s="2740" t="s">
        <v>5119</v>
      </c>
      <c r="D600" s="2741"/>
      <c r="E600" s="2742" t="s">
        <v>560</v>
      </c>
      <c r="F600" s="2738"/>
      <c r="G600" s="2738">
        <v>45200</v>
      </c>
      <c r="H600" s="2738"/>
      <c r="I600" s="2738"/>
      <c r="J600" s="2738"/>
      <c r="K600" s="2738"/>
      <c r="L600" s="2743"/>
      <c r="M600" s="2738">
        <f>'[10]NFMA46 '!I658</f>
        <v>45200</v>
      </c>
      <c r="N600" s="2738">
        <f>'[10]NFMA46 '!L658</f>
        <v>0</v>
      </c>
      <c r="O600" s="2738">
        <f t="shared" si="61"/>
        <v>0</v>
      </c>
      <c r="P600" s="2739">
        <f>'[10]NFMA46 '!K658</f>
        <v>45200</v>
      </c>
      <c r="Q600" s="1715">
        <f t="shared" si="62"/>
        <v>100</v>
      </c>
      <c r="R600" s="1715">
        <f t="shared" si="64"/>
        <v>45200</v>
      </c>
      <c r="S600" s="1715">
        <f t="shared" si="63"/>
        <v>100</v>
      </c>
      <c r="T600" s="1715"/>
      <c r="U600" s="1715">
        <f t="shared" si="65"/>
        <v>0</v>
      </c>
      <c r="V600" s="2658"/>
    </row>
    <row r="601" spans="1:22" s="1041" customFormat="1" ht="99" customHeight="1">
      <c r="A601" s="2658">
        <v>343</v>
      </c>
      <c r="B601" s="2735" t="s">
        <v>5971</v>
      </c>
      <c r="C601" s="2740" t="s">
        <v>5120</v>
      </c>
      <c r="D601" s="2741"/>
      <c r="E601" s="2742" t="s">
        <v>582</v>
      </c>
      <c r="F601" s="2738"/>
      <c r="G601" s="2738">
        <v>90400</v>
      </c>
      <c r="H601" s="2738"/>
      <c r="I601" s="2738"/>
      <c r="J601" s="2738"/>
      <c r="K601" s="2738"/>
      <c r="L601" s="2743"/>
      <c r="M601" s="2738">
        <f>'[10]NFMA46 '!I659</f>
        <v>90400</v>
      </c>
      <c r="N601" s="2738">
        <f>'[10]NFMA46 '!L659</f>
        <v>0</v>
      </c>
      <c r="O601" s="2738">
        <f t="shared" si="61"/>
        <v>0</v>
      </c>
      <c r="P601" s="2739">
        <f>'[10]NFMA46 '!K659</f>
        <v>90400</v>
      </c>
      <c r="Q601" s="1715">
        <f t="shared" si="62"/>
        <v>100</v>
      </c>
      <c r="R601" s="1715">
        <f t="shared" si="64"/>
        <v>90400</v>
      </c>
      <c r="S601" s="1715">
        <f t="shared" si="63"/>
        <v>100</v>
      </c>
      <c r="T601" s="1715"/>
      <c r="U601" s="1715">
        <f t="shared" si="65"/>
        <v>0</v>
      </c>
      <c r="V601" s="2658"/>
    </row>
    <row r="602" spans="1:22" s="1041" customFormat="1" ht="99" customHeight="1">
      <c r="A602" s="2658">
        <v>344</v>
      </c>
      <c r="B602" s="2735" t="s">
        <v>5025</v>
      </c>
      <c r="C602" s="2740" t="s">
        <v>5121</v>
      </c>
      <c r="D602" s="2741"/>
      <c r="E602" s="2742" t="s">
        <v>1179</v>
      </c>
      <c r="F602" s="2738"/>
      <c r="G602" s="2738">
        <v>45200</v>
      </c>
      <c r="H602" s="2738"/>
      <c r="I602" s="2738"/>
      <c r="J602" s="2738"/>
      <c r="K602" s="2738"/>
      <c r="L602" s="2743">
        <v>12338.84</v>
      </c>
      <c r="M602" s="2738">
        <f>'[10]NFMA46 '!I660-L602</f>
        <v>32861.160000000003</v>
      </c>
      <c r="N602" s="2738">
        <f>'[10]NFMA46 '!L660</f>
        <v>32861.160000000003</v>
      </c>
      <c r="O602" s="2738">
        <f t="shared" si="61"/>
        <v>100</v>
      </c>
      <c r="P602" s="2739">
        <f>'[10]NFMA46 '!K660</f>
        <v>0</v>
      </c>
      <c r="Q602" s="1715">
        <f t="shared" si="62"/>
        <v>0</v>
      </c>
      <c r="R602" s="1715">
        <f t="shared" si="64"/>
        <v>32861.160000000003</v>
      </c>
      <c r="S602" s="1715">
        <f t="shared" si="63"/>
        <v>100</v>
      </c>
      <c r="T602" s="1715"/>
      <c r="U602" s="1715">
        <f t="shared" si="65"/>
        <v>0</v>
      </c>
      <c r="V602" s="2658"/>
    </row>
    <row r="603" spans="1:22" s="1041" customFormat="1" ht="99" customHeight="1">
      <c r="A603" s="2658">
        <v>345</v>
      </c>
      <c r="B603" s="2735" t="s">
        <v>5022</v>
      </c>
      <c r="C603" s="2740" t="s">
        <v>5122</v>
      </c>
      <c r="D603" s="2741"/>
      <c r="E603" s="2742" t="s">
        <v>1179</v>
      </c>
      <c r="F603" s="2738"/>
      <c r="G603" s="2738">
        <v>45200</v>
      </c>
      <c r="H603" s="2738"/>
      <c r="I603" s="2738"/>
      <c r="J603" s="2738"/>
      <c r="K603" s="2738"/>
      <c r="L603" s="2743"/>
      <c r="M603" s="2738">
        <f>'[10]NFMA46 '!I661</f>
        <v>45200</v>
      </c>
      <c r="N603" s="2738">
        <f>'[10]NFMA46 '!L661</f>
        <v>0</v>
      </c>
      <c r="O603" s="2738">
        <f t="shared" si="61"/>
        <v>0</v>
      </c>
      <c r="P603" s="2739">
        <f>'[10]NFMA46 '!K661</f>
        <v>45200</v>
      </c>
      <c r="Q603" s="1715">
        <f t="shared" si="62"/>
        <v>100</v>
      </c>
      <c r="R603" s="1715">
        <f t="shared" si="64"/>
        <v>45200</v>
      </c>
      <c r="S603" s="1715">
        <f t="shared" si="63"/>
        <v>100</v>
      </c>
      <c r="T603" s="1715"/>
      <c r="U603" s="1715">
        <f t="shared" si="65"/>
        <v>0</v>
      </c>
      <c r="V603" s="2658"/>
    </row>
    <row r="604" spans="1:22" s="1041" customFormat="1" ht="99" customHeight="1">
      <c r="A604" s="2658">
        <v>346</v>
      </c>
      <c r="B604" s="2735" t="s">
        <v>5972</v>
      </c>
      <c r="C604" s="2740" t="s">
        <v>5124</v>
      </c>
      <c r="D604" s="2741"/>
      <c r="E604" s="2742" t="s">
        <v>2982</v>
      </c>
      <c r="F604" s="2738"/>
      <c r="G604" s="2738">
        <v>45200</v>
      </c>
      <c r="H604" s="2738"/>
      <c r="I604" s="2738"/>
      <c r="J604" s="2738"/>
      <c r="K604" s="2738"/>
      <c r="L604" s="2743">
        <v>18200</v>
      </c>
      <c r="M604" s="2738">
        <f>'[10]NFMA46 '!I662-L604</f>
        <v>27000</v>
      </c>
      <c r="N604" s="2738">
        <f>'[10]NFMA46 '!L662</f>
        <v>0</v>
      </c>
      <c r="O604" s="2738">
        <f t="shared" si="61"/>
        <v>0</v>
      </c>
      <c r="P604" s="2739">
        <f>'[10]NFMA46 '!K662</f>
        <v>27000</v>
      </c>
      <c r="Q604" s="1715">
        <f t="shared" si="62"/>
        <v>100</v>
      </c>
      <c r="R604" s="1715">
        <f t="shared" si="64"/>
        <v>27000</v>
      </c>
      <c r="S604" s="1715">
        <f t="shared" si="63"/>
        <v>100</v>
      </c>
      <c r="T604" s="1715"/>
      <c r="U604" s="1715">
        <f t="shared" si="65"/>
        <v>0</v>
      </c>
      <c r="V604" s="2658"/>
    </row>
    <row r="605" spans="1:22" s="1041" customFormat="1" ht="101.25" customHeight="1">
      <c r="A605" s="2658">
        <v>347</v>
      </c>
      <c r="B605" s="2735" t="s">
        <v>5973</v>
      </c>
      <c r="C605" s="2740" t="s">
        <v>5126</v>
      </c>
      <c r="D605" s="2741"/>
      <c r="E605" s="2742" t="s">
        <v>2982</v>
      </c>
      <c r="F605" s="2738"/>
      <c r="G605" s="2738">
        <v>45200</v>
      </c>
      <c r="H605" s="2738"/>
      <c r="I605" s="2738"/>
      <c r="J605" s="2738"/>
      <c r="K605" s="2738"/>
      <c r="L605" s="2743"/>
      <c r="M605" s="2738">
        <f>'[10]NFMA46 '!I663</f>
        <v>45200</v>
      </c>
      <c r="N605" s="2738">
        <f>'[10]NFMA46 '!L663</f>
        <v>0</v>
      </c>
      <c r="O605" s="2738">
        <f t="shared" si="61"/>
        <v>0</v>
      </c>
      <c r="P605" s="2739">
        <f>'[10]NFMA46 '!K663</f>
        <v>21742</v>
      </c>
      <c r="Q605" s="1715">
        <f t="shared" si="62"/>
        <v>48.101769911504427</v>
      </c>
      <c r="R605" s="1715">
        <f t="shared" si="64"/>
        <v>21742</v>
      </c>
      <c r="S605" s="1715">
        <f t="shared" si="63"/>
        <v>48.101769911504427</v>
      </c>
      <c r="T605" s="1715"/>
      <c r="U605" s="1715">
        <f t="shared" si="65"/>
        <v>23458</v>
      </c>
      <c r="V605" s="2658"/>
    </row>
    <row r="606" spans="1:22" s="1041" customFormat="1" ht="101.25" customHeight="1">
      <c r="A606" s="2658">
        <v>348</v>
      </c>
      <c r="B606" s="2735" t="s">
        <v>5030</v>
      </c>
      <c r="C606" s="2740" t="s">
        <v>5127</v>
      </c>
      <c r="D606" s="2741"/>
      <c r="E606" s="2742" t="s">
        <v>2982</v>
      </c>
      <c r="F606" s="2738"/>
      <c r="G606" s="2738">
        <v>135600</v>
      </c>
      <c r="H606" s="2738"/>
      <c r="I606" s="2738"/>
      <c r="J606" s="2738"/>
      <c r="K606" s="2738"/>
      <c r="L606" s="2743">
        <v>36810</v>
      </c>
      <c r="M606" s="2738">
        <f>'[10]NFMA46 '!I664-L606</f>
        <v>98790</v>
      </c>
      <c r="N606" s="2738">
        <f>'[10]NFMA46 '!L664</f>
        <v>98790</v>
      </c>
      <c r="O606" s="2738">
        <f t="shared" si="61"/>
        <v>100</v>
      </c>
      <c r="P606" s="2739">
        <f>'[10]NFMA46 '!K664</f>
        <v>0</v>
      </c>
      <c r="Q606" s="1715">
        <f t="shared" si="62"/>
        <v>0</v>
      </c>
      <c r="R606" s="1715">
        <f t="shared" si="64"/>
        <v>98790</v>
      </c>
      <c r="S606" s="1715">
        <f t="shared" si="63"/>
        <v>100</v>
      </c>
      <c r="T606" s="1715"/>
      <c r="U606" s="1715">
        <f t="shared" si="65"/>
        <v>0</v>
      </c>
      <c r="V606" s="2658"/>
    </row>
    <row r="607" spans="1:22" s="1041" customFormat="1" ht="101.25" customHeight="1">
      <c r="A607" s="2658">
        <v>349</v>
      </c>
      <c r="B607" s="2735" t="s">
        <v>5038</v>
      </c>
      <c r="C607" s="2740" t="s">
        <v>5128</v>
      </c>
      <c r="D607" s="2741"/>
      <c r="E607" s="2742" t="s">
        <v>1187</v>
      </c>
      <c r="F607" s="2738"/>
      <c r="G607" s="2738">
        <v>45200</v>
      </c>
      <c r="H607" s="2738"/>
      <c r="I607" s="2738"/>
      <c r="J607" s="2738"/>
      <c r="K607" s="2738"/>
      <c r="L607" s="2743"/>
      <c r="M607" s="2738">
        <f>'[10]NFMA46 '!I665</f>
        <v>45200</v>
      </c>
      <c r="N607" s="2738">
        <f>'[10]NFMA46 '!L665</f>
        <v>0</v>
      </c>
      <c r="O607" s="2738">
        <f t="shared" si="61"/>
        <v>0</v>
      </c>
      <c r="P607" s="2739">
        <f>'[10]NFMA46 '!K665</f>
        <v>45200</v>
      </c>
      <c r="Q607" s="1715">
        <f t="shared" si="62"/>
        <v>100</v>
      </c>
      <c r="R607" s="1715">
        <f t="shared" si="64"/>
        <v>45200</v>
      </c>
      <c r="S607" s="1715">
        <f t="shared" si="63"/>
        <v>100</v>
      </c>
      <c r="T607" s="1715"/>
      <c r="U607" s="1715">
        <f t="shared" si="65"/>
        <v>0</v>
      </c>
      <c r="V607" s="2658"/>
    </row>
    <row r="608" spans="1:22" s="1041" customFormat="1" ht="101.25" customHeight="1">
      <c r="A608" s="2658">
        <v>350</v>
      </c>
      <c r="B608" s="2735" t="s">
        <v>5048</v>
      </c>
      <c r="C608" s="2740" t="s">
        <v>5130</v>
      </c>
      <c r="D608" s="2741"/>
      <c r="E608" s="2742" t="s">
        <v>550</v>
      </c>
      <c r="F608" s="2738"/>
      <c r="G608" s="2738">
        <v>45200</v>
      </c>
      <c r="H608" s="2738"/>
      <c r="I608" s="2738"/>
      <c r="J608" s="2738"/>
      <c r="K608" s="2738"/>
      <c r="L608" s="2743"/>
      <c r="M608" s="2738">
        <f>'[10]NFMA46 '!I666</f>
        <v>45200</v>
      </c>
      <c r="N608" s="2738">
        <f>'[10]NFMA46 '!L666</f>
        <v>45200</v>
      </c>
      <c r="O608" s="2738">
        <f t="shared" si="61"/>
        <v>100</v>
      </c>
      <c r="P608" s="2739">
        <f>'[10]NFMA46 '!K666</f>
        <v>0</v>
      </c>
      <c r="Q608" s="1715">
        <f t="shared" si="62"/>
        <v>0</v>
      </c>
      <c r="R608" s="1715">
        <f t="shared" si="64"/>
        <v>45200</v>
      </c>
      <c r="S608" s="1715">
        <f t="shared" si="63"/>
        <v>100</v>
      </c>
      <c r="T608" s="1715"/>
      <c r="U608" s="1715">
        <f t="shared" si="65"/>
        <v>0</v>
      </c>
      <c r="V608" s="2658"/>
    </row>
    <row r="609" spans="1:22" s="1041" customFormat="1" ht="101.25" customHeight="1">
      <c r="A609" s="2658">
        <v>351</v>
      </c>
      <c r="B609" s="2735" t="s">
        <v>5043</v>
      </c>
      <c r="C609" s="2740" t="s">
        <v>5131</v>
      </c>
      <c r="D609" s="2741"/>
      <c r="E609" s="2742" t="s">
        <v>550</v>
      </c>
      <c r="F609" s="2738"/>
      <c r="G609" s="2738">
        <v>90400</v>
      </c>
      <c r="H609" s="2738"/>
      <c r="I609" s="2738"/>
      <c r="J609" s="2738"/>
      <c r="K609" s="2738"/>
      <c r="L609" s="2743"/>
      <c r="M609" s="2738">
        <f>'[10]NFMA46 '!I667</f>
        <v>90400</v>
      </c>
      <c r="N609" s="2738">
        <f>'[10]NFMA46 '!L667</f>
        <v>90400</v>
      </c>
      <c r="O609" s="2738">
        <f t="shared" si="61"/>
        <v>100</v>
      </c>
      <c r="P609" s="2739">
        <f>'[10]NFMA46 '!K667</f>
        <v>0</v>
      </c>
      <c r="Q609" s="1715">
        <f t="shared" si="62"/>
        <v>0</v>
      </c>
      <c r="R609" s="1715">
        <f t="shared" si="64"/>
        <v>90400</v>
      </c>
      <c r="S609" s="1715">
        <f t="shared" si="63"/>
        <v>100</v>
      </c>
      <c r="T609" s="1715"/>
      <c r="U609" s="1715">
        <f t="shared" si="65"/>
        <v>0</v>
      </c>
      <c r="V609" s="2658"/>
    </row>
    <row r="610" spans="1:22" s="1041" customFormat="1" ht="101.25" customHeight="1">
      <c r="A610" s="2658">
        <v>352</v>
      </c>
      <c r="B610" s="2735" t="s">
        <v>5054</v>
      </c>
      <c r="C610" s="2740" t="s">
        <v>5132</v>
      </c>
      <c r="D610" s="2741"/>
      <c r="E610" s="2742" t="s">
        <v>550</v>
      </c>
      <c r="F610" s="2738"/>
      <c r="G610" s="2738">
        <v>45200</v>
      </c>
      <c r="H610" s="2738"/>
      <c r="I610" s="2738"/>
      <c r="J610" s="2738"/>
      <c r="K610" s="2738"/>
      <c r="L610" s="2743"/>
      <c r="M610" s="2738">
        <f>'[10]NFMA46 '!I668</f>
        <v>45200</v>
      </c>
      <c r="N610" s="2738">
        <f>'[10]NFMA46 '!L668</f>
        <v>45200</v>
      </c>
      <c r="O610" s="2738">
        <f t="shared" si="61"/>
        <v>100</v>
      </c>
      <c r="P610" s="2739">
        <f>'[10]NFMA46 '!K668</f>
        <v>0</v>
      </c>
      <c r="Q610" s="1715">
        <f t="shared" si="62"/>
        <v>0</v>
      </c>
      <c r="R610" s="1715">
        <f t="shared" si="64"/>
        <v>45200</v>
      </c>
      <c r="S610" s="1715">
        <f t="shared" si="63"/>
        <v>100</v>
      </c>
      <c r="T610" s="1715"/>
      <c r="U610" s="1715">
        <f t="shared" si="65"/>
        <v>0</v>
      </c>
      <c r="V610" s="2658"/>
    </row>
    <row r="611" spans="1:22" s="1041" customFormat="1" ht="101.25" customHeight="1">
      <c r="A611" s="2658">
        <v>353</v>
      </c>
      <c r="B611" s="2735" t="s">
        <v>5040</v>
      </c>
      <c r="C611" s="2740" t="s">
        <v>5134</v>
      </c>
      <c r="D611" s="2741"/>
      <c r="E611" s="2742" t="s">
        <v>550</v>
      </c>
      <c r="F611" s="2738"/>
      <c r="G611" s="2738">
        <v>226000</v>
      </c>
      <c r="H611" s="2738"/>
      <c r="I611" s="2738"/>
      <c r="J611" s="2738"/>
      <c r="K611" s="2738"/>
      <c r="L611" s="2743"/>
      <c r="M611" s="2738">
        <f>'[10]NFMA46 '!I669</f>
        <v>226000</v>
      </c>
      <c r="N611" s="2738">
        <f>'[10]NFMA46 '!L669</f>
        <v>226000</v>
      </c>
      <c r="O611" s="2738">
        <f t="shared" si="61"/>
        <v>100</v>
      </c>
      <c r="P611" s="2739">
        <f>'[10]NFMA46 '!K669</f>
        <v>0</v>
      </c>
      <c r="Q611" s="1715">
        <f t="shared" si="62"/>
        <v>0</v>
      </c>
      <c r="R611" s="1715">
        <f t="shared" si="64"/>
        <v>226000</v>
      </c>
      <c r="S611" s="1715">
        <f t="shared" si="63"/>
        <v>100</v>
      </c>
      <c r="T611" s="1715"/>
      <c r="U611" s="1715">
        <f t="shared" si="65"/>
        <v>0</v>
      </c>
      <c r="V611" s="2658"/>
    </row>
    <row r="612" spans="1:22" s="1041" customFormat="1" ht="101.25" customHeight="1">
      <c r="A612" s="2658">
        <v>354</v>
      </c>
      <c r="B612" s="2735" t="s">
        <v>5045</v>
      </c>
      <c r="C612" s="2740" t="s">
        <v>5135</v>
      </c>
      <c r="D612" s="2741"/>
      <c r="E612" s="2742" t="s">
        <v>550</v>
      </c>
      <c r="F612" s="2738"/>
      <c r="G612" s="2738">
        <v>45200</v>
      </c>
      <c r="H612" s="2738"/>
      <c r="I612" s="2738"/>
      <c r="J612" s="2738"/>
      <c r="K612" s="2738"/>
      <c r="L612" s="2743"/>
      <c r="M612" s="2738">
        <f>'[10]NFMA46 '!I670</f>
        <v>45200</v>
      </c>
      <c r="N612" s="2738">
        <f>'[10]NFMA46 '!L670</f>
        <v>45200</v>
      </c>
      <c r="O612" s="2738">
        <f t="shared" si="61"/>
        <v>100</v>
      </c>
      <c r="P612" s="2739">
        <f>'[10]NFMA46 '!K670</f>
        <v>0</v>
      </c>
      <c r="Q612" s="1715">
        <f t="shared" si="62"/>
        <v>0</v>
      </c>
      <c r="R612" s="1715">
        <f t="shared" si="64"/>
        <v>45200</v>
      </c>
      <c r="S612" s="1715">
        <f t="shared" si="63"/>
        <v>100</v>
      </c>
      <c r="T612" s="1715"/>
      <c r="U612" s="1715">
        <f t="shared" si="65"/>
        <v>0</v>
      </c>
      <c r="V612" s="2658"/>
    </row>
    <row r="613" spans="1:22" s="1041" customFormat="1" ht="101.25" customHeight="1">
      <c r="A613" s="2658">
        <v>355</v>
      </c>
      <c r="B613" s="2735" t="s">
        <v>5057</v>
      </c>
      <c r="C613" s="2740" t="s">
        <v>5136</v>
      </c>
      <c r="D613" s="2741"/>
      <c r="E613" s="2742" t="s">
        <v>550</v>
      </c>
      <c r="F613" s="2738"/>
      <c r="G613" s="2738">
        <v>90400</v>
      </c>
      <c r="H613" s="2738"/>
      <c r="I613" s="2738"/>
      <c r="J613" s="2738"/>
      <c r="K613" s="2738"/>
      <c r="L613" s="2743"/>
      <c r="M613" s="2738">
        <f>'[10]NFMA46 '!I671</f>
        <v>90400</v>
      </c>
      <c r="N613" s="2738">
        <f>'[10]NFMA46 '!L671</f>
        <v>90400</v>
      </c>
      <c r="O613" s="2738">
        <f t="shared" si="61"/>
        <v>100</v>
      </c>
      <c r="P613" s="2739">
        <f>'[10]NFMA46 '!K671</f>
        <v>0</v>
      </c>
      <c r="Q613" s="1715">
        <f t="shared" si="62"/>
        <v>0</v>
      </c>
      <c r="R613" s="1715">
        <f t="shared" si="64"/>
        <v>90400</v>
      </c>
      <c r="S613" s="1715">
        <f t="shared" si="63"/>
        <v>100</v>
      </c>
      <c r="T613" s="1715"/>
      <c r="U613" s="1715">
        <f t="shared" si="65"/>
        <v>0</v>
      </c>
      <c r="V613" s="2658"/>
    </row>
    <row r="614" spans="1:22" s="1041" customFormat="1" ht="101.25" customHeight="1">
      <c r="A614" s="2658">
        <v>356</v>
      </c>
      <c r="B614" s="2735" t="s">
        <v>5061</v>
      </c>
      <c r="C614" s="2740" t="s">
        <v>5137</v>
      </c>
      <c r="D614" s="2741"/>
      <c r="E614" s="2742" t="s">
        <v>556</v>
      </c>
      <c r="F614" s="2738"/>
      <c r="G614" s="2738">
        <v>45200</v>
      </c>
      <c r="H614" s="2738"/>
      <c r="I614" s="2738"/>
      <c r="J614" s="2738"/>
      <c r="K614" s="2738"/>
      <c r="L614" s="2743">
        <v>9500</v>
      </c>
      <c r="M614" s="2738">
        <f>'[10]NFMA46 '!I672-L614</f>
        <v>35700</v>
      </c>
      <c r="N614" s="2738">
        <f>'[10]NFMA46 '!L672</f>
        <v>0</v>
      </c>
      <c r="O614" s="2738">
        <f t="shared" si="61"/>
        <v>0</v>
      </c>
      <c r="P614" s="2739">
        <f>'[10]NFMA46 '!K672</f>
        <v>35700</v>
      </c>
      <c r="Q614" s="1715">
        <f t="shared" si="62"/>
        <v>100</v>
      </c>
      <c r="R614" s="1715">
        <f t="shared" si="64"/>
        <v>35700</v>
      </c>
      <c r="S614" s="1715">
        <f t="shared" si="63"/>
        <v>100</v>
      </c>
      <c r="T614" s="1715"/>
      <c r="U614" s="1715">
        <f t="shared" si="65"/>
        <v>0</v>
      </c>
      <c r="V614" s="2658"/>
    </row>
    <row r="615" spans="1:22" s="1041" customFormat="1" ht="101.25" customHeight="1">
      <c r="A615" s="2658">
        <v>357</v>
      </c>
      <c r="B615" s="2735" t="s">
        <v>5974</v>
      </c>
      <c r="C615" s="2740" t="s">
        <v>5139</v>
      </c>
      <c r="D615" s="2741"/>
      <c r="E615" s="2742" t="s">
        <v>556</v>
      </c>
      <c r="F615" s="2738"/>
      <c r="G615" s="2738">
        <v>45200</v>
      </c>
      <c r="H615" s="2738"/>
      <c r="I615" s="2738"/>
      <c r="J615" s="2738"/>
      <c r="K615" s="2738"/>
      <c r="L615" s="2743">
        <v>16000</v>
      </c>
      <c r="M615" s="2738">
        <f>'[10]NFMA46 '!I673-L615</f>
        <v>29200</v>
      </c>
      <c r="N615" s="2738">
        <f>'[10]NFMA46 '!L673</f>
        <v>29200</v>
      </c>
      <c r="O615" s="2738">
        <f t="shared" si="61"/>
        <v>100</v>
      </c>
      <c r="P615" s="2739">
        <f>'[10]NFMA46 '!K673</f>
        <v>0</v>
      </c>
      <c r="Q615" s="1715">
        <f t="shared" si="62"/>
        <v>0</v>
      </c>
      <c r="R615" s="1715">
        <f t="shared" si="64"/>
        <v>29200</v>
      </c>
      <c r="S615" s="1715">
        <f t="shared" si="63"/>
        <v>100</v>
      </c>
      <c r="T615" s="1715"/>
      <c r="U615" s="1715">
        <f t="shared" si="65"/>
        <v>0</v>
      </c>
      <c r="V615" s="2658"/>
    </row>
    <row r="616" spans="1:22" s="1041" customFormat="1" ht="101.25" customHeight="1">
      <c r="A616" s="2658">
        <v>358</v>
      </c>
      <c r="B616" s="2735" t="s">
        <v>5975</v>
      </c>
      <c r="C616" s="2740" t="s">
        <v>5140</v>
      </c>
      <c r="D616" s="2741"/>
      <c r="E616" s="2742" t="s">
        <v>556</v>
      </c>
      <c r="F616" s="2738"/>
      <c r="G616" s="2738">
        <v>45200</v>
      </c>
      <c r="H616" s="2738"/>
      <c r="I616" s="2738"/>
      <c r="J616" s="2738"/>
      <c r="K616" s="2738"/>
      <c r="L616" s="2743"/>
      <c r="M616" s="2738">
        <f>'[10]NFMA46 '!I674</f>
        <v>45200</v>
      </c>
      <c r="N616" s="2738">
        <f>'[10]NFMA46 '!L674</f>
        <v>0</v>
      </c>
      <c r="O616" s="2738">
        <f t="shared" si="61"/>
        <v>0</v>
      </c>
      <c r="P616" s="2739">
        <f>'[10]NFMA46 '!K674</f>
        <v>45200</v>
      </c>
      <c r="Q616" s="1715">
        <f t="shared" si="62"/>
        <v>100</v>
      </c>
      <c r="R616" s="1715">
        <f t="shared" si="64"/>
        <v>45200</v>
      </c>
      <c r="S616" s="1715">
        <f t="shared" si="63"/>
        <v>100</v>
      </c>
      <c r="T616" s="1715"/>
      <c r="U616" s="1715">
        <f t="shared" si="65"/>
        <v>0</v>
      </c>
      <c r="V616" s="2658"/>
    </row>
    <row r="617" spans="1:22" s="1041" customFormat="1" ht="101.25" customHeight="1">
      <c r="A617" s="2658">
        <v>359</v>
      </c>
      <c r="B617" s="2735" t="s">
        <v>5063</v>
      </c>
      <c r="C617" s="2740" t="s">
        <v>5142</v>
      </c>
      <c r="D617" s="2741"/>
      <c r="E617" s="2742" t="s">
        <v>1183</v>
      </c>
      <c r="F617" s="2738"/>
      <c r="G617" s="2738">
        <v>90400</v>
      </c>
      <c r="H617" s="2738"/>
      <c r="I617" s="2738"/>
      <c r="J617" s="2738"/>
      <c r="K617" s="2738"/>
      <c r="L617" s="2743"/>
      <c r="M617" s="2738">
        <f>'[10]NFMA46 '!I675</f>
        <v>90400</v>
      </c>
      <c r="N617" s="2738">
        <f>'[10]NFMA46 '!L675</f>
        <v>90400</v>
      </c>
      <c r="O617" s="2738">
        <f t="shared" si="61"/>
        <v>100</v>
      </c>
      <c r="P617" s="2739">
        <f>'[10]NFMA46 '!K675</f>
        <v>0</v>
      </c>
      <c r="Q617" s="1715">
        <f t="shared" si="62"/>
        <v>0</v>
      </c>
      <c r="R617" s="1715">
        <f t="shared" si="64"/>
        <v>90400</v>
      </c>
      <c r="S617" s="1715">
        <f t="shared" si="63"/>
        <v>100</v>
      </c>
      <c r="T617" s="1715"/>
      <c r="U617" s="1715">
        <f t="shared" si="65"/>
        <v>0</v>
      </c>
      <c r="V617" s="2658"/>
    </row>
    <row r="618" spans="1:22" s="1041" customFormat="1" ht="101.25" customHeight="1">
      <c r="A618" s="2658">
        <v>360</v>
      </c>
      <c r="B618" s="2735" t="s">
        <v>5067</v>
      </c>
      <c r="C618" s="2740" t="s">
        <v>5143</v>
      </c>
      <c r="D618" s="2741"/>
      <c r="E618" s="2742" t="s">
        <v>1183</v>
      </c>
      <c r="F618" s="2738"/>
      <c r="G618" s="2738">
        <v>45200</v>
      </c>
      <c r="H618" s="2738"/>
      <c r="I618" s="2738"/>
      <c r="J618" s="2738"/>
      <c r="K618" s="2738"/>
      <c r="L618" s="2743"/>
      <c r="M618" s="2738">
        <f>'[10]NFMA46 '!I676</f>
        <v>45200</v>
      </c>
      <c r="N618" s="2738">
        <f>'[10]NFMA46 '!L676</f>
        <v>45200</v>
      </c>
      <c r="O618" s="2738">
        <f t="shared" si="61"/>
        <v>100</v>
      </c>
      <c r="P618" s="2739">
        <f>'[10]NFMA46 '!K676</f>
        <v>0</v>
      </c>
      <c r="Q618" s="1715">
        <f t="shared" si="62"/>
        <v>0</v>
      </c>
      <c r="R618" s="1715">
        <f t="shared" si="64"/>
        <v>45200</v>
      </c>
      <c r="S618" s="1715">
        <f t="shared" si="63"/>
        <v>100</v>
      </c>
      <c r="T618" s="1715"/>
      <c r="U618" s="1715">
        <f t="shared" si="65"/>
        <v>0</v>
      </c>
      <c r="V618" s="2658"/>
    </row>
    <row r="619" spans="1:22" s="1041" customFormat="1" ht="101.25" customHeight="1">
      <c r="A619" s="2658">
        <v>361</v>
      </c>
      <c r="B619" s="2735" t="s">
        <v>5349</v>
      </c>
      <c r="C619" s="2740" t="s">
        <v>5145</v>
      </c>
      <c r="D619" s="2741"/>
      <c r="E619" s="2742" t="s">
        <v>1183</v>
      </c>
      <c r="F619" s="2738"/>
      <c r="G619" s="2738">
        <v>45200</v>
      </c>
      <c r="H619" s="2738"/>
      <c r="I619" s="2738"/>
      <c r="J619" s="2738"/>
      <c r="K619" s="2738"/>
      <c r="L619" s="2743"/>
      <c r="M619" s="2738">
        <f>'[10]NFMA46 '!I677</f>
        <v>45200</v>
      </c>
      <c r="N619" s="2738">
        <f>'[10]NFMA46 '!L677</f>
        <v>0</v>
      </c>
      <c r="O619" s="2738">
        <f t="shared" si="61"/>
        <v>0</v>
      </c>
      <c r="P619" s="2739">
        <f>'[10]NFMA46 '!K677</f>
        <v>45200</v>
      </c>
      <c r="Q619" s="1715">
        <f t="shared" si="62"/>
        <v>100</v>
      </c>
      <c r="R619" s="1715">
        <f t="shared" si="64"/>
        <v>45200</v>
      </c>
      <c r="S619" s="1715">
        <f t="shared" si="63"/>
        <v>100</v>
      </c>
      <c r="T619" s="1715"/>
      <c r="U619" s="1715">
        <f t="shared" si="65"/>
        <v>0</v>
      </c>
      <c r="V619" s="2658"/>
    </row>
    <row r="620" spans="1:22" s="1041" customFormat="1" ht="101.25" customHeight="1">
      <c r="A620" s="2658">
        <v>362</v>
      </c>
      <c r="B620" s="2735" t="s">
        <v>5065</v>
      </c>
      <c r="C620" s="2740" t="s">
        <v>5147</v>
      </c>
      <c r="D620" s="2741"/>
      <c r="E620" s="2742" t="s">
        <v>1183</v>
      </c>
      <c r="F620" s="2738"/>
      <c r="G620" s="2738">
        <v>90400</v>
      </c>
      <c r="H620" s="2738"/>
      <c r="I620" s="2738"/>
      <c r="J620" s="2738"/>
      <c r="K620" s="2738"/>
      <c r="L620" s="2743">
        <v>45200</v>
      </c>
      <c r="M620" s="2738">
        <f>'[10]NFMA46 '!I678-L620</f>
        <v>45200</v>
      </c>
      <c r="N620" s="2738">
        <f>'[10]NFMA46 '!L678</f>
        <v>0</v>
      </c>
      <c r="O620" s="2738">
        <f t="shared" si="61"/>
        <v>0</v>
      </c>
      <c r="P620" s="2739">
        <f>'[10]NFMA46 '!K678</f>
        <v>45200</v>
      </c>
      <c r="Q620" s="1715">
        <f t="shared" si="62"/>
        <v>100</v>
      </c>
      <c r="R620" s="1715">
        <f t="shared" si="64"/>
        <v>45200</v>
      </c>
      <c r="S620" s="1715">
        <f t="shared" si="63"/>
        <v>100</v>
      </c>
      <c r="T620" s="1715"/>
      <c r="U620" s="1715">
        <f t="shared" si="65"/>
        <v>0</v>
      </c>
      <c r="V620" s="2658"/>
    </row>
    <row r="621" spans="1:22" s="1041" customFormat="1" ht="101.25" customHeight="1">
      <c r="A621" s="2658">
        <v>363</v>
      </c>
      <c r="B621" s="2735" t="s">
        <v>5069</v>
      </c>
      <c r="C621" s="2740" t="s">
        <v>5149</v>
      </c>
      <c r="D621" s="2741"/>
      <c r="E621" s="2742" t="s">
        <v>1183</v>
      </c>
      <c r="F621" s="2738"/>
      <c r="G621" s="2738">
        <v>45200</v>
      </c>
      <c r="H621" s="2738"/>
      <c r="I621" s="2738"/>
      <c r="J621" s="2738"/>
      <c r="K621" s="2738"/>
      <c r="L621" s="2743"/>
      <c r="M621" s="2738">
        <f>'[10]NFMA46 '!I679</f>
        <v>45200</v>
      </c>
      <c r="N621" s="2738">
        <f>'[10]NFMA46 '!L679</f>
        <v>0</v>
      </c>
      <c r="O621" s="2738">
        <f t="shared" si="61"/>
        <v>0</v>
      </c>
      <c r="P621" s="2739">
        <f>'[10]NFMA46 '!K679</f>
        <v>39150.51</v>
      </c>
      <c r="Q621" s="1715">
        <f t="shared" si="62"/>
        <v>86.616172566371688</v>
      </c>
      <c r="R621" s="1715">
        <f t="shared" si="64"/>
        <v>39150.51</v>
      </c>
      <c r="S621" s="1715">
        <f t="shared" si="63"/>
        <v>86.616172566371688</v>
      </c>
      <c r="T621" s="1715"/>
      <c r="U621" s="1715">
        <f t="shared" si="65"/>
        <v>6049.489999999998</v>
      </c>
      <c r="V621" s="2658"/>
    </row>
    <row r="622" spans="1:22" s="1041" customFormat="1" ht="101.25" customHeight="1">
      <c r="A622" s="2658">
        <v>364</v>
      </c>
      <c r="B622" s="2735" t="s">
        <v>5976</v>
      </c>
      <c r="C622" s="2740" t="s">
        <v>5150</v>
      </c>
      <c r="D622" s="2741"/>
      <c r="E622" s="2742" t="s">
        <v>541</v>
      </c>
      <c r="F622" s="2738"/>
      <c r="G622" s="2738">
        <v>45200</v>
      </c>
      <c r="H622" s="2738"/>
      <c r="I622" s="2738"/>
      <c r="J622" s="2738"/>
      <c r="K622" s="2738"/>
      <c r="L622" s="2743">
        <v>10858</v>
      </c>
      <c r="M622" s="2738">
        <f>'[10]NFMA46 '!I680-L622</f>
        <v>34342</v>
      </c>
      <c r="N622" s="2738">
        <f>'[10]NFMA46 '!L680</f>
        <v>34342</v>
      </c>
      <c r="O622" s="2738">
        <f t="shared" si="61"/>
        <v>100</v>
      </c>
      <c r="P622" s="2739">
        <f>'[10]NFMA46 '!K680</f>
        <v>0</v>
      </c>
      <c r="Q622" s="1715">
        <f t="shared" si="62"/>
        <v>0</v>
      </c>
      <c r="R622" s="1715">
        <f t="shared" si="64"/>
        <v>34342</v>
      </c>
      <c r="S622" s="1715">
        <f t="shared" si="63"/>
        <v>100</v>
      </c>
      <c r="T622" s="1715"/>
      <c r="U622" s="1715">
        <f t="shared" si="65"/>
        <v>0</v>
      </c>
      <c r="V622" s="2658"/>
    </row>
    <row r="623" spans="1:22" s="1041" customFormat="1" ht="101.25" customHeight="1">
      <c r="A623" s="2658">
        <v>365</v>
      </c>
      <c r="B623" s="2735" t="s">
        <v>5076</v>
      </c>
      <c r="C623" s="2740" t="s">
        <v>5152</v>
      </c>
      <c r="D623" s="2741"/>
      <c r="E623" s="2742" t="s">
        <v>553</v>
      </c>
      <c r="F623" s="2738"/>
      <c r="G623" s="2738">
        <v>45200</v>
      </c>
      <c r="H623" s="2738"/>
      <c r="I623" s="2738"/>
      <c r="J623" s="2738"/>
      <c r="K623" s="2738"/>
      <c r="L623" s="2743">
        <v>11153.1</v>
      </c>
      <c r="M623" s="2738">
        <f>'[10]NFMA46 '!I681-L623</f>
        <v>34046.9</v>
      </c>
      <c r="N623" s="2738">
        <f>'[10]NFMA46 '!L681</f>
        <v>34046.9</v>
      </c>
      <c r="O623" s="2738">
        <f t="shared" si="61"/>
        <v>100</v>
      </c>
      <c r="P623" s="2739">
        <f>'[10]NFMA46 '!K681</f>
        <v>0</v>
      </c>
      <c r="Q623" s="1715">
        <f t="shared" si="62"/>
        <v>0</v>
      </c>
      <c r="R623" s="1715">
        <f t="shared" si="64"/>
        <v>34046.9</v>
      </c>
      <c r="S623" s="1715">
        <f t="shared" si="63"/>
        <v>100</v>
      </c>
      <c r="T623" s="1715"/>
      <c r="U623" s="1715">
        <f t="shared" si="65"/>
        <v>0</v>
      </c>
      <c r="V623" s="2658"/>
    </row>
    <row r="624" spans="1:22" s="1041" customFormat="1" ht="101.25" customHeight="1">
      <c r="A624" s="2658">
        <v>366</v>
      </c>
      <c r="B624" s="2735" t="s">
        <v>5080</v>
      </c>
      <c r="C624" s="2740" t="s">
        <v>5154</v>
      </c>
      <c r="D624" s="2741"/>
      <c r="E624" s="2742" t="s">
        <v>1184</v>
      </c>
      <c r="F624" s="2738"/>
      <c r="G624" s="2738">
        <v>45200</v>
      </c>
      <c r="H624" s="2738"/>
      <c r="I624" s="2738"/>
      <c r="J624" s="2738"/>
      <c r="K624" s="2738"/>
      <c r="L624" s="2743">
        <v>12600</v>
      </c>
      <c r="M624" s="2738">
        <f>'[10]NFMA46 '!I682-L624</f>
        <v>32600</v>
      </c>
      <c r="N624" s="2738">
        <f>'[10]NFMA46 '!L682</f>
        <v>32600</v>
      </c>
      <c r="O624" s="2738">
        <f t="shared" si="61"/>
        <v>100</v>
      </c>
      <c r="P624" s="2739">
        <f>'[10]NFMA46 '!K682</f>
        <v>0</v>
      </c>
      <c r="Q624" s="1715">
        <f t="shared" si="62"/>
        <v>0</v>
      </c>
      <c r="R624" s="1715">
        <f t="shared" si="64"/>
        <v>32600</v>
      </c>
      <c r="S624" s="1715">
        <f t="shared" si="63"/>
        <v>100</v>
      </c>
      <c r="T624" s="1715"/>
      <c r="U624" s="1715">
        <f t="shared" si="65"/>
        <v>0</v>
      </c>
      <c r="V624" s="2658"/>
    </row>
    <row r="625" spans="1:22" s="1041" customFormat="1" ht="101.25" customHeight="1">
      <c r="A625" s="2658">
        <v>367</v>
      </c>
      <c r="B625" s="2735" t="s">
        <v>5104</v>
      </c>
      <c r="C625" s="2740" t="s">
        <v>5157</v>
      </c>
      <c r="D625" s="2741"/>
      <c r="E625" s="2742" t="s">
        <v>2832</v>
      </c>
      <c r="F625" s="2738"/>
      <c r="G625" s="2738">
        <v>45200</v>
      </c>
      <c r="H625" s="2738"/>
      <c r="I625" s="2738"/>
      <c r="J625" s="2738"/>
      <c r="K625" s="2738"/>
      <c r="L625" s="2743">
        <v>9500</v>
      </c>
      <c r="M625" s="2738">
        <f>'[10]NFMA46 '!I684-L625</f>
        <v>35700</v>
      </c>
      <c r="N625" s="2738">
        <f>'[10]NFMA46 '!L684</f>
        <v>35700</v>
      </c>
      <c r="O625" s="2738">
        <f t="shared" si="61"/>
        <v>100</v>
      </c>
      <c r="P625" s="2739">
        <f>'[10]NFMA46 '!K684</f>
        <v>0</v>
      </c>
      <c r="Q625" s="1715">
        <f t="shared" si="62"/>
        <v>0</v>
      </c>
      <c r="R625" s="1715">
        <f t="shared" si="64"/>
        <v>35700</v>
      </c>
      <c r="S625" s="1715">
        <f t="shared" si="63"/>
        <v>100</v>
      </c>
      <c r="T625" s="1715"/>
      <c r="U625" s="1715">
        <f t="shared" si="65"/>
        <v>0</v>
      </c>
      <c r="V625" s="2658"/>
    </row>
    <row r="626" spans="1:22" s="1041" customFormat="1" ht="101.25" customHeight="1">
      <c r="A626" s="2658">
        <v>368</v>
      </c>
      <c r="B626" s="2735" t="s">
        <v>5097</v>
      </c>
      <c r="C626" s="2740" t="s">
        <v>5158</v>
      </c>
      <c r="D626" s="2741"/>
      <c r="E626" s="2742" t="s">
        <v>2832</v>
      </c>
      <c r="F626" s="2738"/>
      <c r="G626" s="2738">
        <v>45200</v>
      </c>
      <c r="H626" s="2738"/>
      <c r="I626" s="2738"/>
      <c r="J626" s="2738"/>
      <c r="K626" s="2738"/>
      <c r="L626" s="2743"/>
      <c r="M626" s="2738">
        <f>'[10]NFMA46 '!I685</f>
        <v>45200</v>
      </c>
      <c r="N626" s="2738">
        <f>'[10]NFMA46 '!L685</f>
        <v>45200</v>
      </c>
      <c r="O626" s="2738">
        <f t="shared" si="61"/>
        <v>100</v>
      </c>
      <c r="P626" s="2739">
        <f>'[10]NFMA46 '!K685</f>
        <v>0</v>
      </c>
      <c r="Q626" s="1715">
        <f t="shared" si="62"/>
        <v>0</v>
      </c>
      <c r="R626" s="1715">
        <f t="shared" si="64"/>
        <v>45200</v>
      </c>
      <c r="S626" s="1715">
        <f t="shared" si="63"/>
        <v>100</v>
      </c>
      <c r="T626" s="1715"/>
      <c r="U626" s="1715">
        <f t="shared" si="65"/>
        <v>0</v>
      </c>
      <c r="V626" s="2658"/>
    </row>
    <row r="627" spans="1:22" s="1041" customFormat="1" ht="101.25" customHeight="1">
      <c r="A627" s="2658">
        <v>369</v>
      </c>
      <c r="B627" s="2735" t="s">
        <v>5051</v>
      </c>
      <c r="C627" s="2740" t="s">
        <v>5159</v>
      </c>
      <c r="D627" s="2741"/>
      <c r="E627" s="2742" t="s">
        <v>550</v>
      </c>
      <c r="F627" s="2738"/>
      <c r="G627" s="2738">
        <v>135600</v>
      </c>
      <c r="H627" s="2738"/>
      <c r="I627" s="2738"/>
      <c r="J627" s="2738"/>
      <c r="K627" s="2738"/>
      <c r="L627" s="2743"/>
      <c r="M627" s="2738">
        <f>'[10]NFMA46 '!I686</f>
        <v>135600</v>
      </c>
      <c r="N627" s="2738">
        <f>'[10]NFMA46 '!L686</f>
        <v>135600</v>
      </c>
      <c r="O627" s="2738">
        <f t="shared" si="61"/>
        <v>100</v>
      </c>
      <c r="P627" s="2739">
        <f>'[10]NFMA46 '!K686</f>
        <v>0</v>
      </c>
      <c r="Q627" s="1715">
        <f t="shared" si="62"/>
        <v>0</v>
      </c>
      <c r="R627" s="1715">
        <f t="shared" si="64"/>
        <v>135600</v>
      </c>
      <c r="S627" s="1715">
        <f t="shared" si="63"/>
        <v>100</v>
      </c>
      <c r="T627" s="1715"/>
      <c r="U627" s="1715">
        <f t="shared" si="65"/>
        <v>0</v>
      </c>
      <c r="V627" s="2658"/>
    </row>
    <row r="628" spans="1:22" s="1041" customFormat="1" ht="101.25" customHeight="1">
      <c r="A628" s="2658">
        <v>370</v>
      </c>
      <c r="B628" s="2735" t="s">
        <v>5977</v>
      </c>
      <c r="C628" s="2740" t="s">
        <v>5160</v>
      </c>
      <c r="D628" s="2741"/>
      <c r="E628" s="2742" t="s">
        <v>339</v>
      </c>
      <c r="F628" s="2738"/>
      <c r="G628" s="2738">
        <v>45200</v>
      </c>
      <c r="H628" s="2738"/>
      <c r="I628" s="2738"/>
      <c r="J628" s="2738"/>
      <c r="K628" s="2738"/>
      <c r="L628" s="2743">
        <v>800</v>
      </c>
      <c r="M628" s="2738">
        <v>44400</v>
      </c>
      <c r="N628" s="2738">
        <f>'[10]NFMA46 '!L687</f>
        <v>44400</v>
      </c>
      <c r="O628" s="2738">
        <f t="shared" si="61"/>
        <v>100</v>
      </c>
      <c r="P628" s="2739">
        <f>'[10]NFMA46 '!K687</f>
        <v>0</v>
      </c>
      <c r="Q628" s="1715">
        <f t="shared" si="62"/>
        <v>0</v>
      </c>
      <c r="R628" s="1715">
        <f t="shared" si="64"/>
        <v>44400</v>
      </c>
      <c r="S628" s="1715">
        <f t="shared" si="63"/>
        <v>100</v>
      </c>
      <c r="T628" s="1715"/>
      <c r="U628" s="1715">
        <f t="shared" si="65"/>
        <v>0</v>
      </c>
      <c r="V628" s="2658"/>
    </row>
    <row r="629" spans="1:22" s="1041" customFormat="1" ht="101.25" customHeight="1">
      <c r="A629" s="2658">
        <v>371</v>
      </c>
      <c r="B629" s="2735" t="s">
        <v>5363</v>
      </c>
      <c r="C629" s="2740" t="s">
        <v>5161</v>
      </c>
      <c r="D629" s="2741"/>
      <c r="E629" s="2742" t="s">
        <v>339</v>
      </c>
      <c r="F629" s="2738"/>
      <c r="G629" s="2738">
        <v>104000</v>
      </c>
      <c r="H629" s="2738"/>
      <c r="I629" s="2738"/>
      <c r="J629" s="2738"/>
      <c r="K629" s="2738"/>
      <c r="L629" s="2743"/>
      <c r="M629" s="2738">
        <f>'[10]NFMA46 '!I688</f>
        <v>104000</v>
      </c>
      <c r="N629" s="2738">
        <f>'[10]NFMA46 '!L688</f>
        <v>104000</v>
      </c>
      <c r="O629" s="2738">
        <f t="shared" si="61"/>
        <v>100</v>
      </c>
      <c r="P629" s="2739">
        <f>'[10]NFMA46 '!K688</f>
        <v>0</v>
      </c>
      <c r="Q629" s="1715">
        <f t="shared" si="62"/>
        <v>0</v>
      </c>
      <c r="R629" s="1715">
        <f t="shared" si="64"/>
        <v>104000</v>
      </c>
      <c r="S629" s="1715">
        <f t="shared" si="63"/>
        <v>100</v>
      </c>
      <c r="T629" s="1715"/>
      <c r="U629" s="1715">
        <f t="shared" si="65"/>
        <v>0</v>
      </c>
      <c r="V629" s="2658"/>
    </row>
    <row r="630" spans="1:22" s="1041" customFormat="1" ht="101.25" customHeight="1">
      <c r="A630" s="2658">
        <v>372</v>
      </c>
      <c r="B630" s="2735" t="s">
        <v>5978</v>
      </c>
      <c r="C630" s="2740" t="s">
        <v>5162</v>
      </c>
      <c r="D630" s="2741"/>
      <c r="E630" s="2742" t="s">
        <v>339</v>
      </c>
      <c r="F630" s="2738"/>
      <c r="G630" s="2738">
        <v>104000</v>
      </c>
      <c r="H630" s="2738"/>
      <c r="I630" s="2738"/>
      <c r="J630" s="2738"/>
      <c r="K630" s="2738"/>
      <c r="L630" s="2743">
        <f>18593+1568</f>
        <v>20161</v>
      </c>
      <c r="M630" s="2738">
        <f>85407-1568</f>
        <v>83839</v>
      </c>
      <c r="N630" s="2738">
        <f>'[10]NFMA46 '!L689</f>
        <v>83839</v>
      </c>
      <c r="O630" s="2738">
        <f t="shared" si="61"/>
        <v>100</v>
      </c>
      <c r="P630" s="2739">
        <f>'[10]NFMA46 '!K689</f>
        <v>0</v>
      </c>
      <c r="Q630" s="1715">
        <f t="shared" si="62"/>
        <v>0</v>
      </c>
      <c r="R630" s="1715">
        <f t="shared" si="64"/>
        <v>83839</v>
      </c>
      <c r="S630" s="1715">
        <f t="shared" si="63"/>
        <v>100</v>
      </c>
      <c r="T630" s="1715"/>
      <c r="U630" s="1715">
        <f t="shared" si="65"/>
        <v>0</v>
      </c>
      <c r="V630" s="2658"/>
    </row>
    <row r="631" spans="1:22" s="1041" customFormat="1" ht="101.25" customHeight="1">
      <c r="A631" s="2658">
        <v>373</v>
      </c>
      <c r="B631" s="2735" t="s">
        <v>5979</v>
      </c>
      <c r="C631" s="2740" t="s">
        <v>5163</v>
      </c>
      <c r="D631" s="2741"/>
      <c r="E631" s="2742" t="s">
        <v>1181</v>
      </c>
      <c r="F631" s="2738"/>
      <c r="G631" s="2738">
        <v>45200</v>
      </c>
      <c r="H631" s="2738"/>
      <c r="I631" s="2738"/>
      <c r="J631" s="2738"/>
      <c r="K631" s="2738"/>
      <c r="L631" s="2743"/>
      <c r="M631" s="2738">
        <f>'[10]NFMA46 '!I690</f>
        <v>45200</v>
      </c>
      <c r="N631" s="2738">
        <f>'[10]NFMA46 '!L690</f>
        <v>0</v>
      </c>
      <c r="O631" s="2738">
        <f t="shared" si="61"/>
        <v>0</v>
      </c>
      <c r="P631" s="2739">
        <f>'[10]NFMA46 '!K690</f>
        <v>45200</v>
      </c>
      <c r="Q631" s="1715">
        <f t="shared" si="62"/>
        <v>100</v>
      </c>
      <c r="R631" s="1715">
        <f t="shared" si="64"/>
        <v>45200</v>
      </c>
      <c r="S631" s="1715">
        <f t="shared" si="63"/>
        <v>100</v>
      </c>
      <c r="T631" s="1715"/>
      <c r="U631" s="1715">
        <f t="shared" si="65"/>
        <v>0</v>
      </c>
      <c r="V631" s="2658"/>
    </row>
    <row r="632" spans="1:22" s="1041" customFormat="1" ht="101.25" customHeight="1">
      <c r="A632" s="2658">
        <v>374</v>
      </c>
      <c r="B632" s="2735" t="s">
        <v>5980</v>
      </c>
      <c r="C632" s="2740" t="s">
        <v>5165</v>
      </c>
      <c r="D632" s="2741"/>
      <c r="E632" s="2742" t="s">
        <v>549</v>
      </c>
      <c r="F632" s="2738"/>
      <c r="G632" s="2738">
        <v>45200</v>
      </c>
      <c r="H632" s="2738"/>
      <c r="I632" s="2738"/>
      <c r="J632" s="2738"/>
      <c r="K632" s="2738"/>
      <c r="L632" s="2743"/>
      <c r="M632" s="2738">
        <f>'[10]NFMA46 '!I691</f>
        <v>45200</v>
      </c>
      <c r="N632" s="2738">
        <f>'[10]NFMA46 '!L691</f>
        <v>45200</v>
      </c>
      <c r="O632" s="2738">
        <f t="shared" si="61"/>
        <v>100</v>
      </c>
      <c r="P632" s="2739">
        <f>'[10]NFMA46 '!K691</f>
        <v>0</v>
      </c>
      <c r="Q632" s="1715">
        <f t="shared" si="62"/>
        <v>0</v>
      </c>
      <c r="R632" s="1715">
        <f t="shared" si="64"/>
        <v>45200</v>
      </c>
      <c r="S632" s="1715">
        <f t="shared" si="63"/>
        <v>100</v>
      </c>
      <c r="T632" s="1715"/>
      <c r="U632" s="1715">
        <f t="shared" si="65"/>
        <v>0</v>
      </c>
      <c r="V632" s="2658"/>
    </row>
    <row r="633" spans="1:22" s="1041" customFormat="1" ht="101.25" customHeight="1">
      <c r="A633" s="2658">
        <v>375</v>
      </c>
      <c r="B633" s="2735" t="s">
        <v>5981</v>
      </c>
      <c r="C633" s="2740" t="s">
        <v>5166</v>
      </c>
      <c r="D633" s="2741"/>
      <c r="E633" s="2742" t="s">
        <v>549</v>
      </c>
      <c r="F633" s="2738"/>
      <c r="G633" s="2738">
        <v>45200</v>
      </c>
      <c r="H633" s="2738"/>
      <c r="I633" s="2738"/>
      <c r="J633" s="2738"/>
      <c r="K633" s="2738"/>
      <c r="L633" s="2743"/>
      <c r="M633" s="2738">
        <f>'[10]NFMA46 '!I692</f>
        <v>45200</v>
      </c>
      <c r="N633" s="2738">
        <f>'[10]NFMA46 '!L692</f>
        <v>45200</v>
      </c>
      <c r="O633" s="2738">
        <f t="shared" si="61"/>
        <v>100</v>
      </c>
      <c r="P633" s="2739">
        <f>'[10]NFMA46 '!K692</f>
        <v>0</v>
      </c>
      <c r="Q633" s="1715">
        <f t="shared" si="62"/>
        <v>0</v>
      </c>
      <c r="R633" s="1715">
        <f t="shared" si="64"/>
        <v>45200</v>
      </c>
      <c r="S633" s="1715">
        <f t="shared" si="63"/>
        <v>100</v>
      </c>
      <c r="T633" s="1715"/>
      <c r="U633" s="1715">
        <f t="shared" si="65"/>
        <v>0</v>
      </c>
      <c r="V633" s="2658"/>
    </row>
    <row r="634" spans="1:22" s="1041" customFormat="1" ht="101.25" customHeight="1">
      <c r="A634" s="2658">
        <v>376</v>
      </c>
      <c r="B634" s="2735" t="s">
        <v>5982</v>
      </c>
      <c r="C634" s="2740" t="s">
        <v>5167</v>
      </c>
      <c r="D634" s="2741"/>
      <c r="E634" s="2742" t="s">
        <v>550</v>
      </c>
      <c r="F634" s="2738"/>
      <c r="G634" s="2738">
        <v>45200</v>
      </c>
      <c r="H634" s="2738"/>
      <c r="I634" s="2738"/>
      <c r="J634" s="2738"/>
      <c r="K634" s="2738"/>
      <c r="L634" s="2743"/>
      <c r="M634" s="2738">
        <f>'[10]NFMA46 '!I693</f>
        <v>45200</v>
      </c>
      <c r="N634" s="2738">
        <f>'[10]NFMA46 '!L693</f>
        <v>45200</v>
      </c>
      <c r="O634" s="2738">
        <f t="shared" si="61"/>
        <v>100</v>
      </c>
      <c r="P634" s="2739">
        <f>'[10]NFMA46 '!K693</f>
        <v>0</v>
      </c>
      <c r="Q634" s="1715">
        <f t="shared" si="62"/>
        <v>0</v>
      </c>
      <c r="R634" s="1715">
        <f t="shared" si="64"/>
        <v>45200</v>
      </c>
      <c r="S634" s="1715">
        <f t="shared" si="63"/>
        <v>100</v>
      </c>
      <c r="T634" s="1715"/>
      <c r="U634" s="1715">
        <f t="shared" si="65"/>
        <v>0</v>
      </c>
      <c r="V634" s="2658"/>
    </row>
    <row r="635" spans="1:22" s="1041" customFormat="1" ht="101.25" customHeight="1">
      <c r="A635" s="2658">
        <v>377</v>
      </c>
      <c r="B635" s="2735" t="s">
        <v>5983</v>
      </c>
      <c r="C635" s="2740" t="s">
        <v>5984</v>
      </c>
      <c r="D635" s="2741"/>
      <c r="E635" s="2742" t="s">
        <v>550</v>
      </c>
      <c r="F635" s="2738"/>
      <c r="G635" s="2738">
        <v>104000</v>
      </c>
      <c r="H635" s="2738"/>
      <c r="I635" s="2738"/>
      <c r="J635" s="2738"/>
      <c r="K635" s="2738"/>
      <c r="L635" s="2743"/>
      <c r="M635" s="2738">
        <f>'[10]NFMA46 '!I694</f>
        <v>104000</v>
      </c>
      <c r="N635" s="2738">
        <f>'[10]NFMA46 '!L694</f>
        <v>104000</v>
      </c>
      <c r="O635" s="2738">
        <f t="shared" si="61"/>
        <v>100</v>
      </c>
      <c r="P635" s="2739">
        <f>'[10]NFMA46 '!K694</f>
        <v>0</v>
      </c>
      <c r="Q635" s="1715">
        <f t="shared" si="62"/>
        <v>0</v>
      </c>
      <c r="R635" s="1715">
        <f t="shared" si="64"/>
        <v>104000</v>
      </c>
      <c r="S635" s="1715">
        <f t="shared" si="63"/>
        <v>100</v>
      </c>
      <c r="T635" s="1715"/>
      <c r="U635" s="1715">
        <f t="shared" si="65"/>
        <v>0</v>
      </c>
      <c r="V635" s="2658"/>
    </row>
    <row r="636" spans="1:22" s="1041" customFormat="1" ht="101.25" customHeight="1">
      <c r="A636" s="2658">
        <v>378</v>
      </c>
      <c r="B636" s="2735" t="s">
        <v>5985</v>
      </c>
      <c r="C636" s="2740" t="s">
        <v>5169</v>
      </c>
      <c r="D636" s="2741"/>
      <c r="E636" s="2742" t="s">
        <v>550</v>
      </c>
      <c r="F636" s="2738"/>
      <c r="G636" s="2738">
        <v>104000</v>
      </c>
      <c r="H636" s="2738"/>
      <c r="I636" s="2738"/>
      <c r="J636" s="2738"/>
      <c r="K636" s="2738"/>
      <c r="L636" s="2743"/>
      <c r="M636" s="2738">
        <f>'[10]NFMA46 '!I695</f>
        <v>104000</v>
      </c>
      <c r="N636" s="2738">
        <f>'[10]NFMA46 '!L695</f>
        <v>104000</v>
      </c>
      <c r="O636" s="2738">
        <f t="shared" si="61"/>
        <v>100</v>
      </c>
      <c r="P636" s="2739">
        <f>'[10]NFMA46 '!K695</f>
        <v>0</v>
      </c>
      <c r="Q636" s="1715">
        <f t="shared" si="62"/>
        <v>0</v>
      </c>
      <c r="R636" s="1715">
        <f t="shared" si="64"/>
        <v>104000</v>
      </c>
      <c r="S636" s="1715">
        <f t="shared" si="63"/>
        <v>100</v>
      </c>
      <c r="T636" s="1715"/>
      <c r="U636" s="1715">
        <f t="shared" si="65"/>
        <v>0</v>
      </c>
      <c r="V636" s="2658"/>
    </row>
    <row r="637" spans="1:22" s="1041" customFormat="1" ht="101.25" customHeight="1">
      <c r="A637" s="2658">
        <v>379</v>
      </c>
      <c r="B637" s="2735" t="s">
        <v>5986</v>
      </c>
      <c r="C637" s="2740" t="s">
        <v>5171</v>
      </c>
      <c r="D637" s="2741"/>
      <c r="E637" s="2742" t="s">
        <v>550</v>
      </c>
      <c r="F637" s="2738"/>
      <c r="G637" s="2738">
        <v>104000</v>
      </c>
      <c r="H637" s="2738"/>
      <c r="I637" s="2738"/>
      <c r="J637" s="2738"/>
      <c r="K637" s="2738"/>
      <c r="L637" s="2743"/>
      <c r="M637" s="2738">
        <f>'[10]NFMA46 '!I696</f>
        <v>104000</v>
      </c>
      <c r="N637" s="2738">
        <f>'[10]NFMA46 '!L696</f>
        <v>0</v>
      </c>
      <c r="O637" s="2738">
        <f t="shared" si="61"/>
        <v>0</v>
      </c>
      <c r="P637" s="2739">
        <f>'[10]NFMA46 '!K696</f>
        <v>104000</v>
      </c>
      <c r="Q637" s="1715">
        <f t="shared" si="62"/>
        <v>100</v>
      </c>
      <c r="R637" s="1715">
        <f t="shared" si="64"/>
        <v>104000</v>
      </c>
      <c r="S637" s="1715">
        <f t="shared" si="63"/>
        <v>100</v>
      </c>
      <c r="T637" s="1715"/>
      <c r="U637" s="1715">
        <f t="shared" si="65"/>
        <v>0</v>
      </c>
      <c r="V637" s="2658"/>
    </row>
    <row r="638" spans="1:22" s="1041" customFormat="1" ht="101.25" customHeight="1">
      <c r="A638" s="2658">
        <v>380</v>
      </c>
      <c r="B638" s="2735" t="s">
        <v>5987</v>
      </c>
      <c r="C638" s="2740" t="s">
        <v>5173</v>
      </c>
      <c r="D638" s="2741"/>
      <c r="E638" s="2742" t="s">
        <v>2832</v>
      </c>
      <c r="F638" s="2738"/>
      <c r="G638" s="2738">
        <v>312000</v>
      </c>
      <c r="H638" s="2738"/>
      <c r="I638" s="2738"/>
      <c r="J638" s="2738"/>
      <c r="K638" s="2738"/>
      <c r="L638" s="2743"/>
      <c r="M638" s="2738">
        <f>'[10]NFMA46 '!I697</f>
        <v>312000</v>
      </c>
      <c r="N638" s="2738">
        <f>'[10]NFMA46 '!L697</f>
        <v>301858</v>
      </c>
      <c r="O638" s="2738">
        <f t="shared" si="61"/>
        <v>96.749358974358984</v>
      </c>
      <c r="P638" s="2739">
        <f>'[10]NFMA46 '!K697</f>
        <v>0</v>
      </c>
      <c r="Q638" s="1715">
        <f t="shared" si="62"/>
        <v>0</v>
      </c>
      <c r="R638" s="1715">
        <f t="shared" si="64"/>
        <v>301858</v>
      </c>
      <c r="S638" s="1715">
        <f t="shared" si="63"/>
        <v>96.749358974358984</v>
      </c>
      <c r="T638" s="1715"/>
      <c r="U638" s="1715">
        <f t="shared" si="65"/>
        <v>10142</v>
      </c>
      <c r="V638" s="2658"/>
    </row>
    <row r="639" spans="1:22" s="1041" customFormat="1" ht="101.25" customHeight="1">
      <c r="A639" s="2658">
        <v>381</v>
      </c>
      <c r="B639" s="2735" t="s">
        <v>5988</v>
      </c>
      <c r="C639" s="2740" t="s">
        <v>5175</v>
      </c>
      <c r="D639" s="2741"/>
      <c r="E639" s="2742" t="s">
        <v>552</v>
      </c>
      <c r="F639" s="2738"/>
      <c r="G639" s="2738">
        <v>104000</v>
      </c>
      <c r="H639" s="2738"/>
      <c r="I639" s="2738"/>
      <c r="J639" s="2738"/>
      <c r="K639" s="2738"/>
      <c r="L639" s="2743">
        <v>16549.060000000001</v>
      </c>
      <c r="M639" s="2738">
        <f>'[10]NFMA46 '!I698-L639</f>
        <v>87450.94</v>
      </c>
      <c r="N639" s="2738">
        <f>'[10]NFMA46 '!L698</f>
        <v>87450.94</v>
      </c>
      <c r="O639" s="2738">
        <f t="shared" si="61"/>
        <v>100</v>
      </c>
      <c r="P639" s="2739">
        <f>'[10]NFMA46 '!K698</f>
        <v>0</v>
      </c>
      <c r="Q639" s="1715">
        <f t="shared" si="62"/>
        <v>0</v>
      </c>
      <c r="R639" s="1715">
        <f t="shared" si="64"/>
        <v>87450.94</v>
      </c>
      <c r="S639" s="1715">
        <f t="shared" si="63"/>
        <v>100</v>
      </c>
      <c r="T639" s="1715"/>
      <c r="U639" s="1715">
        <f t="shared" si="65"/>
        <v>0</v>
      </c>
      <c r="V639" s="2658"/>
    </row>
    <row r="640" spans="1:22" s="1041" customFormat="1" ht="101.25" customHeight="1">
      <c r="A640" s="2658">
        <v>382</v>
      </c>
      <c r="B640" s="2735" t="s">
        <v>5989</v>
      </c>
      <c r="C640" s="2740" t="s">
        <v>5176</v>
      </c>
      <c r="D640" s="2741"/>
      <c r="E640" s="2742" t="s">
        <v>1182</v>
      </c>
      <c r="F640" s="2738"/>
      <c r="G640" s="2738">
        <v>104000</v>
      </c>
      <c r="H640" s="2738"/>
      <c r="I640" s="2738"/>
      <c r="J640" s="2738"/>
      <c r="K640" s="2738"/>
      <c r="L640" s="2743"/>
      <c r="M640" s="2738">
        <f>'[10]NFMA46 '!I699</f>
        <v>104000</v>
      </c>
      <c r="N640" s="2738">
        <f>'[10]NFMA46 '!L699</f>
        <v>104000</v>
      </c>
      <c r="O640" s="2738">
        <f t="shared" si="61"/>
        <v>100</v>
      </c>
      <c r="P640" s="2739">
        <f>'[10]NFMA46 '!K699</f>
        <v>0</v>
      </c>
      <c r="Q640" s="1715">
        <f t="shared" si="62"/>
        <v>0</v>
      </c>
      <c r="R640" s="1715">
        <f t="shared" si="64"/>
        <v>104000</v>
      </c>
      <c r="S640" s="1715">
        <f t="shared" si="63"/>
        <v>100</v>
      </c>
      <c r="T640" s="1715"/>
      <c r="U640" s="1715">
        <f t="shared" si="65"/>
        <v>0</v>
      </c>
      <c r="V640" s="2658"/>
    </row>
    <row r="641" spans="1:22" s="1041" customFormat="1" ht="101.25" customHeight="1">
      <c r="A641" s="2658">
        <v>383</v>
      </c>
      <c r="B641" s="2735" t="s">
        <v>5990</v>
      </c>
      <c r="C641" s="2740" t="s">
        <v>5178</v>
      </c>
      <c r="D641" s="2741"/>
      <c r="E641" s="2742" t="s">
        <v>1183</v>
      </c>
      <c r="F641" s="2738"/>
      <c r="G641" s="2738">
        <v>208000</v>
      </c>
      <c r="H641" s="2738"/>
      <c r="I641" s="2738"/>
      <c r="J641" s="2738"/>
      <c r="K641" s="2738"/>
      <c r="L641" s="2743"/>
      <c r="M641" s="2738">
        <f>'[10]NFMA46 '!I700</f>
        <v>208000</v>
      </c>
      <c r="N641" s="2738">
        <f>'[10]NFMA46 '!L700</f>
        <v>208000</v>
      </c>
      <c r="O641" s="2738">
        <f t="shared" si="61"/>
        <v>100</v>
      </c>
      <c r="P641" s="2739">
        <f>'[10]NFMA46 '!K700</f>
        <v>0</v>
      </c>
      <c r="Q641" s="1715">
        <f t="shared" si="62"/>
        <v>0</v>
      </c>
      <c r="R641" s="1715">
        <f t="shared" si="64"/>
        <v>208000</v>
      </c>
      <c r="S641" s="1715">
        <f t="shared" si="63"/>
        <v>100</v>
      </c>
      <c r="T641" s="1715"/>
      <c r="U641" s="1715">
        <f t="shared" si="65"/>
        <v>0</v>
      </c>
      <c r="V641" s="2658"/>
    </row>
    <row r="642" spans="1:22" s="1041" customFormat="1" ht="101.25" customHeight="1">
      <c r="A642" s="2658">
        <v>384</v>
      </c>
      <c r="B642" s="2735" t="s">
        <v>5991</v>
      </c>
      <c r="C642" s="2740" t="s">
        <v>5415</v>
      </c>
      <c r="D642" s="2741"/>
      <c r="E642" s="2742" t="s">
        <v>554</v>
      </c>
      <c r="F642" s="2738"/>
      <c r="G642" s="2738">
        <v>90400</v>
      </c>
      <c r="H642" s="2738"/>
      <c r="I642" s="2738"/>
      <c r="J642" s="2738"/>
      <c r="K642" s="2738"/>
      <c r="L642" s="2743">
        <v>14779</v>
      </c>
      <c r="M642" s="2738">
        <f>'[10]NFMA46 '!I701-L642</f>
        <v>75621</v>
      </c>
      <c r="N642" s="2738">
        <f>'[10]NFMA46 '!L701</f>
        <v>72724</v>
      </c>
      <c r="O642" s="2738">
        <f t="shared" si="61"/>
        <v>96.169053569775585</v>
      </c>
      <c r="P642" s="2739">
        <f>'[10]NFMA46 '!K701</f>
        <v>0</v>
      </c>
      <c r="Q642" s="1715">
        <f t="shared" si="62"/>
        <v>0</v>
      </c>
      <c r="R642" s="1715">
        <f t="shared" si="64"/>
        <v>72724</v>
      </c>
      <c r="S642" s="1715">
        <f t="shared" si="63"/>
        <v>96.169053569775585</v>
      </c>
      <c r="T642" s="1715"/>
      <c r="U642" s="1715">
        <f t="shared" si="65"/>
        <v>2897</v>
      </c>
      <c r="V642" s="2658"/>
    </row>
    <row r="643" spans="1:22" s="1041" customFormat="1" ht="101.25" customHeight="1">
      <c r="A643" s="2658">
        <v>385</v>
      </c>
      <c r="B643" s="2735" t="s">
        <v>5992</v>
      </c>
      <c r="C643" s="2740" t="s">
        <v>5179</v>
      </c>
      <c r="D643" s="2741"/>
      <c r="E643" s="2742" t="s">
        <v>554</v>
      </c>
      <c r="F643" s="2738"/>
      <c r="G643" s="2738">
        <v>45200</v>
      </c>
      <c r="H643" s="2738"/>
      <c r="I643" s="2738"/>
      <c r="J643" s="2738">
        <v>7085</v>
      </c>
      <c r="K643" s="2738"/>
      <c r="L643" s="2743"/>
      <c r="M643" s="2738">
        <f>'[10]NFMA46 '!I702</f>
        <v>38115</v>
      </c>
      <c r="N643" s="2738">
        <f>'[10]NFMA46 '!L702</f>
        <v>0</v>
      </c>
      <c r="O643" s="2738">
        <f t="shared" si="61"/>
        <v>0</v>
      </c>
      <c r="P643" s="2739">
        <f>'[10]NFMA46 '!K702</f>
        <v>38115</v>
      </c>
      <c r="Q643" s="1715">
        <f t="shared" si="62"/>
        <v>100</v>
      </c>
      <c r="R643" s="1715">
        <f t="shared" si="64"/>
        <v>38115</v>
      </c>
      <c r="S643" s="1715">
        <f t="shared" si="63"/>
        <v>100</v>
      </c>
      <c r="T643" s="1715"/>
      <c r="U643" s="1715">
        <f t="shared" si="65"/>
        <v>0</v>
      </c>
      <c r="V643" s="2658"/>
    </row>
    <row r="644" spans="1:22" s="1041" customFormat="1" ht="101.25" customHeight="1">
      <c r="A644" s="2658">
        <v>386</v>
      </c>
      <c r="B644" s="2735" t="s">
        <v>5993</v>
      </c>
      <c r="C644" s="2740" t="s">
        <v>5181</v>
      </c>
      <c r="D644" s="2741"/>
      <c r="E644" s="2742" t="s">
        <v>554</v>
      </c>
      <c r="F644" s="2738"/>
      <c r="G644" s="2738">
        <v>45200</v>
      </c>
      <c r="H644" s="2738"/>
      <c r="I644" s="2738"/>
      <c r="J644" s="2738">
        <v>9000</v>
      </c>
      <c r="K644" s="2738"/>
      <c r="L644" s="2743">
        <v>8074.7</v>
      </c>
      <c r="M644" s="2738">
        <f>'[10]NFMA46 '!I703-L644</f>
        <v>28125.3</v>
      </c>
      <c r="N644" s="2738">
        <f>'[10]NFMA46 '!L703</f>
        <v>28125.3</v>
      </c>
      <c r="O644" s="2738">
        <f t="shared" si="61"/>
        <v>100</v>
      </c>
      <c r="P644" s="2739">
        <f>'[10]NFMA46 '!K703</f>
        <v>0</v>
      </c>
      <c r="Q644" s="1715">
        <f t="shared" si="62"/>
        <v>0</v>
      </c>
      <c r="R644" s="1715">
        <f t="shared" si="64"/>
        <v>28125.3</v>
      </c>
      <c r="S644" s="1715">
        <f t="shared" si="63"/>
        <v>100</v>
      </c>
      <c r="T644" s="1715"/>
      <c r="U644" s="1715">
        <f t="shared" si="65"/>
        <v>0</v>
      </c>
      <c r="V644" s="2658"/>
    </row>
    <row r="645" spans="1:22" s="1041" customFormat="1" ht="101.25" customHeight="1">
      <c r="A645" s="2658">
        <v>387</v>
      </c>
      <c r="B645" s="2735" t="s">
        <v>5994</v>
      </c>
      <c r="C645" s="2740" t="s">
        <v>5183</v>
      </c>
      <c r="D645" s="2741"/>
      <c r="E645" s="2742" t="s">
        <v>554</v>
      </c>
      <c r="F645" s="2738"/>
      <c r="G645" s="2738">
        <v>45200</v>
      </c>
      <c r="H645" s="2738"/>
      <c r="I645" s="2738"/>
      <c r="J645" s="2738">
        <v>7100</v>
      </c>
      <c r="K645" s="2738"/>
      <c r="L645" s="2743"/>
      <c r="M645" s="2738">
        <f>'[10]NFMA46 '!I704</f>
        <v>38100</v>
      </c>
      <c r="N645" s="2738">
        <f>'[10]NFMA46 '!L704</f>
        <v>26411</v>
      </c>
      <c r="O645" s="2738">
        <f t="shared" ref="O645:O704" si="66">N645/M645*100</f>
        <v>69.320209973753279</v>
      </c>
      <c r="P645" s="2739">
        <f>'[10]NFMA46 '!K704</f>
        <v>0</v>
      </c>
      <c r="Q645" s="1715">
        <f t="shared" ref="Q645:Q704" si="67">P645/M645*100</f>
        <v>0</v>
      </c>
      <c r="R645" s="1715">
        <f>P645+N645</f>
        <v>26411</v>
      </c>
      <c r="S645" s="1715">
        <f t="shared" ref="S645:S704" si="68">R645/M645*100</f>
        <v>69.320209973753279</v>
      </c>
      <c r="T645" s="1715"/>
      <c r="U645" s="1715">
        <f>M645-R645</f>
        <v>11689</v>
      </c>
      <c r="V645" s="2658"/>
    </row>
    <row r="646" spans="1:22" s="1041" customFormat="1" ht="101.25" customHeight="1">
      <c r="A646" s="2658">
        <v>388</v>
      </c>
      <c r="B646" s="2735" t="s">
        <v>5995</v>
      </c>
      <c r="C646" s="2740" t="s">
        <v>5185</v>
      </c>
      <c r="D646" s="2741"/>
      <c r="E646" s="2742" t="s">
        <v>554</v>
      </c>
      <c r="F646" s="2738"/>
      <c r="G646" s="2738">
        <v>208000</v>
      </c>
      <c r="H646" s="2738"/>
      <c r="I646" s="2738"/>
      <c r="J646" s="2738">
        <v>4660</v>
      </c>
      <c r="K646" s="2738"/>
      <c r="L646" s="2743"/>
      <c r="M646" s="2738">
        <f>'[10]NFMA46 '!I705</f>
        <v>203340</v>
      </c>
      <c r="N646" s="2738">
        <f>'[10]NFMA46 '!L705</f>
        <v>83598</v>
      </c>
      <c r="O646" s="2738">
        <f t="shared" si="66"/>
        <v>41.112422543523166</v>
      </c>
      <c r="P646" s="2739">
        <f>'[10]NFMA46 '!K705</f>
        <v>101670</v>
      </c>
      <c r="Q646" s="1715">
        <f t="shared" si="67"/>
        <v>50</v>
      </c>
      <c r="R646" s="1715">
        <f t="shared" ref="R646:R683" si="69">P646+N646</f>
        <v>185268</v>
      </c>
      <c r="S646" s="1715">
        <f t="shared" si="68"/>
        <v>91.112422543523166</v>
      </c>
      <c r="T646" s="1715"/>
      <c r="U646" s="1715">
        <f t="shared" ref="U646:U683" si="70">M646-R646</f>
        <v>18072</v>
      </c>
      <c r="V646" s="2658"/>
    </row>
    <row r="647" spans="1:22" s="1041" customFormat="1" ht="101.25" customHeight="1">
      <c r="A647" s="2658">
        <v>389</v>
      </c>
      <c r="B647" s="2735" t="s">
        <v>5996</v>
      </c>
      <c r="C647" s="2740" t="s">
        <v>5186</v>
      </c>
      <c r="D647" s="2741"/>
      <c r="E647" s="2742" t="s">
        <v>554</v>
      </c>
      <c r="F647" s="2738"/>
      <c r="G647" s="2738">
        <v>104000</v>
      </c>
      <c r="H647" s="2738"/>
      <c r="I647" s="2738"/>
      <c r="J647" s="2738">
        <v>2360</v>
      </c>
      <c r="K647" s="2738"/>
      <c r="L647" s="2743"/>
      <c r="M647" s="2738">
        <f>'[10]NFMA46 '!I706</f>
        <v>101640</v>
      </c>
      <c r="N647" s="2738">
        <f>'[10]NFMA46 '!L706</f>
        <v>0</v>
      </c>
      <c r="O647" s="2738">
        <f t="shared" si="66"/>
        <v>0</v>
      </c>
      <c r="P647" s="2739">
        <f>'[10]NFMA46 '!K706</f>
        <v>101640</v>
      </c>
      <c r="Q647" s="1715">
        <f t="shared" si="67"/>
        <v>100</v>
      </c>
      <c r="R647" s="1715">
        <f t="shared" si="69"/>
        <v>101640</v>
      </c>
      <c r="S647" s="1715">
        <f t="shared" si="68"/>
        <v>100</v>
      </c>
      <c r="T647" s="1715"/>
      <c r="U647" s="1715">
        <f t="shared" si="70"/>
        <v>0</v>
      </c>
      <c r="V647" s="2658"/>
    </row>
    <row r="648" spans="1:22" s="1041" customFormat="1" ht="101.25" customHeight="1">
      <c r="A648" s="2658">
        <v>390</v>
      </c>
      <c r="B648" s="2735" t="s">
        <v>5997</v>
      </c>
      <c r="C648" s="2740" t="s">
        <v>5187</v>
      </c>
      <c r="D648" s="2741"/>
      <c r="E648" s="2742" t="s">
        <v>554</v>
      </c>
      <c r="F648" s="2738"/>
      <c r="G648" s="2738">
        <v>208000</v>
      </c>
      <c r="H648" s="2738"/>
      <c r="I648" s="2738"/>
      <c r="J648" s="2738"/>
      <c r="K648" s="2738"/>
      <c r="L648" s="2743">
        <v>37572</v>
      </c>
      <c r="M648" s="2738">
        <f>'[10]NFMA46 '!I707-L648</f>
        <v>170428</v>
      </c>
      <c r="N648" s="2738">
        <f>'[10]NFMA46 '!L707</f>
        <v>159755</v>
      </c>
      <c r="O648" s="2738">
        <f t="shared" si="66"/>
        <v>93.737531391555379</v>
      </c>
      <c r="P648" s="2739">
        <f>'[10]NFMA46 '!K707</f>
        <v>0</v>
      </c>
      <c r="Q648" s="1715">
        <f t="shared" si="67"/>
        <v>0</v>
      </c>
      <c r="R648" s="1715">
        <f t="shared" si="69"/>
        <v>159755</v>
      </c>
      <c r="S648" s="1715">
        <f t="shared" si="68"/>
        <v>93.737531391555379</v>
      </c>
      <c r="T648" s="1715"/>
      <c r="U648" s="1715">
        <f t="shared" si="70"/>
        <v>10673</v>
      </c>
      <c r="V648" s="2658"/>
    </row>
    <row r="649" spans="1:22" s="1041" customFormat="1" ht="101.25" customHeight="1">
      <c r="A649" s="2658">
        <v>391</v>
      </c>
      <c r="B649" s="2735" t="s">
        <v>5998</v>
      </c>
      <c r="C649" s="2740" t="s">
        <v>5189</v>
      </c>
      <c r="D649" s="2741"/>
      <c r="E649" s="2742" t="s">
        <v>554</v>
      </c>
      <c r="F649" s="2738"/>
      <c r="G649" s="2738">
        <v>104000</v>
      </c>
      <c r="H649" s="2738"/>
      <c r="I649" s="2738"/>
      <c r="J649" s="2738">
        <v>2400</v>
      </c>
      <c r="K649" s="2738"/>
      <c r="L649" s="2743"/>
      <c r="M649" s="2738">
        <f>'[10]NFMA46 '!I708</f>
        <v>101600</v>
      </c>
      <c r="N649" s="2738">
        <f>'[10]NFMA46 '!L708</f>
        <v>50102</v>
      </c>
      <c r="O649" s="2738">
        <f t="shared" si="66"/>
        <v>49.312992125984252</v>
      </c>
      <c r="P649" s="2739">
        <f>'[10]NFMA46 '!K708</f>
        <v>0</v>
      </c>
      <c r="Q649" s="1715">
        <f t="shared" si="67"/>
        <v>0</v>
      </c>
      <c r="R649" s="1715">
        <f t="shared" si="69"/>
        <v>50102</v>
      </c>
      <c r="S649" s="1715">
        <f t="shared" si="68"/>
        <v>49.312992125984252</v>
      </c>
      <c r="T649" s="1715"/>
      <c r="U649" s="1715">
        <f t="shared" si="70"/>
        <v>51498</v>
      </c>
      <c r="V649" s="2658"/>
    </row>
    <row r="650" spans="1:22" s="1041" customFormat="1" ht="101.25" customHeight="1">
      <c r="A650" s="2658">
        <v>392</v>
      </c>
      <c r="B650" s="2735" t="s">
        <v>5999</v>
      </c>
      <c r="C650" s="2740" t="s">
        <v>5191</v>
      </c>
      <c r="D650" s="2741"/>
      <c r="E650" s="2742" t="s">
        <v>1184</v>
      </c>
      <c r="F650" s="2738"/>
      <c r="G650" s="2738">
        <v>45200</v>
      </c>
      <c r="H650" s="2738"/>
      <c r="I650" s="2738"/>
      <c r="J650" s="2738"/>
      <c r="K650" s="2738"/>
      <c r="L650" s="2743"/>
      <c r="M650" s="2738">
        <f>'[10]NFMA46 '!I709</f>
        <v>45200</v>
      </c>
      <c r="N650" s="2738">
        <f>'[10]NFMA46 '!L709</f>
        <v>0</v>
      </c>
      <c r="O650" s="2738">
        <f t="shared" si="66"/>
        <v>0</v>
      </c>
      <c r="P650" s="2739">
        <f>'[10]NFMA46 '!K709</f>
        <v>0</v>
      </c>
      <c r="Q650" s="1715">
        <f t="shared" si="67"/>
        <v>0</v>
      </c>
      <c r="R650" s="1715">
        <f t="shared" si="69"/>
        <v>0</v>
      </c>
      <c r="S650" s="1715">
        <f t="shared" si="68"/>
        <v>0</v>
      </c>
      <c r="T650" s="1715"/>
      <c r="U650" s="1715">
        <f t="shared" si="70"/>
        <v>45200</v>
      </c>
      <c r="V650" s="2658"/>
    </row>
    <row r="651" spans="1:22" s="1041" customFormat="1" ht="101.25" customHeight="1">
      <c r="A651" s="2658">
        <v>393</v>
      </c>
      <c r="B651" s="2735" t="s">
        <v>6000</v>
      </c>
      <c r="C651" s="2740" t="s">
        <v>5192</v>
      </c>
      <c r="D651" s="2741"/>
      <c r="E651" s="2742" t="s">
        <v>1184</v>
      </c>
      <c r="F651" s="2738"/>
      <c r="G651" s="2738">
        <v>104000</v>
      </c>
      <c r="H651" s="2738"/>
      <c r="I651" s="2738"/>
      <c r="J651" s="2738"/>
      <c r="K651" s="2738"/>
      <c r="L651" s="2743"/>
      <c r="M651" s="2738">
        <f>'[10]NFMA46 '!I710</f>
        <v>104000</v>
      </c>
      <c r="N651" s="2738">
        <f>'[10]NFMA46 '!L710</f>
        <v>0</v>
      </c>
      <c r="O651" s="2738">
        <f t="shared" si="66"/>
        <v>0</v>
      </c>
      <c r="P651" s="2739">
        <f>'[10]NFMA46 '!K710</f>
        <v>0</v>
      </c>
      <c r="Q651" s="1715">
        <f t="shared" si="67"/>
        <v>0</v>
      </c>
      <c r="R651" s="1715">
        <f t="shared" si="69"/>
        <v>0</v>
      </c>
      <c r="S651" s="1715">
        <f t="shared" si="68"/>
        <v>0</v>
      </c>
      <c r="T651" s="1715"/>
      <c r="U651" s="1715">
        <f t="shared" si="70"/>
        <v>104000</v>
      </c>
      <c r="V651" s="2658"/>
    </row>
    <row r="652" spans="1:22" s="1041" customFormat="1" ht="101.25" customHeight="1">
      <c r="A652" s="2658">
        <v>394</v>
      </c>
      <c r="B652" s="2735" t="s">
        <v>6001</v>
      </c>
      <c r="C652" s="2740" t="s">
        <v>5194</v>
      </c>
      <c r="D652" s="2741"/>
      <c r="E652" s="2742" t="s">
        <v>1184</v>
      </c>
      <c r="F652" s="2738"/>
      <c r="G652" s="2738">
        <v>104000</v>
      </c>
      <c r="H652" s="2738"/>
      <c r="I652" s="2738"/>
      <c r="J652" s="2738"/>
      <c r="K652" s="2738"/>
      <c r="L652" s="2743"/>
      <c r="M652" s="2738">
        <f>'[10]NFMA46 '!I711</f>
        <v>104000</v>
      </c>
      <c r="N652" s="2738">
        <f>'[10]NFMA46 '!L711</f>
        <v>0</v>
      </c>
      <c r="O652" s="2738">
        <f t="shared" si="66"/>
        <v>0</v>
      </c>
      <c r="P652" s="2739">
        <f>'[10]NFMA46 '!K711</f>
        <v>0</v>
      </c>
      <c r="Q652" s="1715">
        <f t="shared" si="67"/>
        <v>0</v>
      </c>
      <c r="R652" s="1715">
        <f t="shared" si="69"/>
        <v>0</v>
      </c>
      <c r="S652" s="1715">
        <f t="shared" si="68"/>
        <v>0</v>
      </c>
      <c r="T652" s="1715"/>
      <c r="U652" s="1715">
        <f t="shared" si="70"/>
        <v>104000</v>
      </c>
      <c r="V652" s="2658"/>
    </row>
    <row r="653" spans="1:22" s="1041" customFormat="1" ht="101.25" customHeight="1">
      <c r="A653" s="2658">
        <v>395</v>
      </c>
      <c r="B653" s="2735" t="s">
        <v>6002</v>
      </c>
      <c r="C653" s="2740" t="s">
        <v>5195</v>
      </c>
      <c r="D653" s="2741"/>
      <c r="E653" s="2742" t="s">
        <v>556</v>
      </c>
      <c r="F653" s="2738"/>
      <c r="G653" s="2738">
        <v>104000</v>
      </c>
      <c r="H653" s="2738"/>
      <c r="I653" s="2738"/>
      <c r="J653" s="2738">
        <v>9000</v>
      </c>
      <c r="K653" s="2738"/>
      <c r="L653" s="2743"/>
      <c r="M653" s="2738">
        <f>'[10]NFMA46 '!I712</f>
        <v>95000</v>
      </c>
      <c r="N653" s="2738">
        <f>'[10]NFMA46 '!L712</f>
        <v>95000</v>
      </c>
      <c r="O653" s="2738">
        <f t="shared" si="66"/>
        <v>100</v>
      </c>
      <c r="P653" s="2739">
        <f>'[10]NFMA46 '!K712</f>
        <v>0</v>
      </c>
      <c r="Q653" s="1715">
        <f t="shared" si="67"/>
        <v>0</v>
      </c>
      <c r="R653" s="1715">
        <f t="shared" si="69"/>
        <v>95000</v>
      </c>
      <c r="S653" s="1715">
        <f t="shared" si="68"/>
        <v>100</v>
      </c>
      <c r="T653" s="1715"/>
      <c r="U653" s="1715">
        <f t="shared" si="70"/>
        <v>0</v>
      </c>
      <c r="V653" s="2658"/>
    </row>
    <row r="654" spans="1:22" s="1041" customFormat="1" ht="101.25" customHeight="1">
      <c r="A654" s="2658">
        <v>396</v>
      </c>
      <c r="B654" s="2735" t="s">
        <v>6003</v>
      </c>
      <c r="C654" s="2740" t="s">
        <v>5196</v>
      </c>
      <c r="D654" s="2741"/>
      <c r="E654" s="2742" t="s">
        <v>558</v>
      </c>
      <c r="F654" s="2738"/>
      <c r="G654" s="2738">
        <v>90400</v>
      </c>
      <c r="H654" s="2738"/>
      <c r="I654" s="2738"/>
      <c r="J654" s="2738"/>
      <c r="K654" s="2738"/>
      <c r="L654" s="2743"/>
      <c r="M654" s="2738">
        <f>'[10]NFMA46 '!I713</f>
        <v>90400</v>
      </c>
      <c r="N654" s="2738">
        <f>'[10]NFMA46 '!L713</f>
        <v>45200</v>
      </c>
      <c r="O654" s="2738">
        <f t="shared" si="66"/>
        <v>50</v>
      </c>
      <c r="P654" s="2739">
        <f>'[10]NFMA46 '!K713</f>
        <v>45200</v>
      </c>
      <c r="Q654" s="1715">
        <f t="shared" si="67"/>
        <v>50</v>
      </c>
      <c r="R654" s="1715">
        <f t="shared" si="69"/>
        <v>90400</v>
      </c>
      <c r="S654" s="1715">
        <f t="shared" si="68"/>
        <v>100</v>
      </c>
      <c r="T654" s="1715"/>
      <c r="U654" s="1715">
        <f t="shared" si="70"/>
        <v>0</v>
      </c>
      <c r="V654" s="2658"/>
    </row>
    <row r="655" spans="1:22" s="1041" customFormat="1" ht="101.25" customHeight="1">
      <c r="A655" s="2658">
        <v>397</v>
      </c>
      <c r="B655" s="2735" t="s">
        <v>6004</v>
      </c>
      <c r="C655" s="2740" t="s">
        <v>5198</v>
      </c>
      <c r="D655" s="2741"/>
      <c r="E655" s="2742" t="s">
        <v>558</v>
      </c>
      <c r="F655" s="2738"/>
      <c r="G655" s="2738">
        <v>90400</v>
      </c>
      <c r="H655" s="2738"/>
      <c r="I655" s="2738"/>
      <c r="J655" s="2738"/>
      <c r="K655" s="2738"/>
      <c r="L655" s="2743"/>
      <c r="M655" s="2738">
        <f>'[10]NFMA46 '!I714</f>
        <v>90400</v>
      </c>
      <c r="N655" s="2738">
        <f>'[10]NFMA46 '!L714</f>
        <v>0</v>
      </c>
      <c r="O655" s="2738">
        <f t="shared" si="66"/>
        <v>0</v>
      </c>
      <c r="P655" s="2739">
        <f>'[10]NFMA46 '!K714</f>
        <v>90400</v>
      </c>
      <c r="Q655" s="1715">
        <f t="shared" si="67"/>
        <v>100</v>
      </c>
      <c r="R655" s="1715">
        <f t="shared" si="69"/>
        <v>90400</v>
      </c>
      <c r="S655" s="1715">
        <f t="shared" si="68"/>
        <v>100</v>
      </c>
      <c r="T655" s="1715"/>
      <c r="U655" s="1715">
        <f t="shared" si="70"/>
        <v>0</v>
      </c>
      <c r="V655" s="2658"/>
    </row>
    <row r="656" spans="1:22" s="1041" customFormat="1" ht="101.25" customHeight="1">
      <c r="A656" s="2658">
        <v>398</v>
      </c>
      <c r="B656" s="2735" t="s">
        <v>6005</v>
      </c>
      <c r="C656" s="2740" t="s">
        <v>5200</v>
      </c>
      <c r="D656" s="2741"/>
      <c r="E656" s="2742" t="s">
        <v>559</v>
      </c>
      <c r="F656" s="2738"/>
      <c r="G656" s="2738">
        <v>104000</v>
      </c>
      <c r="H656" s="2738"/>
      <c r="I656" s="2738"/>
      <c r="J656" s="2738"/>
      <c r="K656" s="2738"/>
      <c r="L656" s="2743"/>
      <c r="M656" s="2738">
        <f>'[10]NFMA46 '!I715</f>
        <v>104000</v>
      </c>
      <c r="N656" s="2738">
        <f>'[10]NFMA46 '!L715</f>
        <v>104000</v>
      </c>
      <c r="O656" s="2738">
        <f t="shared" si="66"/>
        <v>100</v>
      </c>
      <c r="P656" s="2739">
        <f>'[10]NFMA46 '!K715</f>
        <v>0</v>
      </c>
      <c r="Q656" s="1715">
        <f t="shared" si="67"/>
        <v>0</v>
      </c>
      <c r="R656" s="1715">
        <f t="shared" si="69"/>
        <v>104000</v>
      </c>
      <c r="S656" s="1715">
        <f t="shared" si="68"/>
        <v>100</v>
      </c>
      <c r="T656" s="1715"/>
      <c r="U656" s="1715">
        <f t="shared" si="70"/>
        <v>0</v>
      </c>
      <c r="V656" s="2658"/>
    </row>
    <row r="657" spans="1:22" s="1041" customFormat="1" ht="101.25" customHeight="1">
      <c r="A657" s="2658">
        <v>399</v>
      </c>
      <c r="B657" s="2735" t="s">
        <v>6006</v>
      </c>
      <c r="C657" s="2740" t="s">
        <v>5201</v>
      </c>
      <c r="D657" s="2741"/>
      <c r="E657" s="2742" t="s">
        <v>560</v>
      </c>
      <c r="F657" s="2738"/>
      <c r="G657" s="2738">
        <v>90400</v>
      </c>
      <c r="H657" s="2738"/>
      <c r="I657" s="2738"/>
      <c r="J657" s="2738"/>
      <c r="K657" s="2738"/>
      <c r="L657" s="2743"/>
      <c r="M657" s="2738">
        <f>'[10]NFMA46 '!I716</f>
        <v>90400</v>
      </c>
      <c r="N657" s="2738">
        <f>'[10]NFMA46 '!L716</f>
        <v>0</v>
      </c>
      <c r="O657" s="2738">
        <f t="shared" si="66"/>
        <v>0</v>
      </c>
      <c r="P657" s="2739">
        <f>'[10]NFMA46 '!K716</f>
        <v>90400</v>
      </c>
      <c r="Q657" s="1715">
        <f t="shared" si="67"/>
        <v>100</v>
      </c>
      <c r="R657" s="1715">
        <f t="shared" si="69"/>
        <v>90400</v>
      </c>
      <c r="S657" s="1715">
        <f t="shared" si="68"/>
        <v>100</v>
      </c>
      <c r="T657" s="1715"/>
      <c r="U657" s="1715">
        <f t="shared" si="70"/>
        <v>0</v>
      </c>
      <c r="V657" s="2658"/>
    </row>
    <row r="658" spans="1:22" s="1041" customFormat="1" ht="101.25" customHeight="1">
      <c r="A658" s="2658">
        <v>400</v>
      </c>
      <c r="B658" s="2735" t="s">
        <v>6007</v>
      </c>
      <c r="C658" s="2740" t="s">
        <v>5203</v>
      </c>
      <c r="D658" s="2741"/>
      <c r="E658" s="2742" t="s">
        <v>560</v>
      </c>
      <c r="F658" s="2738"/>
      <c r="G658" s="2738">
        <v>45200</v>
      </c>
      <c r="H658" s="2738"/>
      <c r="I658" s="2738"/>
      <c r="J658" s="2738"/>
      <c r="K658" s="2738"/>
      <c r="L658" s="2743"/>
      <c r="M658" s="2738">
        <f>'[10]NFMA46 '!I717</f>
        <v>45200</v>
      </c>
      <c r="N658" s="2738">
        <f>'[10]NFMA46 '!L717</f>
        <v>45200</v>
      </c>
      <c r="O658" s="2738">
        <f t="shared" si="66"/>
        <v>100</v>
      </c>
      <c r="P658" s="2739">
        <f>'[10]NFMA46 '!K717</f>
        <v>0</v>
      </c>
      <c r="Q658" s="1715">
        <f t="shared" si="67"/>
        <v>0</v>
      </c>
      <c r="R658" s="1715">
        <f t="shared" si="69"/>
        <v>45200</v>
      </c>
      <c r="S658" s="1715">
        <f t="shared" si="68"/>
        <v>100</v>
      </c>
      <c r="T658" s="1715"/>
      <c r="U658" s="1715">
        <f t="shared" si="70"/>
        <v>0</v>
      </c>
      <c r="V658" s="2658"/>
    </row>
    <row r="659" spans="1:22" s="1041" customFormat="1" ht="101.25" customHeight="1">
      <c r="A659" s="2658">
        <v>401</v>
      </c>
      <c r="B659" s="2735" t="s">
        <v>6008</v>
      </c>
      <c r="C659" s="2740" t="s">
        <v>5205</v>
      </c>
      <c r="D659" s="2741"/>
      <c r="E659" s="2742" t="s">
        <v>560</v>
      </c>
      <c r="F659" s="2738"/>
      <c r="G659" s="2738">
        <v>45200</v>
      </c>
      <c r="H659" s="2738"/>
      <c r="I659" s="2738"/>
      <c r="J659" s="2738"/>
      <c r="K659" s="2738"/>
      <c r="L659" s="2743"/>
      <c r="M659" s="2738">
        <f>'[10]NFMA46 '!I718</f>
        <v>45200</v>
      </c>
      <c r="N659" s="2738">
        <f>'[10]NFMA46 '!L718</f>
        <v>29000</v>
      </c>
      <c r="O659" s="2738">
        <f t="shared" si="66"/>
        <v>64.159292035398224</v>
      </c>
      <c r="P659" s="2739">
        <f>'[10]NFMA46 '!K718</f>
        <v>0</v>
      </c>
      <c r="Q659" s="1715">
        <f t="shared" si="67"/>
        <v>0</v>
      </c>
      <c r="R659" s="1715">
        <f t="shared" si="69"/>
        <v>29000</v>
      </c>
      <c r="S659" s="1715">
        <f t="shared" si="68"/>
        <v>64.159292035398224</v>
      </c>
      <c r="T659" s="1715"/>
      <c r="U659" s="1715">
        <f t="shared" si="70"/>
        <v>16200</v>
      </c>
      <c r="V659" s="2658"/>
    </row>
    <row r="660" spans="1:22" s="1041" customFormat="1" ht="101.25" customHeight="1">
      <c r="A660" s="2658">
        <v>402</v>
      </c>
      <c r="B660" s="2735" t="s">
        <v>6009</v>
      </c>
      <c r="C660" s="2740" t="s">
        <v>5206</v>
      </c>
      <c r="D660" s="2741"/>
      <c r="E660" s="2742" t="s">
        <v>793</v>
      </c>
      <c r="F660" s="2738"/>
      <c r="G660" s="2738">
        <v>45200</v>
      </c>
      <c r="H660" s="2738"/>
      <c r="I660" s="2738"/>
      <c r="J660" s="2738"/>
      <c r="K660" s="2738"/>
      <c r="L660" s="2743"/>
      <c r="M660" s="2738">
        <f>'[10]NFMA46 '!I719</f>
        <v>45200</v>
      </c>
      <c r="N660" s="2738">
        <f>'[10]NFMA46 '!L719</f>
        <v>45200</v>
      </c>
      <c r="O660" s="2738">
        <f t="shared" si="66"/>
        <v>100</v>
      </c>
      <c r="P660" s="2739">
        <f>'[10]NFMA46 '!K719</f>
        <v>0</v>
      </c>
      <c r="Q660" s="1715">
        <f t="shared" si="67"/>
        <v>0</v>
      </c>
      <c r="R660" s="1715">
        <f t="shared" si="69"/>
        <v>45200</v>
      </c>
      <c r="S660" s="1715">
        <f t="shared" si="68"/>
        <v>100</v>
      </c>
      <c r="T660" s="1715"/>
      <c r="U660" s="1715">
        <f t="shared" si="70"/>
        <v>0</v>
      </c>
      <c r="V660" s="2658"/>
    </row>
    <row r="661" spans="1:22" s="1041" customFormat="1" ht="101.25" customHeight="1">
      <c r="A661" s="2658">
        <v>403</v>
      </c>
      <c r="B661" s="2735" t="s">
        <v>6010</v>
      </c>
      <c r="C661" s="2740" t="s">
        <v>5207</v>
      </c>
      <c r="D661" s="2741"/>
      <c r="E661" s="2742" t="s">
        <v>793</v>
      </c>
      <c r="F661" s="2738"/>
      <c r="G661" s="2738">
        <v>104000</v>
      </c>
      <c r="H661" s="2738"/>
      <c r="I661" s="2738"/>
      <c r="J661" s="2738"/>
      <c r="K661" s="2738"/>
      <c r="L661" s="2743">
        <v>17600</v>
      </c>
      <c r="M661" s="2738">
        <f>'[10]NFMA46 '!I720-L661</f>
        <v>86400</v>
      </c>
      <c r="N661" s="2738">
        <f>'[10]NFMA46 '!L720</f>
        <v>0</v>
      </c>
      <c r="O661" s="2738">
        <f t="shared" si="66"/>
        <v>0</v>
      </c>
      <c r="P661" s="2739">
        <f>'[10]NFMA46 '!K720</f>
        <v>86400</v>
      </c>
      <c r="Q661" s="1715">
        <f t="shared" si="67"/>
        <v>100</v>
      </c>
      <c r="R661" s="1715">
        <f t="shared" si="69"/>
        <v>86400</v>
      </c>
      <c r="S661" s="1715">
        <f t="shared" si="68"/>
        <v>100</v>
      </c>
      <c r="T661" s="1715"/>
      <c r="U661" s="1715">
        <f t="shared" si="70"/>
        <v>0</v>
      </c>
      <c r="V661" s="2658"/>
    </row>
    <row r="662" spans="1:22" s="1041" customFormat="1" ht="101.25" customHeight="1">
      <c r="A662" s="2658">
        <v>404</v>
      </c>
      <c r="B662" s="2735" t="s">
        <v>6011</v>
      </c>
      <c r="C662" s="2740" t="s">
        <v>5208</v>
      </c>
      <c r="D662" s="2741"/>
      <c r="E662" s="2742" t="s">
        <v>793</v>
      </c>
      <c r="F662" s="2738"/>
      <c r="G662" s="2738">
        <v>104000</v>
      </c>
      <c r="H662" s="2738"/>
      <c r="I662" s="2738"/>
      <c r="J662" s="2738"/>
      <c r="K662" s="2738"/>
      <c r="L662" s="2743"/>
      <c r="M662" s="2738">
        <f>'[10]NFMA46 '!I721</f>
        <v>104000</v>
      </c>
      <c r="N662" s="2738">
        <f>'[10]NFMA46 '!L721</f>
        <v>0</v>
      </c>
      <c r="O662" s="2738">
        <f t="shared" si="66"/>
        <v>0</v>
      </c>
      <c r="P662" s="2739">
        <f>'[10]NFMA46 '!K721</f>
        <v>104000</v>
      </c>
      <c r="Q662" s="1715">
        <f t="shared" si="67"/>
        <v>100</v>
      </c>
      <c r="R662" s="1715">
        <f t="shared" si="69"/>
        <v>104000</v>
      </c>
      <c r="S662" s="1715">
        <f t="shared" si="68"/>
        <v>100</v>
      </c>
      <c r="T662" s="1715"/>
      <c r="U662" s="1715">
        <f t="shared" si="70"/>
        <v>0</v>
      </c>
      <c r="V662" s="2658"/>
    </row>
    <row r="663" spans="1:22" s="1041" customFormat="1" ht="101.25" customHeight="1">
      <c r="A663" s="2658">
        <v>405</v>
      </c>
      <c r="B663" s="2735" t="s">
        <v>6012</v>
      </c>
      <c r="C663" s="2740" t="s">
        <v>5209</v>
      </c>
      <c r="D663" s="2741"/>
      <c r="E663" s="2742" t="s">
        <v>347</v>
      </c>
      <c r="F663" s="2738"/>
      <c r="G663" s="2738">
        <v>45200</v>
      </c>
      <c r="H663" s="2738"/>
      <c r="I663" s="2738"/>
      <c r="J663" s="2738"/>
      <c r="K663" s="2738"/>
      <c r="L663" s="2743">
        <v>3470</v>
      </c>
      <c r="M663" s="2738">
        <f>'[10]NFMA46 '!I722-L663</f>
        <v>41730</v>
      </c>
      <c r="N663" s="2738">
        <f>'[10]NFMA46 '!L722</f>
        <v>0</v>
      </c>
      <c r="O663" s="2738">
        <f t="shared" si="66"/>
        <v>0</v>
      </c>
      <c r="P663" s="2739">
        <f>'[10]NFMA46 '!K722</f>
        <v>41730</v>
      </c>
      <c r="Q663" s="1715">
        <f t="shared" si="67"/>
        <v>100</v>
      </c>
      <c r="R663" s="1715">
        <f t="shared" si="69"/>
        <v>41730</v>
      </c>
      <c r="S663" s="1715">
        <f t="shared" si="68"/>
        <v>100</v>
      </c>
      <c r="T663" s="1715"/>
      <c r="U663" s="1715">
        <f t="shared" si="70"/>
        <v>0</v>
      </c>
      <c r="V663" s="2658"/>
    </row>
    <row r="664" spans="1:22" s="1041" customFormat="1" ht="101.25" customHeight="1">
      <c r="A664" s="2658">
        <v>406</v>
      </c>
      <c r="B664" s="2735" t="s">
        <v>3034</v>
      </c>
      <c r="C664" s="2740" t="s">
        <v>5395</v>
      </c>
      <c r="D664" s="2741"/>
      <c r="E664" s="2742" t="s">
        <v>1185</v>
      </c>
      <c r="F664" s="2738"/>
      <c r="G664" s="2738">
        <v>104000</v>
      </c>
      <c r="H664" s="2738"/>
      <c r="I664" s="2738"/>
      <c r="J664" s="2738"/>
      <c r="K664" s="2738"/>
      <c r="L664" s="2743">
        <v>1300</v>
      </c>
      <c r="M664" s="2738">
        <f>'[10]NFMA46 '!I723-L664</f>
        <v>102700</v>
      </c>
      <c r="N664" s="2738">
        <f>'[10]NFMA46 '!L723</f>
        <v>102700</v>
      </c>
      <c r="O664" s="2738">
        <f t="shared" si="66"/>
        <v>100</v>
      </c>
      <c r="P664" s="2739">
        <f>'[10]NFMA46 '!K723</f>
        <v>0</v>
      </c>
      <c r="Q664" s="1715">
        <f t="shared" si="67"/>
        <v>0</v>
      </c>
      <c r="R664" s="1715">
        <f t="shared" si="69"/>
        <v>102700</v>
      </c>
      <c r="S664" s="1715">
        <f t="shared" si="68"/>
        <v>100</v>
      </c>
      <c r="T664" s="1715"/>
      <c r="U664" s="1715">
        <f t="shared" si="70"/>
        <v>0</v>
      </c>
      <c r="V664" s="2658"/>
    </row>
    <row r="665" spans="1:22" s="1041" customFormat="1" ht="101.25" customHeight="1">
      <c r="A665" s="2658">
        <v>407</v>
      </c>
      <c r="B665" s="2735" t="s">
        <v>6013</v>
      </c>
      <c r="C665" s="2740" t="s">
        <v>5210</v>
      </c>
      <c r="D665" s="2741"/>
      <c r="E665" s="2742" t="s">
        <v>564</v>
      </c>
      <c r="F665" s="2738"/>
      <c r="G665" s="2738">
        <v>45200</v>
      </c>
      <c r="H665" s="2738"/>
      <c r="I665" s="2738"/>
      <c r="J665" s="2738"/>
      <c r="K665" s="2738"/>
      <c r="L665" s="2743"/>
      <c r="M665" s="2738">
        <f>'[10]NFMA46 '!I724</f>
        <v>45200</v>
      </c>
      <c r="N665" s="2738">
        <f>'[10]NFMA46 '!L724</f>
        <v>45200</v>
      </c>
      <c r="O665" s="2738">
        <f t="shared" si="66"/>
        <v>100</v>
      </c>
      <c r="P665" s="2739">
        <f>'[10]NFMA46 '!K724</f>
        <v>0</v>
      </c>
      <c r="Q665" s="1715">
        <f t="shared" si="67"/>
        <v>0</v>
      </c>
      <c r="R665" s="1715">
        <f t="shared" si="69"/>
        <v>45200</v>
      </c>
      <c r="S665" s="1715">
        <f t="shared" si="68"/>
        <v>100</v>
      </c>
      <c r="T665" s="1715"/>
      <c r="U665" s="1715">
        <f t="shared" si="70"/>
        <v>0</v>
      </c>
      <c r="V665" s="2658"/>
    </row>
    <row r="666" spans="1:22" s="1041" customFormat="1" ht="101.25" customHeight="1">
      <c r="A666" s="2658">
        <v>408</v>
      </c>
      <c r="B666" s="2735" t="s">
        <v>6014</v>
      </c>
      <c r="C666" s="2740" t="s">
        <v>5211</v>
      </c>
      <c r="D666" s="2741"/>
      <c r="E666" s="2742" t="s">
        <v>564</v>
      </c>
      <c r="F666" s="2738"/>
      <c r="G666" s="2738">
        <v>90400</v>
      </c>
      <c r="H666" s="2738"/>
      <c r="I666" s="2738"/>
      <c r="J666" s="2738"/>
      <c r="K666" s="2738"/>
      <c r="L666" s="2743"/>
      <c r="M666" s="2738">
        <f>'[10]NFMA46 '!I725</f>
        <v>90400</v>
      </c>
      <c r="N666" s="2738">
        <f>'[10]NFMA46 '!L725</f>
        <v>0</v>
      </c>
      <c r="O666" s="2738">
        <f t="shared" si="66"/>
        <v>0</v>
      </c>
      <c r="P666" s="2739">
        <f>'[10]NFMA46 '!K725</f>
        <v>90400</v>
      </c>
      <c r="Q666" s="1715">
        <f t="shared" si="67"/>
        <v>100</v>
      </c>
      <c r="R666" s="1715">
        <f t="shared" si="69"/>
        <v>90400</v>
      </c>
      <c r="S666" s="1715">
        <f t="shared" si="68"/>
        <v>100</v>
      </c>
      <c r="T666" s="1715"/>
      <c r="U666" s="1715">
        <f t="shared" si="70"/>
        <v>0</v>
      </c>
      <c r="V666" s="2658"/>
    </row>
    <row r="667" spans="1:22" s="1041" customFormat="1" ht="101.25" customHeight="1">
      <c r="A667" s="2658">
        <v>409</v>
      </c>
      <c r="B667" s="2735" t="s">
        <v>6015</v>
      </c>
      <c r="C667" s="2740" t="s">
        <v>5212</v>
      </c>
      <c r="D667" s="2741"/>
      <c r="E667" s="2742" t="s">
        <v>565</v>
      </c>
      <c r="F667" s="2738"/>
      <c r="G667" s="2738">
        <v>45200</v>
      </c>
      <c r="H667" s="2738"/>
      <c r="I667" s="2738"/>
      <c r="J667" s="2738"/>
      <c r="K667" s="2738"/>
      <c r="L667" s="2743"/>
      <c r="M667" s="2738">
        <f>'[10]NFMA46 '!I726</f>
        <v>45200</v>
      </c>
      <c r="N667" s="2738">
        <f>'[10]NFMA46 '!L726</f>
        <v>45200</v>
      </c>
      <c r="O667" s="2738">
        <f t="shared" si="66"/>
        <v>100</v>
      </c>
      <c r="P667" s="2739">
        <f>'[10]NFMA46 '!K726</f>
        <v>0</v>
      </c>
      <c r="Q667" s="1715">
        <f t="shared" si="67"/>
        <v>0</v>
      </c>
      <c r="R667" s="1715">
        <f t="shared" si="69"/>
        <v>45200</v>
      </c>
      <c r="S667" s="1715">
        <f t="shared" si="68"/>
        <v>100</v>
      </c>
      <c r="T667" s="1715"/>
      <c r="U667" s="1715">
        <f t="shared" si="70"/>
        <v>0</v>
      </c>
      <c r="V667" s="2658"/>
    </row>
    <row r="668" spans="1:22" s="1041" customFormat="1" ht="101.25" customHeight="1">
      <c r="A668" s="2658">
        <v>410</v>
      </c>
      <c r="B668" s="2735" t="s">
        <v>6016</v>
      </c>
      <c r="C668" s="2740" t="s">
        <v>5213</v>
      </c>
      <c r="D668" s="2741"/>
      <c r="E668" s="2742" t="s">
        <v>359</v>
      </c>
      <c r="F668" s="2738"/>
      <c r="G668" s="2738">
        <v>45200</v>
      </c>
      <c r="H668" s="2738"/>
      <c r="I668" s="2738"/>
      <c r="J668" s="2738"/>
      <c r="K668" s="2738"/>
      <c r="L668" s="2743"/>
      <c r="M668" s="2738">
        <f>'[10]NFMA46 '!I727</f>
        <v>45200</v>
      </c>
      <c r="N668" s="2738">
        <f>'[10]NFMA46 '!L727</f>
        <v>45200</v>
      </c>
      <c r="O668" s="2738">
        <f t="shared" si="66"/>
        <v>100</v>
      </c>
      <c r="P668" s="2739">
        <f>'[10]NFMA46 '!K727</f>
        <v>0</v>
      </c>
      <c r="Q668" s="1715">
        <f t="shared" si="67"/>
        <v>0</v>
      </c>
      <c r="R668" s="1715">
        <f t="shared" si="69"/>
        <v>45200</v>
      </c>
      <c r="S668" s="1715">
        <f t="shared" si="68"/>
        <v>100</v>
      </c>
      <c r="T668" s="1715"/>
      <c r="U668" s="1715">
        <f t="shared" si="70"/>
        <v>0</v>
      </c>
      <c r="V668" s="2658"/>
    </row>
    <row r="669" spans="1:22" s="1041" customFormat="1" ht="101.25" customHeight="1">
      <c r="A669" s="2658">
        <v>411</v>
      </c>
      <c r="B669" s="2735" t="s">
        <v>6017</v>
      </c>
      <c r="C669" s="2740" t="s">
        <v>5214</v>
      </c>
      <c r="D669" s="2741"/>
      <c r="E669" s="2742" t="s">
        <v>573</v>
      </c>
      <c r="F669" s="2738"/>
      <c r="G669" s="2738">
        <v>104000</v>
      </c>
      <c r="H669" s="2738"/>
      <c r="I669" s="2738"/>
      <c r="J669" s="2738"/>
      <c r="K669" s="2738"/>
      <c r="L669" s="2743">
        <v>104000</v>
      </c>
      <c r="M669" s="2738">
        <f>'[10]NFMA46 '!I728-L669</f>
        <v>0</v>
      </c>
      <c r="N669" s="2738">
        <f>'[10]NFMA46 '!L728</f>
        <v>0</v>
      </c>
      <c r="O669" s="2738" t="e">
        <f t="shared" si="66"/>
        <v>#DIV/0!</v>
      </c>
      <c r="P669" s="2739">
        <f>'[10]NFMA46 '!K728</f>
        <v>0</v>
      </c>
      <c r="Q669" s="1715" t="e">
        <f t="shared" si="67"/>
        <v>#DIV/0!</v>
      </c>
      <c r="R669" s="1715">
        <f t="shared" si="69"/>
        <v>0</v>
      </c>
      <c r="S669" s="1715" t="e">
        <f t="shared" si="68"/>
        <v>#DIV/0!</v>
      </c>
      <c r="T669" s="1715"/>
      <c r="U669" s="1715">
        <f t="shared" si="70"/>
        <v>0</v>
      </c>
      <c r="V669" s="2658"/>
    </row>
    <row r="670" spans="1:22" s="1041" customFormat="1" ht="101.25" customHeight="1">
      <c r="A670" s="2658">
        <v>412</v>
      </c>
      <c r="B670" s="2735" t="s">
        <v>6018</v>
      </c>
      <c r="C670" s="2740" t="s">
        <v>5215</v>
      </c>
      <c r="D670" s="2741"/>
      <c r="E670" s="2742" t="s">
        <v>1385</v>
      </c>
      <c r="F670" s="2738"/>
      <c r="G670" s="2738">
        <v>104000</v>
      </c>
      <c r="H670" s="2738"/>
      <c r="I670" s="2738"/>
      <c r="J670" s="2738"/>
      <c r="K670" s="2738"/>
      <c r="L670" s="2743"/>
      <c r="M670" s="2738">
        <f>'[10]NFMA46 '!I729</f>
        <v>104000</v>
      </c>
      <c r="N670" s="2738">
        <f>'[10]NFMA46 '!L729</f>
        <v>0</v>
      </c>
      <c r="O670" s="2738">
        <f t="shared" si="66"/>
        <v>0</v>
      </c>
      <c r="P670" s="2739">
        <f>'[10]NFMA46 '!K729</f>
        <v>104000</v>
      </c>
      <c r="Q670" s="1715">
        <f t="shared" si="67"/>
        <v>100</v>
      </c>
      <c r="R670" s="1715">
        <f t="shared" si="69"/>
        <v>104000</v>
      </c>
      <c r="S670" s="1715">
        <f t="shared" si="68"/>
        <v>100</v>
      </c>
      <c r="T670" s="1715"/>
      <c r="U670" s="1715">
        <f t="shared" si="70"/>
        <v>0</v>
      </c>
      <c r="V670" s="2658"/>
    </row>
    <row r="671" spans="1:22" s="1041" customFormat="1" ht="101.25" customHeight="1">
      <c r="A671" s="2658">
        <v>413</v>
      </c>
      <c r="B671" s="2735" t="s">
        <v>6019</v>
      </c>
      <c r="C671" s="2740" t="s">
        <v>5216</v>
      </c>
      <c r="D671" s="2741"/>
      <c r="E671" s="2742" t="s">
        <v>2983</v>
      </c>
      <c r="F671" s="2738"/>
      <c r="G671" s="2738">
        <v>104000</v>
      </c>
      <c r="H671" s="2738"/>
      <c r="I671" s="2738"/>
      <c r="J671" s="2738"/>
      <c r="K671" s="2738"/>
      <c r="L671" s="2743">
        <v>40077.300000000003</v>
      </c>
      <c r="M671" s="2738">
        <f>'[10]NFMA46 '!I730-L671</f>
        <v>63922.7</v>
      </c>
      <c r="N671" s="2738">
        <f>'[10]NFMA46 '!L730</f>
        <v>63922.7</v>
      </c>
      <c r="O671" s="2738">
        <f t="shared" si="66"/>
        <v>100</v>
      </c>
      <c r="P671" s="2739">
        <f>'[10]NFMA46 '!K730</f>
        <v>0</v>
      </c>
      <c r="Q671" s="1715">
        <f t="shared" si="67"/>
        <v>0</v>
      </c>
      <c r="R671" s="1715">
        <f t="shared" si="69"/>
        <v>63922.7</v>
      </c>
      <c r="S671" s="1715">
        <f t="shared" si="68"/>
        <v>100</v>
      </c>
      <c r="T671" s="1715"/>
      <c r="U671" s="1715">
        <f t="shared" si="70"/>
        <v>0</v>
      </c>
      <c r="V671" s="2658"/>
    </row>
    <row r="672" spans="1:22" s="1041" customFormat="1" ht="101.25" customHeight="1">
      <c r="A672" s="2658">
        <v>414</v>
      </c>
      <c r="B672" s="2735" t="s">
        <v>6020</v>
      </c>
      <c r="C672" s="2740" t="s">
        <v>5396</v>
      </c>
      <c r="D672" s="2741"/>
      <c r="E672" s="2742" t="s">
        <v>343</v>
      </c>
      <c r="F672" s="2738"/>
      <c r="G672" s="2738">
        <v>104000</v>
      </c>
      <c r="H672" s="2738"/>
      <c r="I672" s="2738"/>
      <c r="J672" s="2738"/>
      <c r="K672" s="2738"/>
      <c r="L672" s="2743"/>
      <c r="M672" s="2738">
        <f>'[10]NFMA46 '!I731</f>
        <v>104000</v>
      </c>
      <c r="N672" s="2738">
        <f>'[10]NFMA46 '!L731</f>
        <v>104000</v>
      </c>
      <c r="O672" s="2738">
        <f t="shared" si="66"/>
        <v>100</v>
      </c>
      <c r="P672" s="2739">
        <f>'[10]NFMA46 '!K731</f>
        <v>0</v>
      </c>
      <c r="Q672" s="1715">
        <f t="shared" si="67"/>
        <v>0</v>
      </c>
      <c r="R672" s="1715">
        <f t="shared" si="69"/>
        <v>104000</v>
      </c>
      <c r="S672" s="1715">
        <f t="shared" si="68"/>
        <v>100</v>
      </c>
      <c r="T672" s="1715"/>
      <c r="U672" s="1715">
        <f t="shared" si="70"/>
        <v>0</v>
      </c>
      <c r="V672" s="2658"/>
    </row>
    <row r="673" spans="1:22" s="1041" customFormat="1" ht="101.25" customHeight="1">
      <c r="A673" s="2658">
        <v>415</v>
      </c>
      <c r="B673" s="2735" t="s">
        <v>6021</v>
      </c>
      <c r="C673" s="2740" t="s">
        <v>5218</v>
      </c>
      <c r="D673" s="2741"/>
      <c r="E673" s="2742" t="s">
        <v>576</v>
      </c>
      <c r="F673" s="2738"/>
      <c r="G673" s="2738">
        <v>45200</v>
      </c>
      <c r="H673" s="2738"/>
      <c r="I673" s="2738"/>
      <c r="J673" s="2738"/>
      <c r="K673" s="2738"/>
      <c r="L673" s="2743"/>
      <c r="M673" s="2738">
        <f>'[10]NFMA46 '!I732</f>
        <v>45200</v>
      </c>
      <c r="N673" s="2738">
        <f>'[10]NFMA46 '!L732</f>
        <v>45200</v>
      </c>
      <c r="O673" s="2738">
        <f t="shared" si="66"/>
        <v>100</v>
      </c>
      <c r="P673" s="2739">
        <f>'[10]NFMA46 '!K732</f>
        <v>0</v>
      </c>
      <c r="Q673" s="1715">
        <f t="shared" si="67"/>
        <v>0</v>
      </c>
      <c r="R673" s="1715">
        <f t="shared" si="69"/>
        <v>45200</v>
      </c>
      <c r="S673" s="1715">
        <f t="shared" si="68"/>
        <v>100</v>
      </c>
      <c r="T673" s="1715"/>
      <c r="U673" s="1715">
        <f t="shared" si="70"/>
        <v>0</v>
      </c>
      <c r="V673" s="2658"/>
    </row>
    <row r="674" spans="1:22" s="1041" customFormat="1" ht="101.25" customHeight="1">
      <c r="A674" s="2658">
        <v>416</v>
      </c>
      <c r="B674" s="2735" t="s">
        <v>6022</v>
      </c>
      <c r="C674" s="2740" t="s">
        <v>5220</v>
      </c>
      <c r="D674" s="2741"/>
      <c r="E674" s="2742" t="s">
        <v>576</v>
      </c>
      <c r="F674" s="2738"/>
      <c r="G674" s="2738">
        <v>104000</v>
      </c>
      <c r="H674" s="2738"/>
      <c r="I674" s="2738"/>
      <c r="J674" s="2738"/>
      <c r="K674" s="2738"/>
      <c r="L674" s="2743"/>
      <c r="M674" s="2738">
        <f>'[10]NFMA46 '!I733</f>
        <v>104000</v>
      </c>
      <c r="N674" s="2738">
        <f>'[10]NFMA46 '!L733</f>
        <v>104000</v>
      </c>
      <c r="O674" s="2738">
        <f t="shared" si="66"/>
        <v>100</v>
      </c>
      <c r="P674" s="2739">
        <f>'[10]NFMA46 '!K733</f>
        <v>0</v>
      </c>
      <c r="Q674" s="1715">
        <f t="shared" si="67"/>
        <v>0</v>
      </c>
      <c r="R674" s="1715">
        <f t="shared" si="69"/>
        <v>104000</v>
      </c>
      <c r="S674" s="1715">
        <f t="shared" si="68"/>
        <v>100</v>
      </c>
      <c r="T674" s="1715"/>
      <c r="U674" s="1715">
        <f t="shared" si="70"/>
        <v>0</v>
      </c>
      <c r="V674" s="2658"/>
    </row>
    <row r="675" spans="1:22" s="1041" customFormat="1" ht="101.25" customHeight="1">
      <c r="A675" s="2658">
        <v>417</v>
      </c>
      <c r="B675" s="2735" t="s">
        <v>6023</v>
      </c>
      <c r="C675" s="2740" t="s">
        <v>5221</v>
      </c>
      <c r="D675" s="2741"/>
      <c r="E675" s="2742" t="s">
        <v>576</v>
      </c>
      <c r="F675" s="2738"/>
      <c r="G675" s="2738">
        <v>104000</v>
      </c>
      <c r="H675" s="2738"/>
      <c r="I675" s="2738"/>
      <c r="J675" s="2738"/>
      <c r="K675" s="2738"/>
      <c r="L675" s="2743"/>
      <c r="M675" s="2738">
        <f>'[10]NFMA46 '!I734</f>
        <v>104000</v>
      </c>
      <c r="N675" s="2738">
        <f>'[10]NFMA46 '!L734</f>
        <v>104000</v>
      </c>
      <c r="O675" s="2738">
        <f t="shared" si="66"/>
        <v>100</v>
      </c>
      <c r="P675" s="2739">
        <f>'[10]NFMA46 '!K734</f>
        <v>0</v>
      </c>
      <c r="Q675" s="1715">
        <f t="shared" si="67"/>
        <v>0</v>
      </c>
      <c r="R675" s="1715">
        <f t="shared" si="69"/>
        <v>104000</v>
      </c>
      <c r="S675" s="1715">
        <f t="shared" si="68"/>
        <v>100</v>
      </c>
      <c r="T675" s="1715"/>
      <c r="U675" s="1715">
        <f t="shared" si="70"/>
        <v>0</v>
      </c>
      <c r="V675" s="2658"/>
    </row>
    <row r="676" spans="1:22" s="1041" customFormat="1" ht="101.25" customHeight="1">
      <c r="A676" s="2658">
        <v>418</v>
      </c>
      <c r="B676" s="2735" t="s">
        <v>6024</v>
      </c>
      <c r="C676" s="2740" t="s">
        <v>5223</v>
      </c>
      <c r="D676" s="2741"/>
      <c r="E676" s="2742" t="s">
        <v>576</v>
      </c>
      <c r="F676" s="2738"/>
      <c r="G676" s="2738">
        <v>104000</v>
      </c>
      <c r="H676" s="2738"/>
      <c r="I676" s="2738"/>
      <c r="J676" s="2738"/>
      <c r="K676" s="2738"/>
      <c r="L676" s="2743"/>
      <c r="M676" s="2738">
        <f>'[10]NFMA46 '!I735</f>
        <v>104000</v>
      </c>
      <c r="N676" s="2738">
        <f>'[10]NFMA46 '!L735</f>
        <v>104000</v>
      </c>
      <c r="O676" s="2738">
        <f t="shared" si="66"/>
        <v>100</v>
      </c>
      <c r="P676" s="2739">
        <f>'[10]NFMA46 '!K735</f>
        <v>0</v>
      </c>
      <c r="Q676" s="1715">
        <f t="shared" si="67"/>
        <v>0</v>
      </c>
      <c r="R676" s="1715">
        <f t="shared" si="69"/>
        <v>104000</v>
      </c>
      <c r="S676" s="1715">
        <f t="shared" si="68"/>
        <v>100</v>
      </c>
      <c r="T676" s="1715"/>
      <c r="U676" s="1715">
        <f t="shared" si="70"/>
        <v>0</v>
      </c>
      <c r="V676" s="2658"/>
    </row>
    <row r="677" spans="1:22" s="1041" customFormat="1" ht="101.25" customHeight="1">
      <c r="A677" s="2658">
        <v>419</v>
      </c>
      <c r="B677" s="2735" t="s">
        <v>6025</v>
      </c>
      <c r="C677" s="2740" t="s">
        <v>5225</v>
      </c>
      <c r="D677" s="2741"/>
      <c r="E677" s="2742" t="s">
        <v>1187</v>
      </c>
      <c r="F677" s="2738"/>
      <c r="G677" s="2738">
        <v>104000</v>
      </c>
      <c r="H677" s="2738"/>
      <c r="I677" s="2738"/>
      <c r="J677" s="2738"/>
      <c r="K677" s="2738"/>
      <c r="L677" s="2743"/>
      <c r="M677" s="2738">
        <f>'[10]NFMA46 '!I736</f>
        <v>104000</v>
      </c>
      <c r="N677" s="2738">
        <f>'[10]NFMA46 '!L736</f>
        <v>0</v>
      </c>
      <c r="O677" s="2738">
        <f t="shared" si="66"/>
        <v>0</v>
      </c>
      <c r="P677" s="2739">
        <f>'[10]NFMA46 '!K736</f>
        <v>104000</v>
      </c>
      <c r="Q677" s="1715">
        <f t="shared" si="67"/>
        <v>100</v>
      </c>
      <c r="R677" s="1715">
        <f t="shared" si="69"/>
        <v>104000</v>
      </c>
      <c r="S677" s="1715">
        <f t="shared" si="68"/>
        <v>100</v>
      </c>
      <c r="T677" s="1715"/>
      <c r="U677" s="1715">
        <f t="shared" si="70"/>
        <v>0</v>
      </c>
      <c r="V677" s="2658"/>
    </row>
    <row r="678" spans="1:22" s="1041" customFormat="1" ht="101.25" customHeight="1">
      <c r="A678" s="2658">
        <v>420</v>
      </c>
      <c r="B678" s="2735" t="s">
        <v>6026</v>
      </c>
      <c r="C678" s="2740" t="s">
        <v>5227</v>
      </c>
      <c r="D678" s="2741"/>
      <c r="E678" s="2742" t="s">
        <v>582</v>
      </c>
      <c r="F678" s="2738"/>
      <c r="G678" s="2738">
        <v>45200</v>
      </c>
      <c r="H678" s="2738"/>
      <c r="I678" s="2738"/>
      <c r="J678" s="2738"/>
      <c r="K678" s="2738"/>
      <c r="L678" s="2743"/>
      <c r="M678" s="2738">
        <f>'[10]NFMA46 '!I737</f>
        <v>45200</v>
      </c>
      <c r="N678" s="2738">
        <f>'[10]NFMA46 '!L737</f>
        <v>0</v>
      </c>
      <c r="O678" s="2738">
        <f t="shared" si="66"/>
        <v>0</v>
      </c>
      <c r="P678" s="2739">
        <f>'[10]NFMA46 '!K737</f>
        <v>45200</v>
      </c>
      <c r="Q678" s="1715">
        <f t="shared" si="67"/>
        <v>100</v>
      </c>
      <c r="R678" s="1715">
        <f t="shared" si="69"/>
        <v>45200</v>
      </c>
      <c r="S678" s="1715">
        <f t="shared" si="68"/>
        <v>100</v>
      </c>
      <c r="T678" s="1715"/>
      <c r="U678" s="1715">
        <f t="shared" si="70"/>
        <v>0</v>
      </c>
      <c r="V678" s="2658"/>
    </row>
    <row r="679" spans="1:22" s="1041" customFormat="1" ht="101.25" customHeight="1">
      <c r="A679" s="2658">
        <v>421</v>
      </c>
      <c r="B679" s="2735" t="s">
        <v>6027</v>
      </c>
      <c r="C679" s="2740" t="s">
        <v>5229</v>
      </c>
      <c r="D679" s="2741"/>
      <c r="E679" s="2742" t="s">
        <v>583</v>
      </c>
      <c r="F679" s="2738"/>
      <c r="G679" s="2738">
        <v>45200</v>
      </c>
      <c r="H679" s="2738"/>
      <c r="I679" s="2738"/>
      <c r="J679" s="2738"/>
      <c r="K679" s="2738"/>
      <c r="L679" s="2743"/>
      <c r="M679" s="2738">
        <f>'[10]NFMA46 '!I738</f>
        <v>45200</v>
      </c>
      <c r="N679" s="2738">
        <f>'[10]NFMA46 '!L738</f>
        <v>45200</v>
      </c>
      <c r="O679" s="2738">
        <f t="shared" si="66"/>
        <v>100</v>
      </c>
      <c r="P679" s="2739">
        <f>'[10]NFMA46 '!K738</f>
        <v>0</v>
      </c>
      <c r="Q679" s="1715">
        <f t="shared" si="67"/>
        <v>0</v>
      </c>
      <c r="R679" s="1715">
        <f t="shared" si="69"/>
        <v>45200</v>
      </c>
      <c r="S679" s="1715">
        <f t="shared" si="68"/>
        <v>100</v>
      </c>
      <c r="T679" s="1715"/>
      <c r="U679" s="1715">
        <f t="shared" si="70"/>
        <v>0</v>
      </c>
      <c r="V679" s="2658"/>
    </row>
    <row r="680" spans="1:22" s="1041" customFormat="1" ht="101.25" customHeight="1">
      <c r="A680" s="2658">
        <v>422</v>
      </c>
      <c r="B680" s="2735" t="s">
        <v>6028</v>
      </c>
      <c r="C680" s="2740" t="s">
        <v>5231</v>
      </c>
      <c r="D680" s="2741"/>
      <c r="E680" s="2742" t="s">
        <v>583</v>
      </c>
      <c r="F680" s="2738"/>
      <c r="G680" s="2738">
        <v>104000</v>
      </c>
      <c r="H680" s="2738"/>
      <c r="I680" s="2738"/>
      <c r="J680" s="2738"/>
      <c r="K680" s="2738"/>
      <c r="L680" s="2743"/>
      <c r="M680" s="2738">
        <f>'[10]NFMA46 '!I739</f>
        <v>104000</v>
      </c>
      <c r="N680" s="2738">
        <f>'[10]NFMA46 '!L739</f>
        <v>104000</v>
      </c>
      <c r="O680" s="2738">
        <f t="shared" si="66"/>
        <v>100</v>
      </c>
      <c r="P680" s="2739">
        <f>'[10]NFMA46 '!K739</f>
        <v>0</v>
      </c>
      <c r="Q680" s="1715">
        <f t="shared" si="67"/>
        <v>0</v>
      </c>
      <c r="R680" s="1715">
        <f t="shared" si="69"/>
        <v>104000</v>
      </c>
      <c r="S680" s="1715">
        <f t="shared" si="68"/>
        <v>100</v>
      </c>
      <c r="T680" s="1715"/>
      <c r="U680" s="1715">
        <f t="shared" si="70"/>
        <v>0</v>
      </c>
      <c r="V680" s="2658"/>
    </row>
    <row r="681" spans="1:22" s="1041" customFormat="1" ht="101.25" customHeight="1">
      <c r="A681" s="2658">
        <v>423</v>
      </c>
      <c r="B681" s="2735" t="s">
        <v>6029</v>
      </c>
      <c r="C681" s="2740" t="s">
        <v>5233</v>
      </c>
      <c r="D681" s="2741"/>
      <c r="E681" s="2742" t="s">
        <v>6030</v>
      </c>
      <c r="F681" s="2738"/>
      <c r="G681" s="2738">
        <v>45200</v>
      </c>
      <c r="H681" s="2738"/>
      <c r="I681" s="2738"/>
      <c r="J681" s="2738"/>
      <c r="K681" s="2738"/>
      <c r="L681" s="2743">
        <v>4700</v>
      </c>
      <c r="M681" s="2738">
        <f>'[10]NFMA46 '!I740-L681</f>
        <v>40500</v>
      </c>
      <c r="N681" s="2738">
        <f>'[10]NFMA46 '!L740</f>
        <v>40500</v>
      </c>
      <c r="O681" s="2738">
        <f t="shared" si="66"/>
        <v>100</v>
      </c>
      <c r="P681" s="2739">
        <f>'[10]NFMA46 '!K740</f>
        <v>0</v>
      </c>
      <c r="Q681" s="1715">
        <f t="shared" si="67"/>
        <v>0</v>
      </c>
      <c r="R681" s="1715">
        <f t="shared" si="69"/>
        <v>40500</v>
      </c>
      <c r="S681" s="1715">
        <f t="shared" si="68"/>
        <v>100</v>
      </c>
      <c r="T681" s="1715"/>
      <c r="U681" s="1715">
        <f t="shared" si="70"/>
        <v>0</v>
      </c>
      <c r="V681" s="2658"/>
    </row>
    <row r="682" spans="1:22" s="1041" customFormat="1" ht="101.25" customHeight="1">
      <c r="A682" s="2658">
        <v>424</v>
      </c>
      <c r="B682" s="2735" t="s">
        <v>6031</v>
      </c>
      <c r="C682" s="2740" t="s">
        <v>5234</v>
      </c>
      <c r="D682" s="2741"/>
      <c r="E682" s="2742" t="s">
        <v>6030</v>
      </c>
      <c r="F682" s="2738"/>
      <c r="G682" s="2738">
        <v>104000</v>
      </c>
      <c r="H682" s="2738"/>
      <c r="I682" s="2738"/>
      <c r="J682" s="2738"/>
      <c r="K682" s="2738"/>
      <c r="L682" s="2743">
        <v>4400</v>
      </c>
      <c r="M682" s="2738">
        <f>'[10]NFMA46 '!I741-L682</f>
        <v>99600</v>
      </c>
      <c r="N682" s="2738">
        <f>'[10]NFMA46 '!L741</f>
        <v>0</v>
      </c>
      <c r="O682" s="2738">
        <f t="shared" si="66"/>
        <v>0</v>
      </c>
      <c r="P682" s="2739">
        <f>'[10]NFMA46 '!K741</f>
        <v>0</v>
      </c>
      <c r="Q682" s="1715">
        <f t="shared" si="67"/>
        <v>0</v>
      </c>
      <c r="R682" s="1715">
        <f t="shared" si="69"/>
        <v>0</v>
      </c>
      <c r="S682" s="1715">
        <f t="shared" si="68"/>
        <v>0</v>
      </c>
      <c r="T682" s="1715"/>
      <c r="U682" s="1715">
        <f t="shared" si="70"/>
        <v>99600</v>
      </c>
      <c r="V682" s="2658"/>
    </row>
    <row r="683" spans="1:22" s="1041" customFormat="1" ht="101.25" customHeight="1">
      <c r="A683" s="2658">
        <v>425</v>
      </c>
      <c r="B683" s="2735" t="s">
        <v>6032</v>
      </c>
      <c r="C683" s="2740" t="s">
        <v>5236</v>
      </c>
      <c r="D683" s="2741"/>
      <c r="E683" s="2742" t="s">
        <v>1182</v>
      </c>
      <c r="F683" s="2738"/>
      <c r="G683" s="2738">
        <v>45200</v>
      </c>
      <c r="H683" s="2738"/>
      <c r="I683" s="2738"/>
      <c r="J683" s="2738"/>
      <c r="K683" s="2738"/>
      <c r="L683" s="2743"/>
      <c r="M683" s="2738">
        <f>'[10]NFMA46 '!I742</f>
        <v>45200</v>
      </c>
      <c r="N683" s="2738">
        <f>'[10]NFMA46 '!L742</f>
        <v>45200</v>
      </c>
      <c r="O683" s="2738">
        <f t="shared" si="66"/>
        <v>100</v>
      </c>
      <c r="P683" s="2739">
        <f>'[10]NFMA46 '!K742</f>
        <v>0</v>
      </c>
      <c r="Q683" s="1715">
        <f t="shared" si="67"/>
        <v>0</v>
      </c>
      <c r="R683" s="1715">
        <f t="shared" si="69"/>
        <v>45200</v>
      </c>
      <c r="S683" s="1715">
        <f t="shared" si="68"/>
        <v>100</v>
      </c>
      <c r="T683" s="1715"/>
      <c r="U683" s="1715">
        <f t="shared" si="70"/>
        <v>0</v>
      </c>
      <c r="V683" s="2658"/>
    </row>
    <row r="684" spans="1:22" s="1041" customFormat="1" ht="108.75" customHeight="1">
      <c r="A684" s="2658">
        <v>426</v>
      </c>
      <c r="B684" s="2735" t="s">
        <v>6033</v>
      </c>
      <c r="C684" s="2740" t="s">
        <v>6034</v>
      </c>
      <c r="D684" s="2741"/>
      <c r="E684" s="2742" t="s">
        <v>866</v>
      </c>
      <c r="F684" s="2738"/>
      <c r="G684" s="2738">
        <v>12500000</v>
      </c>
      <c r="H684" s="2738">
        <f>G684+F684</f>
        <v>12500000</v>
      </c>
      <c r="I684" s="2738"/>
      <c r="J684" s="2738"/>
      <c r="K684" s="2738"/>
      <c r="L684" s="2743"/>
      <c r="M684" s="2738">
        <f>'[10]NFMA46 '!I743</f>
        <v>0</v>
      </c>
      <c r="N684" s="2738">
        <f>'[10]NFMA46 '!L743</f>
        <v>0</v>
      </c>
      <c r="O684" s="2738" t="e">
        <f t="shared" si="66"/>
        <v>#DIV/0!</v>
      </c>
      <c r="P684" s="2739">
        <f>'[10]NFMA46 '!K743</f>
        <v>0</v>
      </c>
      <c r="Q684" s="1715" t="e">
        <f t="shared" si="67"/>
        <v>#DIV/0!</v>
      </c>
      <c r="R684" s="1715">
        <f>P684+N684</f>
        <v>0</v>
      </c>
      <c r="S684" s="1715" t="e">
        <f t="shared" si="68"/>
        <v>#DIV/0!</v>
      </c>
      <c r="T684" s="1715"/>
      <c r="U684" s="1715">
        <f>M684-R684</f>
        <v>0</v>
      </c>
      <c r="V684" s="2658"/>
    </row>
    <row r="685" spans="1:22" s="1041" customFormat="1" ht="108.75" customHeight="1">
      <c r="A685" s="2658">
        <v>427</v>
      </c>
      <c r="B685" s="2735" t="s">
        <v>6035</v>
      </c>
      <c r="C685" s="2740" t="s">
        <v>6036</v>
      </c>
      <c r="D685" s="2741"/>
      <c r="E685" s="2742" t="s">
        <v>866</v>
      </c>
      <c r="F685" s="2738"/>
      <c r="G685" s="2738">
        <v>12500000</v>
      </c>
      <c r="H685" s="2738">
        <f t="shared" ref="H685:H687" si="71">G685+F685</f>
        <v>12500000</v>
      </c>
      <c r="I685" s="2738"/>
      <c r="J685" s="2738"/>
      <c r="K685" s="2738"/>
      <c r="L685" s="2743"/>
      <c r="M685" s="2738">
        <f>'[10]NFMA46 '!I744</f>
        <v>12500000</v>
      </c>
      <c r="N685" s="2738">
        <f>'[10]NFMA46 '!L744</f>
        <v>0</v>
      </c>
      <c r="O685" s="2738">
        <f t="shared" si="66"/>
        <v>0</v>
      </c>
      <c r="P685" s="2739">
        <f>'[10]NFMA46 '!K744</f>
        <v>0</v>
      </c>
      <c r="Q685" s="1715">
        <f t="shared" si="67"/>
        <v>0</v>
      </c>
      <c r="R685" s="1715">
        <f>P685+N685</f>
        <v>0</v>
      </c>
      <c r="S685" s="1715">
        <f t="shared" si="68"/>
        <v>0</v>
      </c>
      <c r="T685" s="1715"/>
      <c r="U685" s="1715">
        <f>M685-R685</f>
        <v>12500000</v>
      </c>
      <c r="V685" s="2658"/>
    </row>
    <row r="686" spans="1:22" s="1041" customFormat="1" ht="108.75" customHeight="1">
      <c r="A686" s="2658">
        <v>428</v>
      </c>
      <c r="B686" s="2735" t="s">
        <v>6037</v>
      </c>
      <c r="C686" s="2740" t="s">
        <v>6038</v>
      </c>
      <c r="D686" s="2741"/>
      <c r="E686" s="2742" t="s">
        <v>866</v>
      </c>
      <c r="F686" s="2738"/>
      <c r="G686" s="2738">
        <v>12500000</v>
      </c>
      <c r="H686" s="2738">
        <f t="shared" si="71"/>
        <v>12500000</v>
      </c>
      <c r="I686" s="2738"/>
      <c r="J686" s="2738"/>
      <c r="K686" s="2738"/>
      <c r="L686" s="2743"/>
      <c r="M686" s="2738">
        <f>'[10]NFMA46 '!I745</f>
        <v>19500</v>
      </c>
      <c r="N686" s="2738">
        <f>'[10]NFMA46 '!L745</f>
        <v>0</v>
      </c>
      <c r="O686" s="2738">
        <f t="shared" si="66"/>
        <v>0</v>
      </c>
      <c r="P686" s="2739">
        <f>'[10]NFMA46 '!K745</f>
        <v>0</v>
      </c>
      <c r="Q686" s="1715">
        <f t="shared" si="67"/>
        <v>0</v>
      </c>
      <c r="R686" s="1715">
        <f>P686+N686</f>
        <v>0</v>
      </c>
      <c r="S686" s="1715">
        <f t="shared" si="68"/>
        <v>0</v>
      </c>
      <c r="T686" s="1715"/>
      <c r="U686" s="1715">
        <f>M686-R686</f>
        <v>19500</v>
      </c>
      <c r="V686" s="2658"/>
    </row>
    <row r="687" spans="1:22" s="1041" customFormat="1" ht="108.75" customHeight="1" thickBot="1">
      <c r="A687" s="2658">
        <v>429</v>
      </c>
      <c r="B687" s="2735" t="s">
        <v>6039</v>
      </c>
      <c r="C687" s="2740" t="s">
        <v>6040</v>
      </c>
      <c r="D687" s="2741"/>
      <c r="E687" s="2742" t="s">
        <v>866</v>
      </c>
      <c r="F687" s="2738"/>
      <c r="G687" s="2738">
        <v>74018700</v>
      </c>
      <c r="H687" s="2738">
        <f t="shared" si="71"/>
        <v>74018700</v>
      </c>
      <c r="I687" s="2738"/>
      <c r="J687" s="2738"/>
      <c r="K687" s="2738"/>
      <c r="L687" s="2743"/>
      <c r="M687" s="2738">
        <f>'[10]NFMA46 '!I746</f>
        <v>74018700</v>
      </c>
      <c r="N687" s="2738">
        <f>'[10]NFMA46 '!L746</f>
        <v>0</v>
      </c>
      <c r="O687" s="2738">
        <f t="shared" si="66"/>
        <v>0</v>
      </c>
      <c r="P687" s="2739">
        <f>'[10]NFMA46 '!K746</f>
        <v>0</v>
      </c>
      <c r="Q687" s="1715">
        <f t="shared" si="67"/>
        <v>0</v>
      </c>
      <c r="R687" s="1715">
        <f>P687+N687</f>
        <v>0</v>
      </c>
      <c r="S687" s="1715">
        <f t="shared" si="68"/>
        <v>0</v>
      </c>
      <c r="T687" s="1715"/>
      <c r="U687" s="1715">
        <f>M687-R687</f>
        <v>74018700</v>
      </c>
      <c r="V687" s="2658"/>
    </row>
    <row r="688" spans="1:22" s="1041" customFormat="1" ht="108.75" customHeight="1" thickBot="1">
      <c r="A688" s="2658">
        <v>430</v>
      </c>
      <c r="B688" s="2761" t="s">
        <v>6041</v>
      </c>
      <c r="C688" s="2740" t="s">
        <v>6042</v>
      </c>
      <c r="D688" s="2750"/>
      <c r="E688" s="2742" t="s">
        <v>866</v>
      </c>
      <c r="F688" s="2738"/>
      <c r="G688" s="2738"/>
      <c r="H688" s="2738"/>
      <c r="I688" s="2738"/>
      <c r="J688" s="2738"/>
      <c r="K688" s="2738"/>
      <c r="L688" s="2743"/>
      <c r="M688" s="2738">
        <f>'[10]NFMA46 '!I747</f>
        <v>11626000</v>
      </c>
      <c r="N688" s="2738">
        <f>'[10]NFMA46 '!L747</f>
        <v>0</v>
      </c>
      <c r="O688" s="2738">
        <f t="shared" si="66"/>
        <v>0</v>
      </c>
      <c r="P688" s="2739">
        <f>'[10]NFMA46 '!K747</f>
        <v>0</v>
      </c>
      <c r="Q688" s="1715">
        <f t="shared" si="67"/>
        <v>0</v>
      </c>
      <c r="R688" s="1715">
        <f t="shared" ref="R688:R691" si="72">P688+N688</f>
        <v>0</v>
      </c>
      <c r="S688" s="1715">
        <f t="shared" si="68"/>
        <v>0</v>
      </c>
      <c r="T688" s="1715"/>
      <c r="U688" s="1715">
        <f t="shared" ref="U688:U691" si="73">M688-R688</f>
        <v>11626000</v>
      </c>
      <c r="V688" s="2658"/>
    </row>
    <row r="689" spans="1:22" s="1041" customFormat="1" ht="108.75" customHeight="1" thickBot="1">
      <c r="A689" s="2658">
        <v>431</v>
      </c>
      <c r="B689" s="2761" t="s">
        <v>6043</v>
      </c>
      <c r="C689" s="2740" t="s">
        <v>6044</v>
      </c>
      <c r="D689" s="2750"/>
      <c r="E689" s="2742" t="s">
        <v>866</v>
      </c>
      <c r="F689" s="2738"/>
      <c r="G689" s="2738"/>
      <c r="H689" s="2738"/>
      <c r="I689" s="2738"/>
      <c r="J689" s="2738"/>
      <c r="K689" s="2738"/>
      <c r="L689" s="2743"/>
      <c r="M689" s="2738">
        <f>'[10]NFMA46 '!I748</f>
        <v>5274500</v>
      </c>
      <c r="N689" s="2738">
        <f>'[10]NFMA46 '!L748</f>
        <v>0</v>
      </c>
      <c r="O689" s="2738">
        <f t="shared" si="66"/>
        <v>0</v>
      </c>
      <c r="P689" s="2739">
        <f>'[10]NFMA46 '!L748</f>
        <v>0</v>
      </c>
      <c r="Q689" s="1715">
        <f t="shared" si="67"/>
        <v>0</v>
      </c>
      <c r="R689" s="1715">
        <f t="shared" si="72"/>
        <v>0</v>
      </c>
      <c r="S689" s="1715">
        <f t="shared" si="68"/>
        <v>0</v>
      </c>
      <c r="T689" s="1715"/>
      <c r="U689" s="1715">
        <f t="shared" si="73"/>
        <v>5274500</v>
      </c>
      <c r="V689" s="2658"/>
    </row>
    <row r="690" spans="1:22" s="1041" customFormat="1" ht="108.75" customHeight="1" thickBot="1">
      <c r="A690" s="2658">
        <v>432</v>
      </c>
      <c r="B690" s="2761" t="s">
        <v>6045</v>
      </c>
      <c r="C690" s="2740" t="s">
        <v>6046</v>
      </c>
      <c r="D690" s="2750"/>
      <c r="E690" s="2742" t="s">
        <v>866</v>
      </c>
      <c r="F690" s="2738"/>
      <c r="G690" s="2738"/>
      <c r="H690" s="2738"/>
      <c r="I690" s="2738"/>
      <c r="J690" s="2738"/>
      <c r="K690" s="2738"/>
      <c r="L690" s="2743"/>
      <c r="M690" s="2738">
        <f>'[10]NFMA46 '!I749</f>
        <v>8080000</v>
      </c>
      <c r="N690" s="2738">
        <f>'[10]NFMA46 '!L749</f>
        <v>0</v>
      </c>
      <c r="O690" s="2738">
        <f t="shared" si="66"/>
        <v>0</v>
      </c>
      <c r="P690" s="2739">
        <f>'[10]NFMA46 '!K749</f>
        <v>0</v>
      </c>
      <c r="Q690" s="1715">
        <f t="shared" si="67"/>
        <v>0</v>
      </c>
      <c r="R690" s="1715">
        <f t="shared" si="72"/>
        <v>0</v>
      </c>
      <c r="S690" s="1715">
        <f t="shared" si="68"/>
        <v>0</v>
      </c>
      <c r="T690" s="1715"/>
      <c r="U690" s="1715">
        <f t="shared" si="73"/>
        <v>8080000</v>
      </c>
      <c r="V690" s="2658"/>
    </row>
    <row r="691" spans="1:22" ht="69.75" customHeight="1">
      <c r="A691" s="2658"/>
      <c r="B691" s="2762" t="s">
        <v>4443</v>
      </c>
      <c r="C691" s="2740"/>
      <c r="E691" s="2742"/>
      <c r="F691" s="2738"/>
      <c r="G691" s="2738"/>
      <c r="H691" s="2738"/>
      <c r="I691" s="2738"/>
      <c r="J691" s="2738"/>
      <c r="K691" s="2738"/>
      <c r="L691" s="2743">
        <f>SUBTOTAL(9,L263:L690)</f>
        <v>4516305.7399999993</v>
      </c>
      <c r="M691" s="2738">
        <f>L691</f>
        <v>4516305.7399999993</v>
      </c>
      <c r="N691" s="2738">
        <f>'[10]NFMA46 '!L753</f>
        <v>250000</v>
      </c>
      <c r="O691" s="2738">
        <f t="shared" si="66"/>
        <v>5.5354976919698098</v>
      </c>
      <c r="P691" s="2739">
        <f>'[10]NFMA46 '!K753</f>
        <v>0</v>
      </c>
      <c r="Q691" s="1715">
        <f t="shared" si="67"/>
        <v>0</v>
      </c>
      <c r="R691" s="1715">
        <f t="shared" si="72"/>
        <v>250000</v>
      </c>
      <c r="S691" s="1715">
        <f t="shared" si="68"/>
        <v>5.5354976919698098</v>
      </c>
      <c r="U691" s="1715">
        <f t="shared" si="73"/>
        <v>4266305.7399999993</v>
      </c>
      <c r="V691" s="2658"/>
    </row>
  </sheetData>
  <mergeCells count="24">
    <mergeCell ref="U3:U6"/>
    <mergeCell ref="V3:V6"/>
    <mergeCell ref="N4:N6"/>
    <mergeCell ref="O4:O6"/>
    <mergeCell ref="P4:P6"/>
    <mergeCell ref="Q4:Q6"/>
    <mergeCell ref="R4:R6"/>
    <mergeCell ref="S4:S6"/>
    <mergeCell ref="L3:L6"/>
    <mergeCell ref="M3:M6"/>
    <mergeCell ref="N3:O3"/>
    <mergeCell ref="P3:Q3"/>
    <mergeCell ref="R3:S3"/>
    <mergeCell ref="T3:T5"/>
    <mergeCell ref="A1:U1"/>
    <mergeCell ref="A2:U2"/>
    <mergeCell ref="A3:A6"/>
    <mergeCell ref="B3:B6"/>
    <mergeCell ref="C3:C6"/>
    <mergeCell ref="E3:E6"/>
    <mergeCell ref="F3:H5"/>
    <mergeCell ref="I3:I6"/>
    <mergeCell ref="J3:J6"/>
    <mergeCell ref="K3:K6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FB26-6DCA-45FA-A1D7-55CC426DC422}">
  <sheetPr>
    <tabColor rgb="FFFFFF00"/>
  </sheetPr>
  <dimension ref="A2:AK660"/>
  <sheetViews>
    <sheetView topLeftCell="D1" zoomScale="70" zoomScaleNormal="70" workbookViewId="0">
      <selection activeCell="P13" sqref="P13"/>
    </sheetView>
  </sheetViews>
  <sheetFormatPr defaultRowHeight="30.75"/>
  <cols>
    <col min="1" max="1" width="1.7109375" style="642" hidden="1" customWidth="1"/>
    <col min="2" max="2" width="1.5703125" style="642" hidden="1" customWidth="1"/>
    <col min="3" max="3" width="7.42578125" style="642" hidden="1" customWidth="1"/>
    <col min="4" max="4" width="5.42578125" style="848" customWidth="1"/>
    <col min="5" max="5" width="38.28515625" style="849" customWidth="1"/>
    <col min="6" max="6" width="9.42578125" style="849" bestFit="1" customWidth="1"/>
    <col min="7" max="7" width="22" style="850" customWidth="1"/>
    <col min="8" max="8" width="14.28515625" style="850" hidden="1" customWidth="1"/>
    <col min="9" max="9" width="18.5703125" style="850" hidden="1" customWidth="1"/>
    <col min="10" max="10" width="1.28515625" style="850" hidden="1" customWidth="1"/>
    <col min="11" max="11" width="23" style="850" customWidth="1"/>
    <col min="12" max="12" width="23.140625" style="850" customWidth="1"/>
    <col min="13" max="13" width="13" style="851" customWidth="1"/>
    <col min="14" max="14" width="22" style="850" customWidth="1"/>
    <col min="15" max="15" width="15.28515625" style="850" hidden="1" customWidth="1"/>
    <col min="16" max="16" width="22.5703125" style="850" customWidth="1"/>
    <col min="17" max="17" width="13.42578125" style="851" customWidth="1"/>
    <col min="18" max="18" width="16.42578125" style="851" hidden="1" customWidth="1"/>
    <col min="19" max="19" width="23.5703125" style="850" customWidth="1"/>
    <col min="20" max="20" width="16" style="656" hidden="1" customWidth="1"/>
    <col min="21" max="21" width="1.7109375" style="642" hidden="1" customWidth="1"/>
    <col min="22" max="22" width="16.5703125" style="642" hidden="1" customWidth="1"/>
    <col min="23" max="23" width="16.42578125" style="638" hidden="1" customWidth="1"/>
    <col min="24" max="24" width="18.28515625" style="637" hidden="1" customWidth="1"/>
    <col min="25" max="25" width="20.5703125" style="638" hidden="1" customWidth="1"/>
    <col min="26" max="26" width="17.5703125" style="637" hidden="1" customWidth="1"/>
    <col min="27" max="27" width="18.28515625" style="642" hidden="1" customWidth="1"/>
    <col min="28" max="28" width="18" style="642" hidden="1" customWidth="1"/>
    <col min="29" max="29" width="9.140625" style="642" customWidth="1"/>
    <col min="30" max="30" width="2.85546875" style="642" customWidth="1"/>
    <col min="31" max="31" width="24" style="1936" hidden="1" customWidth="1"/>
    <col min="32" max="32" width="21.85546875" style="642" hidden="1" customWidth="1"/>
    <col min="33" max="33" width="25" style="1937" hidden="1" customWidth="1"/>
    <col min="34" max="34" width="28" style="642" hidden="1" customWidth="1"/>
    <col min="35" max="36" width="21.42578125" style="642" hidden="1" customWidth="1"/>
    <col min="37" max="265" width="9.140625" style="642"/>
    <col min="266" max="266" width="1.7109375" style="642" customWidth="1"/>
    <col min="267" max="267" width="5.7109375" style="642" customWidth="1"/>
    <col min="268" max="268" width="29.85546875" style="642" bestFit="1" customWidth="1"/>
    <col min="269" max="269" width="7.85546875" style="642" customWidth="1"/>
    <col min="270" max="270" width="18.28515625" style="642" customWidth="1"/>
    <col min="271" max="272" width="0" style="642" hidden="1" customWidth="1"/>
    <col min="273" max="273" width="16.85546875" style="642" bestFit="1" customWidth="1"/>
    <col min="274" max="274" width="9.85546875" style="642" customWidth="1"/>
    <col min="275" max="275" width="16.85546875" style="642" bestFit="1" customWidth="1"/>
    <col min="276" max="276" width="18.28515625" style="642" bestFit="1" customWidth="1"/>
    <col min="277" max="277" width="0" style="642" hidden="1" customWidth="1"/>
    <col min="278" max="278" width="1.7109375" style="642" customWidth="1"/>
    <col min="279" max="286" width="0" style="642" hidden="1" customWidth="1"/>
    <col min="287" max="287" width="9.140625" style="642"/>
    <col min="288" max="288" width="16.42578125" style="642" bestFit="1" customWidth="1"/>
    <col min="289" max="521" width="9.140625" style="642"/>
    <col min="522" max="522" width="1.7109375" style="642" customWidth="1"/>
    <col min="523" max="523" width="5.7109375" style="642" customWidth="1"/>
    <col min="524" max="524" width="29.85546875" style="642" bestFit="1" customWidth="1"/>
    <col min="525" max="525" width="7.85546875" style="642" customWidth="1"/>
    <col min="526" max="526" width="18.28515625" style="642" customWidth="1"/>
    <col min="527" max="528" width="0" style="642" hidden="1" customWidth="1"/>
    <col min="529" max="529" width="16.85546875" style="642" bestFit="1" customWidth="1"/>
    <col min="530" max="530" width="9.85546875" style="642" customWidth="1"/>
    <col min="531" max="531" width="16.85546875" style="642" bestFit="1" customWidth="1"/>
    <col min="532" max="532" width="18.28515625" style="642" bestFit="1" customWidth="1"/>
    <col min="533" max="533" width="0" style="642" hidden="1" customWidth="1"/>
    <col min="534" max="534" width="1.7109375" style="642" customWidth="1"/>
    <col min="535" max="542" width="0" style="642" hidden="1" customWidth="1"/>
    <col min="543" max="543" width="9.140625" style="642"/>
    <col min="544" max="544" width="16.42578125" style="642" bestFit="1" customWidth="1"/>
    <col min="545" max="777" width="9.140625" style="642"/>
    <col min="778" max="778" width="1.7109375" style="642" customWidth="1"/>
    <col min="779" max="779" width="5.7109375" style="642" customWidth="1"/>
    <col min="780" max="780" width="29.85546875" style="642" bestFit="1" customWidth="1"/>
    <col min="781" max="781" width="7.85546875" style="642" customWidth="1"/>
    <col min="782" max="782" width="18.28515625" style="642" customWidth="1"/>
    <col min="783" max="784" width="0" style="642" hidden="1" customWidth="1"/>
    <col min="785" max="785" width="16.85546875" style="642" bestFit="1" customWidth="1"/>
    <col min="786" max="786" width="9.85546875" style="642" customWidth="1"/>
    <col min="787" max="787" width="16.85546875" style="642" bestFit="1" customWidth="1"/>
    <col min="788" max="788" width="18.28515625" style="642" bestFit="1" customWidth="1"/>
    <col min="789" max="789" width="0" style="642" hidden="1" customWidth="1"/>
    <col min="790" max="790" width="1.7109375" style="642" customWidth="1"/>
    <col min="791" max="798" width="0" style="642" hidden="1" customWidth="1"/>
    <col min="799" max="799" width="9.140625" style="642"/>
    <col min="800" max="800" width="16.42578125" style="642" bestFit="1" customWidth="1"/>
    <col min="801" max="1033" width="9.140625" style="642"/>
    <col min="1034" max="1034" width="1.7109375" style="642" customWidth="1"/>
    <col min="1035" max="1035" width="5.7109375" style="642" customWidth="1"/>
    <col min="1036" max="1036" width="29.85546875" style="642" bestFit="1" customWidth="1"/>
    <col min="1037" max="1037" width="7.85546875" style="642" customWidth="1"/>
    <col min="1038" max="1038" width="18.28515625" style="642" customWidth="1"/>
    <col min="1039" max="1040" width="0" style="642" hidden="1" customWidth="1"/>
    <col min="1041" max="1041" width="16.85546875" style="642" bestFit="1" customWidth="1"/>
    <col min="1042" max="1042" width="9.85546875" style="642" customWidth="1"/>
    <col min="1043" max="1043" width="16.85546875" style="642" bestFit="1" customWidth="1"/>
    <col min="1044" max="1044" width="18.28515625" style="642" bestFit="1" customWidth="1"/>
    <col min="1045" max="1045" width="0" style="642" hidden="1" customWidth="1"/>
    <col min="1046" max="1046" width="1.7109375" style="642" customWidth="1"/>
    <col min="1047" max="1054" width="0" style="642" hidden="1" customWidth="1"/>
    <col min="1055" max="1055" width="9.140625" style="642"/>
    <col min="1056" max="1056" width="16.42578125" style="642" bestFit="1" customWidth="1"/>
    <col min="1057" max="1289" width="9.140625" style="642"/>
    <col min="1290" max="1290" width="1.7109375" style="642" customWidth="1"/>
    <col min="1291" max="1291" width="5.7109375" style="642" customWidth="1"/>
    <col min="1292" max="1292" width="29.85546875" style="642" bestFit="1" customWidth="1"/>
    <col min="1293" max="1293" width="7.85546875" style="642" customWidth="1"/>
    <col min="1294" max="1294" width="18.28515625" style="642" customWidth="1"/>
    <col min="1295" max="1296" width="0" style="642" hidden="1" customWidth="1"/>
    <col min="1297" max="1297" width="16.85546875" style="642" bestFit="1" customWidth="1"/>
    <col min="1298" max="1298" width="9.85546875" style="642" customWidth="1"/>
    <col min="1299" max="1299" width="16.85546875" style="642" bestFit="1" customWidth="1"/>
    <col min="1300" max="1300" width="18.28515625" style="642" bestFit="1" customWidth="1"/>
    <col min="1301" max="1301" width="0" style="642" hidden="1" customWidth="1"/>
    <col min="1302" max="1302" width="1.7109375" style="642" customWidth="1"/>
    <col min="1303" max="1310" width="0" style="642" hidden="1" customWidth="1"/>
    <col min="1311" max="1311" width="9.140625" style="642"/>
    <col min="1312" max="1312" width="16.42578125" style="642" bestFit="1" customWidth="1"/>
    <col min="1313" max="1545" width="9.140625" style="642"/>
    <col min="1546" max="1546" width="1.7109375" style="642" customWidth="1"/>
    <col min="1547" max="1547" width="5.7109375" style="642" customWidth="1"/>
    <col min="1548" max="1548" width="29.85546875" style="642" bestFit="1" customWidth="1"/>
    <col min="1549" max="1549" width="7.85546875" style="642" customWidth="1"/>
    <col min="1550" max="1550" width="18.28515625" style="642" customWidth="1"/>
    <col min="1551" max="1552" width="0" style="642" hidden="1" customWidth="1"/>
    <col min="1553" max="1553" width="16.85546875" style="642" bestFit="1" customWidth="1"/>
    <col min="1554" max="1554" width="9.85546875" style="642" customWidth="1"/>
    <col min="1555" max="1555" width="16.85546875" style="642" bestFit="1" customWidth="1"/>
    <col min="1556" max="1556" width="18.28515625" style="642" bestFit="1" customWidth="1"/>
    <col min="1557" max="1557" width="0" style="642" hidden="1" customWidth="1"/>
    <col min="1558" max="1558" width="1.7109375" style="642" customWidth="1"/>
    <col min="1559" max="1566" width="0" style="642" hidden="1" customWidth="1"/>
    <col min="1567" max="1567" width="9.140625" style="642"/>
    <col min="1568" max="1568" width="16.42578125" style="642" bestFit="1" customWidth="1"/>
    <col min="1569" max="1801" width="9.140625" style="642"/>
    <col min="1802" max="1802" width="1.7109375" style="642" customWidth="1"/>
    <col min="1803" max="1803" width="5.7109375" style="642" customWidth="1"/>
    <col min="1804" max="1804" width="29.85546875" style="642" bestFit="1" customWidth="1"/>
    <col min="1805" max="1805" width="7.85546875" style="642" customWidth="1"/>
    <col min="1806" max="1806" width="18.28515625" style="642" customWidth="1"/>
    <col min="1807" max="1808" width="0" style="642" hidden="1" customWidth="1"/>
    <col min="1809" max="1809" width="16.85546875" style="642" bestFit="1" customWidth="1"/>
    <col min="1810" max="1810" width="9.85546875" style="642" customWidth="1"/>
    <col min="1811" max="1811" width="16.85546875" style="642" bestFit="1" customWidth="1"/>
    <col min="1812" max="1812" width="18.28515625" style="642" bestFit="1" customWidth="1"/>
    <col min="1813" max="1813" width="0" style="642" hidden="1" customWidth="1"/>
    <col min="1814" max="1814" width="1.7109375" style="642" customWidth="1"/>
    <col min="1815" max="1822" width="0" style="642" hidden="1" customWidth="1"/>
    <col min="1823" max="1823" width="9.140625" style="642"/>
    <col min="1824" max="1824" width="16.42578125" style="642" bestFit="1" customWidth="1"/>
    <col min="1825" max="2057" width="9.140625" style="642"/>
    <col min="2058" max="2058" width="1.7109375" style="642" customWidth="1"/>
    <col min="2059" max="2059" width="5.7109375" style="642" customWidth="1"/>
    <col min="2060" max="2060" width="29.85546875" style="642" bestFit="1" customWidth="1"/>
    <col min="2061" max="2061" width="7.85546875" style="642" customWidth="1"/>
    <col min="2062" max="2062" width="18.28515625" style="642" customWidth="1"/>
    <col min="2063" max="2064" width="0" style="642" hidden="1" customWidth="1"/>
    <col min="2065" max="2065" width="16.85546875" style="642" bestFit="1" customWidth="1"/>
    <col min="2066" max="2066" width="9.85546875" style="642" customWidth="1"/>
    <col min="2067" max="2067" width="16.85546875" style="642" bestFit="1" customWidth="1"/>
    <col min="2068" max="2068" width="18.28515625" style="642" bestFit="1" customWidth="1"/>
    <col min="2069" max="2069" width="0" style="642" hidden="1" customWidth="1"/>
    <col min="2070" max="2070" width="1.7109375" style="642" customWidth="1"/>
    <col min="2071" max="2078" width="0" style="642" hidden="1" customWidth="1"/>
    <col min="2079" max="2079" width="9.140625" style="642"/>
    <col min="2080" max="2080" width="16.42578125" style="642" bestFit="1" customWidth="1"/>
    <col min="2081" max="2313" width="9.140625" style="642"/>
    <col min="2314" max="2314" width="1.7109375" style="642" customWidth="1"/>
    <col min="2315" max="2315" width="5.7109375" style="642" customWidth="1"/>
    <col min="2316" max="2316" width="29.85546875" style="642" bestFit="1" customWidth="1"/>
    <col min="2317" max="2317" width="7.85546875" style="642" customWidth="1"/>
    <col min="2318" max="2318" width="18.28515625" style="642" customWidth="1"/>
    <col min="2319" max="2320" width="0" style="642" hidden="1" customWidth="1"/>
    <col min="2321" max="2321" width="16.85546875" style="642" bestFit="1" customWidth="1"/>
    <col min="2322" max="2322" width="9.85546875" style="642" customWidth="1"/>
    <col min="2323" max="2323" width="16.85546875" style="642" bestFit="1" customWidth="1"/>
    <col min="2324" max="2324" width="18.28515625" style="642" bestFit="1" customWidth="1"/>
    <col min="2325" max="2325" width="0" style="642" hidden="1" customWidth="1"/>
    <col min="2326" max="2326" width="1.7109375" style="642" customWidth="1"/>
    <col min="2327" max="2334" width="0" style="642" hidden="1" customWidth="1"/>
    <col min="2335" max="2335" width="9.140625" style="642"/>
    <col min="2336" max="2336" width="16.42578125" style="642" bestFit="1" customWidth="1"/>
    <col min="2337" max="2569" width="9.140625" style="642"/>
    <col min="2570" max="2570" width="1.7109375" style="642" customWidth="1"/>
    <col min="2571" max="2571" width="5.7109375" style="642" customWidth="1"/>
    <col min="2572" max="2572" width="29.85546875" style="642" bestFit="1" customWidth="1"/>
    <col min="2573" max="2573" width="7.85546875" style="642" customWidth="1"/>
    <col min="2574" max="2574" width="18.28515625" style="642" customWidth="1"/>
    <col min="2575" max="2576" width="0" style="642" hidden="1" customWidth="1"/>
    <col min="2577" max="2577" width="16.85546875" style="642" bestFit="1" customWidth="1"/>
    <col min="2578" max="2578" width="9.85546875" style="642" customWidth="1"/>
    <col min="2579" max="2579" width="16.85546875" style="642" bestFit="1" customWidth="1"/>
    <col min="2580" max="2580" width="18.28515625" style="642" bestFit="1" customWidth="1"/>
    <col min="2581" max="2581" width="0" style="642" hidden="1" customWidth="1"/>
    <col min="2582" max="2582" width="1.7109375" style="642" customWidth="1"/>
    <col min="2583" max="2590" width="0" style="642" hidden="1" customWidth="1"/>
    <col min="2591" max="2591" width="9.140625" style="642"/>
    <col min="2592" max="2592" width="16.42578125" style="642" bestFit="1" customWidth="1"/>
    <col min="2593" max="2825" width="9.140625" style="642"/>
    <col min="2826" max="2826" width="1.7109375" style="642" customWidth="1"/>
    <col min="2827" max="2827" width="5.7109375" style="642" customWidth="1"/>
    <col min="2828" max="2828" width="29.85546875" style="642" bestFit="1" customWidth="1"/>
    <col min="2829" max="2829" width="7.85546875" style="642" customWidth="1"/>
    <col min="2830" max="2830" width="18.28515625" style="642" customWidth="1"/>
    <col min="2831" max="2832" width="0" style="642" hidden="1" customWidth="1"/>
    <col min="2833" max="2833" width="16.85546875" style="642" bestFit="1" customWidth="1"/>
    <col min="2834" max="2834" width="9.85546875" style="642" customWidth="1"/>
    <col min="2835" max="2835" width="16.85546875" style="642" bestFit="1" customWidth="1"/>
    <col min="2836" max="2836" width="18.28515625" style="642" bestFit="1" customWidth="1"/>
    <col min="2837" max="2837" width="0" style="642" hidden="1" customWidth="1"/>
    <col min="2838" max="2838" width="1.7109375" style="642" customWidth="1"/>
    <col min="2839" max="2846" width="0" style="642" hidden="1" customWidth="1"/>
    <col min="2847" max="2847" width="9.140625" style="642"/>
    <col min="2848" max="2848" width="16.42578125" style="642" bestFit="1" customWidth="1"/>
    <col min="2849" max="3081" width="9.140625" style="642"/>
    <col min="3082" max="3082" width="1.7109375" style="642" customWidth="1"/>
    <col min="3083" max="3083" width="5.7109375" style="642" customWidth="1"/>
    <col min="3084" max="3084" width="29.85546875" style="642" bestFit="1" customWidth="1"/>
    <col min="3085" max="3085" width="7.85546875" style="642" customWidth="1"/>
    <col min="3086" max="3086" width="18.28515625" style="642" customWidth="1"/>
    <col min="3087" max="3088" width="0" style="642" hidden="1" customWidth="1"/>
    <col min="3089" max="3089" width="16.85546875" style="642" bestFit="1" customWidth="1"/>
    <col min="3090" max="3090" width="9.85546875" style="642" customWidth="1"/>
    <col min="3091" max="3091" width="16.85546875" style="642" bestFit="1" customWidth="1"/>
    <col min="3092" max="3092" width="18.28515625" style="642" bestFit="1" customWidth="1"/>
    <col min="3093" max="3093" width="0" style="642" hidden="1" customWidth="1"/>
    <col min="3094" max="3094" width="1.7109375" style="642" customWidth="1"/>
    <col min="3095" max="3102" width="0" style="642" hidden="1" customWidth="1"/>
    <col min="3103" max="3103" width="9.140625" style="642"/>
    <col min="3104" max="3104" width="16.42578125" style="642" bestFit="1" customWidth="1"/>
    <col min="3105" max="3337" width="9.140625" style="642"/>
    <col min="3338" max="3338" width="1.7109375" style="642" customWidth="1"/>
    <col min="3339" max="3339" width="5.7109375" style="642" customWidth="1"/>
    <col min="3340" max="3340" width="29.85546875" style="642" bestFit="1" customWidth="1"/>
    <col min="3341" max="3341" width="7.85546875" style="642" customWidth="1"/>
    <col min="3342" max="3342" width="18.28515625" style="642" customWidth="1"/>
    <col min="3343" max="3344" width="0" style="642" hidden="1" customWidth="1"/>
    <col min="3345" max="3345" width="16.85546875" style="642" bestFit="1" customWidth="1"/>
    <col min="3346" max="3346" width="9.85546875" style="642" customWidth="1"/>
    <col min="3347" max="3347" width="16.85546875" style="642" bestFit="1" customWidth="1"/>
    <col min="3348" max="3348" width="18.28515625" style="642" bestFit="1" customWidth="1"/>
    <col min="3349" max="3349" width="0" style="642" hidden="1" customWidth="1"/>
    <col min="3350" max="3350" width="1.7109375" style="642" customWidth="1"/>
    <col min="3351" max="3358" width="0" style="642" hidden="1" customWidth="1"/>
    <col min="3359" max="3359" width="9.140625" style="642"/>
    <col min="3360" max="3360" width="16.42578125" style="642" bestFit="1" customWidth="1"/>
    <col min="3361" max="3593" width="9.140625" style="642"/>
    <col min="3594" max="3594" width="1.7109375" style="642" customWidth="1"/>
    <col min="3595" max="3595" width="5.7109375" style="642" customWidth="1"/>
    <col min="3596" max="3596" width="29.85546875" style="642" bestFit="1" customWidth="1"/>
    <col min="3597" max="3597" width="7.85546875" style="642" customWidth="1"/>
    <col min="3598" max="3598" width="18.28515625" style="642" customWidth="1"/>
    <col min="3599" max="3600" width="0" style="642" hidden="1" customWidth="1"/>
    <col min="3601" max="3601" width="16.85546875" style="642" bestFit="1" customWidth="1"/>
    <col min="3602" max="3602" width="9.85546875" style="642" customWidth="1"/>
    <col min="3603" max="3603" width="16.85546875" style="642" bestFit="1" customWidth="1"/>
    <col min="3604" max="3604" width="18.28515625" style="642" bestFit="1" customWidth="1"/>
    <col min="3605" max="3605" width="0" style="642" hidden="1" customWidth="1"/>
    <col min="3606" max="3606" width="1.7109375" style="642" customWidth="1"/>
    <col min="3607" max="3614" width="0" style="642" hidden="1" customWidth="1"/>
    <col min="3615" max="3615" width="9.140625" style="642"/>
    <col min="3616" max="3616" width="16.42578125" style="642" bestFit="1" customWidth="1"/>
    <col min="3617" max="3849" width="9.140625" style="642"/>
    <col min="3850" max="3850" width="1.7109375" style="642" customWidth="1"/>
    <col min="3851" max="3851" width="5.7109375" style="642" customWidth="1"/>
    <col min="3852" max="3852" width="29.85546875" style="642" bestFit="1" customWidth="1"/>
    <col min="3853" max="3853" width="7.85546875" style="642" customWidth="1"/>
    <col min="3854" max="3854" width="18.28515625" style="642" customWidth="1"/>
    <col min="3855" max="3856" width="0" style="642" hidden="1" customWidth="1"/>
    <col min="3857" max="3857" width="16.85546875" style="642" bestFit="1" customWidth="1"/>
    <col min="3858" max="3858" width="9.85546875" style="642" customWidth="1"/>
    <col min="3859" max="3859" width="16.85546875" style="642" bestFit="1" customWidth="1"/>
    <col min="3860" max="3860" width="18.28515625" style="642" bestFit="1" customWidth="1"/>
    <col min="3861" max="3861" width="0" style="642" hidden="1" customWidth="1"/>
    <col min="3862" max="3862" width="1.7109375" style="642" customWidth="1"/>
    <col min="3863" max="3870" width="0" style="642" hidden="1" customWidth="1"/>
    <col min="3871" max="3871" width="9.140625" style="642"/>
    <col min="3872" max="3872" width="16.42578125" style="642" bestFit="1" customWidth="1"/>
    <col min="3873" max="4105" width="9.140625" style="642"/>
    <col min="4106" max="4106" width="1.7109375" style="642" customWidth="1"/>
    <col min="4107" max="4107" width="5.7109375" style="642" customWidth="1"/>
    <col min="4108" max="4108" width="29.85546875" style="642" bestFit="1" customWidth="1"/>
    <col min="4109" max="4109" width="7.85546875" style="642" customWidth="1"/>
    <col min="4110" max="4110" width="18.28515625" style="642" customWidth="1"/>
    <col min="4111" max="4112" width="0" style="642" hidden="1" customWidth="1"/>
    <col min="4113" max="4113" width="16.85546875" style="642" bestFit="1" customWidth="1"/>
    <col min="4114" max="4114" width="9.85546875" style="642" customWidth="1"/>
    <col min="4115" max="4115" width="16.85546875" style="642" bestFit="1" customWidth="1"/>
    <col min="4116" max="4116" width="18.28515625" style="642" bestFit="1" customWidth="1"/>
    <col min="4117" max="4117" width="0" style="642" hidden="1" customWidth="1"/>
    <col min="4118" max="4118" width="1.7109375" style="642" customWidth="1"/>
    <col min="4119" max="4126" width="0" style="642" hidden="1" customWidth="1"/>
    <col min="4127" max="4127" width="9.140625" style="642"/>
    <col min="4128" max="4128" width="16.42578125" style="642" bestFit="1" customWidth="1"/>
    <col min="4129" max="4361" width="9.140625" style="642"/>
    <col min="4362" max="4362" width="1.7109375" style="642" customWidth="1"/>
    <col min="4363" max="4363" width="5.7109375" style="642" customWidth="1"/>
    <col min="4364" max="4364" width="29.85546875" style="642" bestFit="1" customWidth="1"/>
    <col min="4365" max="4365" width="7.85546875" style="642" customWidth="1"/>
    <col min="4366" max="4366" width="18.28515625" style="642" customWidth="1"/>
    <col min="4367" max="4368" width="0" style="642" hidden="1" customWidth="1"/>
    <col min="4369" max="4369" width="16.85546875" style="642" bestFit="1" customWidth="1"/>
    <col min="4370" max="4370" width="9.85546875" style="642" customWidth="1"/>
    <col min="4371" max="4371" width="16.85546875" style="642" bestFit="1" customWidth="1"/>
    <col min="4372" max="4372" width="18.28515625" style="642" bestFit="1" customWidth="1"/>
    <col min="4373" max="4373" width="0" style="642" hidden="1" customWidth="1"/>
    <col min="4374" max="4374" width="1.7109375" style="642" customWidth="1"/>
    <col min="4375" max="4382" width="0" style="642" hidden="1" customWidth="1"/>
    <col min="4383" max="4383" width="9.140625" style="642"/>
    <col min="4384" max="4384" width="16.42578125" style="642" bestFit="1" customWidth="1"/>
    <col min="4385" max="4617" width="9.140625" style="642"/>
    <col min="4618" max="4618" width="1.7109375" style="642" customWidth="1"/>
    <col min="4619" max="4619" width="5.7109375" style="642" customWidth="1"/>
    <col min="4620" max="4620" width="29.85546875" style="642" bestFit="1" customWidth="1"/>
    <col min="4621" max="4621" width="7.85546875" style="642" customWidth="1"/>
    <col min="4622" max="4622" width="18.28515625" style="642" customWidth="1"/>
    <col min="4623" max="4624" width="0" style="642" hidden="1" customWidth="1"/>
    <col min="4625" max="4625" width="16.85546875" style="642" bestFit="1" customWidth="1"/>
    <col min="4626" max="4626" width="9.85546875" style="642" customWidth="1"/>
    <col min="4627" max="4627" width="16.85546875" style="642" bestFit="1" customWidth="1"/>
    <col min="4628" max="4628" width="18.28515625" style="642" bestFit="1" customWidth="1"/>
    <col min="4629" max="4629" width="0" style="642" hidden="1" customWidth="1"/>
    <col min="4630" max="4630" width="1.7109375" style="642" customWidth="1"/>
    <col min="4631" max="4638" width="0" style="642" hidden="1" customWidth="1"/>
    <col min="4639" max="4639" width="9.140625" style="642"/>
    <col min="4640" max="4640" width="16.42578125" style="642" bestFit="1" customWidth="1"/>
    <col min="4641" max="4873" width="9.140625" style="642"/>
    <col min="4874" max="4874" width="1.7109375" style="642" customWidth="1"/>
    <col min="4875" max="4875" width="5.7109375" style="642" customWidth="1"/>
    <col min="4876" max="4876" width="29.85546875" style="642" bestFit="1" customWidth="1"/>
    <col min="4877" max="4877" width="7.85546875" style="642" customWidth="1"/>
    <col min="4878" max="4878" width="18.28515625" style="642" customWidth="1"/>
    <col min="4879" max="4880" width="0" style="642" hidden="1" customWidth="1"/>
    <col min="4881" max="4881" width="16.85546875" style="642" bestFit="1" customWidth="1"/>
    <col min="4882" max="4882" width="9.85546875" style="642" customWidth="1"/>
    <col min="4883" max="4883" width="16.85546875" style="642" bestFit="1" customWidth="1"/>
    <col min="4884" max="4884" width="18.28515625" style="642" bestFit="1" customWidth="1"/>
    <col min="4885" max="4885" width="0" style="642" hidden="1" customWidth="1"/>
    <col min="4886" max="4886" width="1.7109375" style="642" customWidth="1"/>
    <col min="4887" max="4894" width="0" style="642" hidden="1" customWidth="1"/>
    <col min="4895" max="4895" width="9.140625" style="642"/>
    <col min="4896" max="4896" width="16.42578125" style="642" bestFit="1" customWidth="1"/>
    <col min="4897" max="5129" width="9.140625" style="642"/>
    <col min="5130" max="5130" width="1.7109375" style="642" customWidth="1"/>
    <col min="5131" max="5131" width="5.7109375" style="642" customWidth="1"/>
    <col min="5132" max="5132" width="29.85546875" style="642" bestFit="1" customWidth="1"/>
    <col min="5133" max="5133" width="7.85546875" style="642" customWidth="1"/>
    <col min="5134" max="5134" width="18.28515625" style="642" customWidth="1"/>
    <col min="5135" max="5136" width="0" style="642" hidden="1" customWidth="1"/>
    <col min="5137" max="5137" width="16.85546875" style="642" bestFit="1" customWidth="1"/>
    <col min="5138" max="5138" width="9.85546875" style="642" customWidth="1"/>
    <col min="5139" max="5139" width="16.85546875" style="642" bestFit="1" customWidth="1"/>
    <col min="5140" max="5140" width="18.28515625" style="642" bestFit="1" customWidth="1"/>
    <col min="5141" max="5141" width="0" style="642" hidden="1" customWidth="1"/>
    <col min="5142" max="5142" width="1.7109375" style="642" customWidth="1"/>
    <col min="5143" max="5150" width="0" style="642" hidden="1" customWidth="1"/>
    <col min="5151" max="5151" width="9.140625" style="642"/>
    <col min="5152" max="5152" width="16.42578125" style="642" bestFit="1" customWidth="1"/>
    <col min="5153" max="5385" width="9.140625" style="642"/>
    <col min="5386" max="5386" width="1.7109375" style="642" customWidth="1"/>
    <col min="5387" max="5387" width="5.7109375" style="642" customWidth="1"/>
    <col min="5388" max="5388" width="29.85546875" style="642" bestFit="1" customWidth="1"/>
    <col min="5389" max="5389" width="7.85546875" style="642" customWidth="1"/>
    <col min="5390" max="5390" width="18.28515625" style="642" customWidth="1"/>
    <col min="5391" max="5392" width="0" style="642" hidden="1" customWidth="1"/>
    <col min="5393" max="5393" width="16.85546875" style="642" bestFit="1" customWidth="1"/>
    <col min="5394" max="5394" width="9.85546875" style="642" customWidth="1"/>
    <col min="5395" max="5395" width="16.85546875" style="642" bestFit="1" customWidth="1"/>
    <col min="5396" max="5396" width="18.28515625" style="642" bestFit="1" customWidth="1"/>
    <col min="5397" max="5397" width="0" style="642" hidden="1" customWidth="1"/>
    <col min="5398" max="5398" width="1.7109375" style="642" customWidth="1"/>
    <col min="5399" max="5406" width="0" style="642" hidden="1" customWidth="1"/>
    <col min="5407" max="5407" width="9.140625" style="642"/>
    <col min="5408" max="5408" width="16.42578125" style="642" bestFit="1" customWidth="1"/>
    <col min="5409" max="5641" width="9.140625" style="642"/>
    <col min="5642" max="5642" width="1.7109375" style="642" customWidth="1"/>
    <col min="5643" max="5643" width="5.7109375" style="642" customWidth="1"/>
    <col min="5644" max="5644" width="29.85546875" style="642" bestFit="1" customWidth="1"/>
    <col min="5645" max="5645" width="7.85546875" style="642" customWidth="1"/>
    <col min="5646" max="5646" width="18.28515625" style="642" customWidth="1"/>
    <col min="5647" max="5648" width="0" style="642" hidden="1" customWidth="1"/>
    <col min="5649" max="5649" width="16.85546875" style="642" bestFit="1" customWidth="1"/>
    <col min="5650" max="5650" width="9.85546875" style="642" customWidth="1"/>
    <col min="5651" max="5651" width="16.85546875" style="642" bestFit="1" customWidth="1"/>
    <col min="5652" max="5652" width="18.28515625" style="642" bestFit="1" customWidth="1"/>
    <col min="5653" max="5653" width="0" style="642" hidden="1" customWidth="1"/>
    <col min="5654" max="5654" width="1.7109375" style="642" customWidth="1"/>
    <col min="5655" max="5662" width="0" style="642" hidden="1" customWidth="1"/>
    <col min="5663" max="5663" width="9.140625" style="642"/>
    <col min="5664" max="5664" width="16.42578125" style="642" bestFit="1" customWidth="1"/>
    <col min="5665" max="5897" width="9.140625" style="642"/>
    <col min="5898" max="5898" width="1.7109375" style="642" customWidth="1"/>
    <col min="5899" max="5899" width="5.7109375" style="642" customWidth="1"/>
    <col min="5900" max="5900" width="29.85546875" style="642" bestFit="1" customWidth="1"/>
    <col min="5901" max="5901" width="7.85546875" style="642" customWidth="1"/>
    <col min="5902" max="5902" width="18.28515625" style="642" customWidth="1"/>
    <col min="5903" max="5904" width="0" style="642" hidden="1" customWidth="1"/>
    <col min="5905" max="5905" width="16.85546875" style="642" bestFit="1" customWidth="1"/>
    <col min="5906" max="5906" width="9.85546875" style="642" customWidth="1"/>
    <col min="5907" max="5907" width="16.85546875" style="642" bestFit="1" customWidth="1"/>
    <col min="5908" max="5908" width="18.28515625" style="642" bestFit="1" customWidth="1"/>
    <col min="5909" max="5909" width="0" style="642" hidden="1" customWidth="1"/>
    <col min="5910" max="5910" width="1.7109375" style="642" customWidth="1"/>
    <col min="5911" max="5918" width="0" style="642" hidden="1" customWidth="1"/>
    <col min="5919" max="5919" width="9.140625" style="642"/>
    <col min="5920" max="5920" width="16.42578125" style="642" bestFit="1" customWidth="1"/>
    <col min="5921" max="6153" width="9.140625" style="642"/>
    <col min="6154" max="6154" width="1.7109375" style="642" customWidth="1"/>
    <col min="6155" max="6155" width="5.7109375" style="642" customWidth="1"/>
    <col min="6156" max="6156" width="29.85546875" style="642" bestFit="1" customWidth="1"/>
    <col min="6157" max="6157" width="7.85546875" style="642" customWidth="1"/>
    <col min="6158" max="6158" width="18.28515625" style="642" customWidth="1"/>
    <col min="6159" max="6160" width="0" style="642" hidden="1" customWidth="1"/>
    <col min="6161" max="6161" width="16.85546875" style="642" bestFit="1" customWidth="1"/>
    <col min="6162" max="6162" width="9.85546875" style="642" customWidth="1"/>
    <col min="6163" max="6163" width="16.85546875" style="642" bestFit="1" customWidth="1"/>
    <col min="6164" max="6164" width="18.28515625" style="642" bestFit="1" customWidth="1"/>
    <col min="6165" max="6165" width="0" style="642" hidden="1" customWidth="1"/>
    <col min="6166" max="6166" width="1.7109375" style="642" customWidth="1"/>
    <col min="6167" max="6174" width="0" style="642" hidden="1" customWidth="1"/>
    <col min="6175" max="6175" width="9.140625" style="642"/>
    <col min="6176" max="6176" width="16.42578125" style="642" bestFit="1" customWidth="1"/>
    <col min="6177" max="6409" width="9.140625" style="642"/>
    <col min="6410" max="6410" width="1.7109375" style="642" customWidth="1"/>
    <col min="6411" max="6411" width="5.7109375" style="642" customWidth="1"/>
    <col min="6412" max="6412" width="29.85546875" style="642" bestFit="1" customWidth="1"/>
    <col min="6413" max="6413" width="7.85546875" style="642" customWidth="1"/>
    <col min="6414" max="6414" width="18.28515625" style="642" customWidth="1"/>
    <col min="6415" max="6416" width="0" style="642" hidden="1" customWidth="1"/>
    <col min="6417" max="6417" width="16.85546875" style="642" bestFit="1" customWidth="1"/>
    <col min="6418" max="6418" width="9.85546875" style="642" customWidth="1"/>
    <col min="6419" max="6419" width="16.85546875" style="642" bestFit="1" customWidth="1"/>
    <col min="6420" max="6420" width="18.28515625" style="642" bestFit="1" customWidth="1"/>
    <col min="6421" max="6421" width="0" style="642" hidden="1" customWidth="1"/>
    <col min="6422" max="6422" width="1.7109375" style="642" customWidth="1"/>
    <col min="6423" max="6430" width="0" style="642" hidden="1" customWidth="1"/>
    <col min="6431" max="6431" width="9.140625" style="642"/>
    <col min="6432" max="6432" width="16.42578125" style="642" bestFit="1" customWidth="1"/>
    <col min="6433" max="6665" width="9.140625" style="642"/>
    <col min="6666" max="6666" width="1.7109375" style="642" customWidth="1"/>
    <col min="6667" max="6667" width="5.7109375" style="642" customWidth="1"/>
    <col min="6668" max="6668" width="29.85546875" style="642" bestFit="1" customWidth="1"/>
    <col min="6669" max="6669" width="7.85546875" style="642" customWidth="1"/>
    <col min="6670" max="6670" width="18.28515625" style="642" customWidth="1"/>
    <col min="6671" max="6672" width="0" style="642" hidden="1" customWidth="1"/>
    <col min="6673" max="6673" width="16.85546875" style="642" bestFit="1" customWidth="1"/>
    <col min="6674" max="6674" width="9.85546875" style="642" customWidth="1"/>
    <col min="6675" max="6675" width="16.85546875" style="642" bestFit="1" customWidth="1"/>
    <col min="6676" max="6676" width="18.28515625" style="642" bestFit="1" customWidth="1"/>
    <col min="6677" max="6677" width="0" style="642" hidden="1" customWidth="1"/>
    <col min="6678" max="6678" width="1.7109375" style="642" customWidth="1"/>
    <col min="6679" max="6686" width="0" style="642" hidden="1" customWidth="1"/>
    <col min="6687" max="6687" width="9.140625" style="642"/>
    <col min="6688" max="6688" width="16.42578125" style="642" bestFit="1" customWidth="1"/>
    <col min="6689" max="6921" width="9.140625" style="642"/>
    <col min="6922" max="6922" width="1.7109375" style="642" customWidth="1"/>
    <col min="6923" max="6923" width="5.7109375" style="642" customWidth="1"/>
    <col min="6924" max="6924" width="29.85546875" style="642" bestFit="1" customWidth="1"/>
    <col min="6925" max="6925" width="7.85546875" style="642" customWidth="1"/>
    <col min="6926" max="6926" width="18.28515625" style="642" customWidth="1"/>
    <col min="6927" max="6928" width="0" style="642" hidden="1" customWidth="1"/>
    <col min="6929" max="6929" width="16.85546875" style="642" bestFit="1" customWidth="1"/>
    <col min="6930" max="6930" width="9.85546875" style="642" customWidth="1"/>
    <col min="6931" max="6931" width="16.85546875" style="642" bestFit="1" customWidth="1"/>
    <col min="6932" max="6932" width="18.28515625" style="642" bestFit="1" customWidth="1"/>
    <col min="6933" max="6933" width="0" style="642" hidden="1" customWidth="1"/>
    <col min="6934" max="6934" width="1.7109375" style="642" customWidth="1"/>
    <col min="6935" max="6942" width="0" style="642" hidden="1" customWidth="1"/>
    <col min="6943" max="6943" width="9.140625" style="642"/>
    <col min="6944" max="6944" width="16.42578125" style="642" bestFit="1" customWidth="1"/>
    <col min="6945" max="7177" width="9.140625" style="642"/>
    <col min="7178" max="7178" width="1.7109375" style="642" customWidth="1"/>
    <col min="7179" max="7179" width="5.7109375" style="642" customWidth="1"/>
    <col min="7180" max="7180" width="29.85546875" style="642" bestFit="1" customWidth="1"/>
    <col min="7181" max="7181" width="7.85546875" style="642" customWidth="1"/>
    <col min="7182" max="7182" width="18.28515625" style="642" customWidth="1"/>
    <col min="7183" max="7184" width="0" style="642" hidden="1" customWidth="1"/>
    <col min="7185" max="7185" width="16.85546875" style="642" bestFit="1" customWidth="1"/>
    <col min="7186" max="7186" width="9.85546875" style="642" customWidth="1"/>
    <col min="7187" max="7187" width="16.85546875" style="642" bestFit="1" customWidth="1"/>
    <col min="7188" max="7188" width="18.28515625" style="642" bestFit="1" customWidth="1"/>
    <col min="7189" max="7189" width="0" style="642" hidden="1" customWidth="1"/>
    <col min="7190" max="7190" width="1.7109375" style="642" customWidth="1"/>
    <col min="7191" max="7198" width="0" style="642" hidden="1" customWidth="1"/>
    <col min="7199" max="7199" width="9.140625" style="642"/>
    <col min="7200" max="7200" width="16.42578125" style="642" bestFit="1" customWidth="1"/>
    <col min="7201" max="7433" width="9.140625" style="642"/>
    <col min="7434" max="7434" width="1.7109375" style="642" customWidth="1"/>
    <col min="7435" max="7435" width="5.7109375" style="642" customWidth="1"/>
    <col min="7436" max="7436" width="29.85546875" style="642" bestFit="1" customWidth="1"/>
    <col min="7437" max="7437" width="7.85546875" style="642" customWidth="1"/>
    <col min="7438" max="7438" width="18.28515625" style="642" customWidth="1"/>
    <col min="7439" max="7440" width="0" style="642" hidden="1" customWidth="1"/>
    <col min="7441" max="7441" width="16.85546875" style="642" bestFit="1" customWidth="1"/>
    <col min="7442" max="7442" width="9.85546875" style="642" customWidth="1"/>
    <col min="7443" max="7443" width="16.85546875" style="642" bestFit="1" customWidth="1"/>
    <col min="7444" max="7444" width="18.28515625" style="642" bestFit="1" customWidth="1"/>
    <col min="7445" max="7445" width="0" style="642" hidden="1" customWidth="1"/>
    <col min="7446" max="7446" width="1.7109375" style="642" customWidth="1"/>
    <col min="7447" max="7454" width="0" style="642" hidden="1" customWidth="1"/>
    <col min="7455" max="7455" width="9.140625" style="642"/>
    <col min="7456" max="7456" width="16.42578125" style="642" bestFit="1" customWidth="1"/>
    <col min="7457" max="7689" width="9.140625" style="642"/>
    <col min="7690" max="7690" width="1.7109375" style="642" customWidth="1"/>
    <col min="7691" max="7691" width="5.7109375" style="642" customWidth="1"/>
    <col min="7692" max="7692" width="29.85546875" style="642" bestFit="1" customWidth="1"/>
    <col min="7693" max="7693" width="7.85546875" style="642" customWidth="1"/>
    <col min="7694" max="7694" width="18.28515625" style="642" customWidth="1"/>
    <col min="7695" max="7696" width="0" style="642" hidden="1" customWidth="1"/>
    <col min="7697" max="7697" width="16.85546875" style="642" bestFit="1" customWidth="1"/>
    <col min="7698" max="7698" width="9.85546875" style="642" customWidth="1"/>
    <col min="7699" max="7699" width="16.85546875" style="642" bestFit="1" customWidth="1"/>
    <col min="7700" max="7700" width="18.28515625" style="642" bestFit="1" customWidth="1"/>
    <col min="7701" max="7701" width="0" style="642" hidden="1" customWidth="1"/>
    <col min="7702" max="7702" width="1.7109375" style="642" customWidth="1"/>
    <col min="7703" max="7710" width="0" style="642" hidden="1" customWidth="1"/>
    <col min="7711" max="7711" width="9.140625" style="642"/>
    <col min="7712" max="7712" width="16.42578125" style="642" bestFit="1" customWidth="1"/>
    <col min="7713" max="7945" width="9.140625" style="642"/>
    <col min="7946" max="7946" width="1.7109375" style="642" customWidth="1"/>
    <col min="7947" max="7947" width="5.7109375" style="642" customWidth="1"/>
    <col min="7948" max="7948" width="29.85546875" style="642" bestFit="1" customWidth="1"/>
    <col min="7949" max="7949" width="7.85546875" style="642" customWidth="1"/>
    <col min="7950" max="7950" width="18.28515625" style="642" customWidth="1"/>
    <col min="7951" max="7952" width="0" style="642" hidden="1" customWidth="1"/>
    <col min="7953" max="7953" width="16.85546875" style="642" bestFit="1" customWidth="1"/>
    <col min="7954" max="7954" width="9.85546875" style="642" customWidth="1"/>
    <col min="7955" max="7955" width="16.85546875" style="642" bestFit="1" customWidth="1"/>
    <col min="7956" max="7956" width="18.28515625" style="642" bestFit="1" customWidth="1"/>
    <col min="7957" max="7957" width="0" style="642" hidden="1" customWidth="1"/>
    <col min="7958" max="7958" width="1.7109375" style="642" customWidth="1"/>
    <col min="7959" max="7966" width="0" style="642" hidden="1" customWidth="1"/>
    <col min="7967" max="7967" width="9.140625" style="642"/>
    <col min="7968" max="7968" width="16.42578125" style="642" bestFit="1" customWidth="1"/>
    <col min="7969" max="8201" width="9.140625" style="642"/>
    <col min="8202" max="8202" width="1.7109375" style="642" customWidth="1"/>
    <col min="8203" max="8203" width="5.7109375" style="642" customWidth="1"/>
    <col min="8204" max="8204" width="29.85546875" style="642" bestFit="1" customWidth="1"/>
    <col min="8205" max="8205" width="7.85546875" style="642" customWidth="1"/>
    <col min="8206" max="8206" width="18.28515625" style="642" customWidth="1"/>
    <col min="8207" max="8208" width="0" style="642" hidden="1" customWidth="1"/>
    <col min="8209" max="8209" width="16.85546875" style="642" bestFit="1" customWidth="1"/>
    <col min="8210" max="8210" width="9.85546875" style="642" customWidth="1"/>
    <col min="8211" max="8211" width="16.85546875" style="642" bestFit="1" customWidth="1"/>
    <col min="8212" max="8212" width="18.28515625" style="642" bestFit="1" customWidth="1"/>
    <col min="8213" max="8213" width="0" style="642" hidden="1" customWidth="1"/>
    <col min="8214" max="8214" width="1.7109375" style="642" customWidth="1"/>
    <col min="8215" max="8222" width="0" style="642" hidden="1" customWidth="1"/>
    <col min="8223" max="8223" width="9.140625" style="642"/>
    <col min="8224" max="8224" width="16.42578125" style="642" bestFit="1" customWidth="1"/>
    <col min="8225" max="8457" width="9.140625" style="642"/>
    <col min="8458" max="8458" width="1.7109375" style="642" customWidth="1"/>
    <col min="8459" max="8459" width="5.7109375" style="642" customWidth="1"/>
    <col min="8460" max="8460" width="29.85546875" style="642" bestFit="1" customWidth="1"/>
    <col min="8461" max="8461" width="7.85546875" style="642" customWidth="1"/>
    <col min="8462" max="8462" width="18.28515625" style="642" customWidth="1"/>
    <col min="8463" max="8464" width="0" style="642" hidden="1" customWidth="1"/>
    <col min="8465" max="8465" width="16.85546875" style="642" bestFit="1" customWidth="1"/>
    <col min="8466" max="8466" width="9.85546875" style="642" customWidth="1"/>
    <col min="8467" max="8467" width="16.85546875" style="642" bestFit="1" customWidth="1"/>
    <col min="8468" max="8468" width="18.28515625" style="642" bestFit="1" customWidth="1"/>
    <col min="8469" max="8469" width="0" style="642" hidden="1" customWidth="1"/>
    <col min="8470" max="8470" width="1.7109375" style="642" customWidth="1"/>
    <col min="8471" max="8478" width="0" style="642" hidden="1" customWidth="1"/>
    <col min="8479" max="8479" width="9.140625" style="642"/>
    <col min="8480" max="8480" width="16.42578125" style="642" bestFit="1" customWidth="1"/>
    <col min="8481" max="8713" width="9.140625" style="642"/>
    <col min="8714" max="8714" width="1.7109375" style="642" customWidth="1"/>
    <col min="8715" max="8715" width="5.7109375" style="642" customWidth="1"/>
    <col min="8716" max="8716" width="29.85546875" style="642" bestFit="1" customWidth="1"/>
    <col min="8717" max="8717" width="7.85546875" style="642" customWidth="1"/>
    <col min="8718" max="8718" width="18.28515625" style="642" customWidth="1"/>
    <col min="8719" max="8720" width="0" style="642" hidden="1" customWidth="1"/>
    <col min="8721" max="8721" width="16.85546875" style="642" bestFit="1" customWidth="1"/>
    <col min="8722" max="8722" width="9.85546875" style="642" customWidth="1"/>
    <col min="8723" max="8723" width="16.85546875" style="642" bestFit="1" customWidth="1"/>
    <col min="8724" max="8724" width="18.28515625" style="642" bestFit="1" customWidth="1"/>
    <col min="8725" max="8725" width="0" style="642" hidden="1" customWidth="1"/>
    <col min="8726" max="8726" width="1.7109375" style="642" customWidth="1"/>
    <col min="8727" max="8734" width="0" style="642" hidden="1" customWidth="1"/>
    <col min="8735" max="8735" width="9.140625" style="642"/>
    <col min="8736" max="8736" width="16.42578125" style="642" bestFit="1" customWidth="1"/>
    <col min="8737" max="8969" width="9.140625" style="642"/>
    <col min="8970" max="8970" width="1.7109375" style="642" customWidth="1"/>
    <col min="8971" max="8971" width="5.7109375" style="642" customWidth="1"/>
    <col min="8972" max="8972" width="29.85546875" style="642" bestFit="1" customWidth="1"/>
    <col min="8973" max="8973" width="7.85546875" style="642" customWidth="1"/>
    <col min="8974" max="8974" width="18.28515625" style="642" customWidth="1"/>
    <col min="8975" max="8976" width="0" style="642" hidden="1" customWidth="1"/>
    <col min="8977" max="8977" width="16.85546875" style="642" bestFit="1" customWidth="1"/>
    <col min="8978" max="8978" width="9.85546875" style="642" customWidth="1"/>
    <col min="8979" max="8979" width="16.85546875" style="642" bestFit="1" customWidth="1"/>
    <col min="8980" max="8980" width="18.28515625" style="642" bestFit="1" customWidth="1"/>
    <col min="8981" max="8981" width="0" style="642" hidden="1" customWidth="1"/>
    <col min="8982" max="8982" width="1.7109375" style="642" customWidth="1"/>
    <col min="8983" max="8990" width="0" style="642" hidden="1" customWidth="1"/>
    <col min="8991" max="8991" width="9.140625" style="642"/>
    <col min="8992" max="8992" width="16.42578125" style="642" bestFit="1" customWidth="1"/>
    <col min="8993" max="9225" width="9.140625" style="642"/>
    <col min="9226" max="9226" width="1.7109375" style="642" customWidth="1"/>
    <col min="9227" max="9227" width="5.7109375" style="642" customWidth="1"/>
    <col min="9228" max="9228" width="29.85546875" style="642" bestFit="1" customWidth="1"/>
    <col min="9229" max="9229" width="7.85546875" style="642" customWidth="1"/>
    <col min="9230" max="9230" width="18.28515625" style="642" customWidth="1"/>
    <col min="9231" max="9232" width="0" style="642" hidden="1" customWidth="1"/>
    <col min="9233" max="9233" width="16.85546875" style="642" bestFit="1" customWidth="1"/>
    <col min="9234" max="9234" width="9.85546875" style="642" customWidth="1"/>
    <col min="9235" max="9235" width="16.85546875" style="642" bestFit="1" customWidth="1"/>
    <col min="9236" max="9236" width="18.28515625" style="642" bestFit="1" customWidth="1"/>
    <col min="9237" max="9237" width="0" style="642" hidden="1" customWidth="1"/>
    <col min="9238" max="9238" width="1.7109375" style="642" customWidth="1"/>
    <col min="9239" max="9246" width="0" style="642" hidden="1" customWidth="1"/>
    <col min="9247" max="9247" width="9.140625" style="642"/>
    <col min="9248" max="9248" width="16.42578125" style="642" bestFit="1" customWidth="1"/>
    <col min="9249" max="9481" width="9.140625" style="642"/>
    <col min="9482" max="9482" width="1.7109375" style="642" customWidth="1"/>
    <col min="9483" max="9483" width="5.7109375" style="642" customWidth="1"/>
    <col min="9484" max="9484" width="29.85546875" style="642" bestFit="1" customWidth="1"/>
    <col min="9485" max="9485" width="7.85546875" style="642" customWidth="1"/>
    <col min="9486" max="9486" width="18.28515625" style="642" customWidth="1"/>
    <col min="9487" max="9488" width="0" style="642" hidden="1" customWidth="1"/>
    <col min="9489" max="9489" width="16.85546875" style="642" bestFit="1" customWidth="1"/>
    <col min="9490" max="9490" width="9.85546875" style="642" customWidth="1"/>
    <col min="9491" max="9491" width="16.85546875" style="642" bestFit="1" customWidth="1"/>
    <col min="9492" max="9492" width="18.28515625" style="642" bestFit="1" customWidth="1"/>
    <col min="9493" max="9493" width="0" style="642" hidden="1" customWidth="1"/>
    <col min="9494" max="9494" width="1.7109375" style="642" customWidth="1"/>
    <col min="9495" max="9502" width="0" style="642" hidden="1" customWidth="1"/>
    <col min="9503" max="9503" width="9.140625" style="642"/>
    <col min="9504" max="9504" width="16.42578125" style="642" bestFit="1" customWidth="1"/>
    <col min="9505" max="9737" width="9.140625" style="642"/>
    <col min="9738" max="9738" width="1.7109375" style="642" customWidth="1"/>
    <col min="9739" max="9739" width="5.7109375" style="642" customWidth="1"/>
    <col min="9740" max="9740" width="29.85546875" style="642" bestFit="1" customWidth="1"/>
    <col min="9741" max="9741" width="7.85546875" style="642" customWidth="1"/>
    <col min="9742" max="9742" width="18.28515625" style="642" customWidth="1"/>
    <col min="9743" max="9744" width="0" style="642" hidden="1" customWidth="1"/>
    <col min="9745" max="9745" width="16.85546875" style="642" bestFit="1" customWidth="1"/>
    <col min="9746" max="9746" width="9.85546875" style="642" customWidth="1"/>
    <col min="9747" max="9747" width="16.85546875" style="642" bestFit="1" customWidth="1"/>
    <col min="9748" max="9748" width="18.28515625" style="642" bestFit="1" customWidth="1"/>
    <col min="9749" max="9749" width="0" style="642" hidden="1" customWidth="1"/>
    <col min="9750" max="9750" width="1.7109375" style="642" customWidth="1"/>
    <col min="9751" max="9758" width="0" style="642" hidden="1" customWidth="1"/>
    <col min="9759" max="9759" width="9.140625" style="642"/>
    <col min="9760" max="9760" width="16.42578125" style="642" bestFit="1" customWidth="1"/>
    <col min="9761" max="9993" width="9.140625" style="642"/>
    <col min="9994" max="9994" width="1.7109375" style="642" customWidth="1"/>
    <col min="9995" max="9995" width="5.7109375" style="642" customWidth="1"/>
    <col min="9996" max="9996" width="29.85546875" style="642" bestFit="1" customWidth="1"/>
    <col min="9997" max="9997" width="7.85546875" style="642" customWidth="1"/>
    <col min="9998" max="9998" width="18.28515625" style="642" customWidth="1"/>
    <col min="9999" max="10000" width="0" style="642" hidden="1" customWidth="1"/>
    <col min="10001" max="10001" width="16.85546875" style="642" bestFit="1" customWidth="1"/>
    <col min="10002" max="10002" width="9.85546875" style="642" customWidth="1"/>
    <col min="10003" max="10003" width="16.85546875" style="642" bestFit="1" customWidth="1"/>
    <col min="10004" max="10004" width="18.28515625" style="642" bestFit="1" customWidth="1"/>
    <col min="10005" max="10005" width="0" style="642" hidden="1" customWidth="1"/>
    <col min="10006" max="10006" width="1.7109375" style="642" customWidth="1"/>
    <col min="10007" max="10014" width="0" style="642" hidden="1" customWidth="1"/>
    <col min="10015" max="10015" width="9.140625" style="642"/>
    <col min="10016" max="10016" width="16.42578125" style="642" bestFit="1" customWidth="1"/>
    <col min="10017" max="10249" width="9.140625" style="642"/>
    <col min="10250" max="10250" width="1.7109375" style="642" customWidth="1"/>
    <col min="10251" max="10251" width="5.7109375" style="642" customWidth="1"/>
    <col min="10252" max="10252" width="29.85546875" style="642" bestFit="1" customWidth="1"/>
    <col min="10253" max="10253" width="7.85546875" style="642" customWidth="1"/>
    <col min="10254" max="10254" width="18.28515625" style="642" customWidth="1"/>
    <col min="10255" max="10256" width="0" style="642" hidden="1" customWidth="1"/>
    <col min="10257" max="10257" width="16.85546875" style="642" bestFit="1" customWidth="1"/>
    <col min="10258" max="10258" width="9.85546875" style="642" customWidth="1"/>
    <col min="10259" max="10259" width="16.85546875" style="642" bestFit="1" customWidth="1"/>
    <col min="10260" max="10260" width="18.28515625" style="642" bestFit="1" customWidth="1"/>
    <col min="10261" max="10261" width="0" style="642" hidden="1" customWidth="1"/>
    <col min="10262" max="10262" width="1.7109375" style="642" customWidth="1"/>
    <col min="10263" max="10270" width="0" style="642" hidden="1" customWidth="1"/>
    <col min="10271" max="10271" width="9.140625" style="642"/>
    <col min="10272" max="10272" width="16.42578125" style="642" bestFit="1" customWidth="1"/>
    <col min="10273" max="10505" width="9.140625" style="642"/>
    <col min="10506" max="10506" width="1.7109375" style="642" customWidth="1"/>
    <col min="10507" max="10507" width="5.7109375" style="642" customWidth="1"/>
    <col min="10508" max="10508" width="29.85546875" style="642" bestFit="1" customWidth="1"/>
    <col min="10509" max="10509" width="7.85546875" style="642" customWidth="1"/>
    <col min="10510" max="10510" width="18.28515625" style="642" customWidth="1"/>
    <col min="10511" max="10512" width="0" style="642" hidden="1" customWidth="1"/>
    <col min="10513" max="10513" width="16.85546875" style="642" bestFit="1" customWidth="1"/>
    <col min="10514" max="10514" width="9.85546875" style="642" customWidth="1"/>
    <col min="10515" max="10515" width="16.85546875" style="642" bestFit="1" customWidth="1"/>
    <col min="10516" max="10516" width="18.28515625" style="642" bestFit="1" customWidth="1"/>
    <col min="10517" max="10517" width="0" style="642" hidden="1" customWidth="1"/>
    <col min="10518" max="10518" width="1.7109375" style="642" customWidth="1"/>
    <col min="10519" max="10526" width="0" style="642" hidden="1" customWidth="1"/>
    <col min="10527" max="10527" width="9.140625" style="642"/>
    <col min="10528" max="10528" width="16.42578125" style="642" bestFit="1" customWidth="1"/>
    <col min="10529" max="10761" width="9.140625" style="642"/>
    <col min="10762" max="10762" width="1.7109375" style="642" customWidth="1"/>
    <col min="10763" max="10763" width="5.7109375" style="642" customWidth="1"/>
    <col min="10764" max="10764" width="29.85546875" style="642" bestFit="1" customWidth="1"/>
    <col min="10765" max="10765" width="7.85546875" style="642" customWidth="1"/>
    <col min="10766" max="10766" width="18.28515625" style="642" customWidth="1"/>
    <col min="10767" max="10768" width="0" style="642" hidden="1" customWidth="1"/>
    <col min="10769" max="10769" width="16.85546875" style="642" bestFit="1" customWidth="1"/>
    <col min="10770" max="10770" width="9.85546875" style="642" customWidth="1"/>
    <col min="10771" max="10771" width="16.85546875" style="642" bestFit="1" customWidth="1"/>
    <col min="10772" max="10772" width="18.28515625" style="642" bestFit="1" customWidth="1"/>
    <col min="10773" max="10773" width="0" style="642" hidden="1" customWidth="1"/>
    <col min="10774" max="10774" width="1.7109375" style="642" customWidth="1"/>
    <col min="10775" max="10782" width="0" style="642" hidden="1" customWidth="1"/>
    <col min="10783" max="10783" width="9.140625" style="642"/>
    <col min="10784" max="10784" width="16.42578125" style="642" bestFit="1" customWidth="1"/>
    <col min="10785" max="11017" width="9.140625" style="642"/>
    <col min="11018" max="11018" width="1.7109375" style="642" customWidth="1"/>
    <col min="11019" max="11019" width="5.7109375" style="642" customWidth="1"/>
    <col min="11020" max="11020" width="29.85546875" style="642" bestFit="1" customWidth="1"/>
    <col min="11021" max="11021" width="7.85546875" style="642" customWidth="1"/>
    <col min="11022" max="11022" width="18.28515625" style="642" customWidth="1"/>
    <col min="11023" max="11024" width="0" style="642" hidden="1" customWidth="1"/>
    <col min="11025" max="11025" width="16.85546875" style="642" bestFit="1" customWidth="1"/>
    <col min="11026" max="11026" width="9.85546875" style="642" customWidth="1"/>
    <col min="11027" max="11027" width="16.85546875" style="642" bestFit="1" customWidth="1"/>
    <col min="11028" max="11028" width="18.28515625" style="642" bestFit="1" customWidth="1"/>
    <col min="11029" max="11029" width="0" style="642" hidden="1" customWidth="1"/>
    <col min="11030" max="11030" width="1.7109375" style="642" customWidth="1"/>
    <col min="11031" max="11038" width="0" style="642" hidden="1" customWidth="1"/>
    <col min="11039" max="11039" width="9.140625" style="642"/>
    <col min="11040" max="11040" width="16.42578125" style="642" bestFit="1" customWidth="1"/>
    <col min="11041" max="11273" width="9.140625" style="642"/>
    <col min="11274" max="11274" width="1.7109375" style="642" customWidth="1"/>
    <col min="11275" max="11275" width="5.7109375" style="642" customWidth="1"/>
    <col min="11276" max="11276" width="29.85546875" style="642" bestFit="1" customWidth="1"/>
    <col min="11277" max="11277" width="7.85546875" style="642" customWidth="1"/>
    <col min="11278" max="11278" width="18.28515625" style="642" customWidth="1"/>
    <col min="11279" max="11280" width="0" style="642" hidden="1" customWidth="1"/>
    <col min="11281" max="11281" width="16.85546875" style="642" bestFit="1" customWidth="1"/>
    <col min="11282" max="11282" width="9.85546875" style="642" customWidth="1"/>
    <col min="11283" max="11283" width="16.85546875" style="642" bestFit="1" customWidth="1"/>
    <col min="11284" max="11284" width="18.28515625" style="642" bestFit="1" customWidth="1"/>
    <col min="11285" max="11285" width="0" style="642" hidden="1" customWidth="1"/>
    <col min="11286" max="11286" width="1.7109375" style="642" customWidth="1"/>
    <col min="11287" max="11294" width="0" style="642" hidden="1" customWidth="1"/>
    <col min="11295" max="11295" width="9.140625" style="642"/>
    <col min="11296" max="11296" width="16.42578125" style="642" bestFit="1" customWidth="1"/>
    <col min="11297" max="11529" width="9.140625" style="642"/>
    <col min="11530" max="11530" width="1.7109375" style="642" customWidth="1"/>
    <col min="11531" max="11531" width="5.7109375" style="642" customWidth="1"/>
    <col min="11532" max="11532" width="29.85546875" style="642" bestFit="1" customWidth="1"/>
    <col min="11533" max="11533" width="7.85546875" style="642" customWidth="1"/>
    <col min="11534" max="11534" width="18.28515625" style="642" customWidth="1"/>
    <col min="11535" max="11536" width="0" style="642" hidden="1" customWidth="1"/>
    <col min="11537" max="11537" width="16.85546875" style="642" bestFit="1" customWidth="1"/>
    <col min="11538" max="11538" width="9.85546875" style="642" customWidth="1"/>
    <col min="11539" max="11539" width="16.85546875" style="642" bestFit="1" customWidth="1"/>
    <col min="11540" max="11540" width="18.28515625" style="642" bestFit="1" customWidth="1"/>
    <col min="11541" max="11541" width="0" style="642" hidden="1" customWidth="1"/>
    <col min="11542" max="11542" width="1.7109375" style="642" customWidth="1"/>
    <col min="11543" max="11550" width="0" style="642" hidden="1" customWidth="1"/>
    <col min="11551" max="11551" width="9.140625" style="642"/>
    <col min="11552" max="11552" width="16.42578125" style="642" bestFit="1" customWidth="1"/>
    <col min="11553" max="11785" width="9.140625" style="642"/>
    <col min="11786" max="11786" width="1.7109375" style="642" customWidth="1"/>
    <col min="11787" max="11787" width="5.7109375" style="642" customWidth="1"/>
    <col min="11788" max="11788" width="29.85546875" style="642" bestFit="1" customWidth="1"/>
    <col min="11789" max="11789" width="7.85546875" style="642" customWidth="1"/>
    <col min="11790" max="11790" width="18.28515625" style="642" customWidth="1"/>
    <col min="11791" max="11792" width="0" style="642" hidden="1" customWidth="1"/>
    <col min="11793" max="11793" width="16.85546875" style="642" bestFit="1" customWidth="1"/>
    <col min="11794" max="11794" width="9.85546875" style="642" customWidth="1"/>
    <col min="11795" max="11795" width="16.85546875" style="642" bestFit="1" customWidth="1"/>
    <col min="11796" max="11796" width="18.28515625" style="642" bestFit="1" customWidth="1"/>
    <col min="11797" max="11797" width="0" style="642" hidden="1" customWidth="1"/>
    <col min="11798" max="11798" width="1.7109375" style="642" customWidth="1"/>
    <col min="11799" max="11806" width="0" style="642" hidden="1" customWidth="1"/>
    <col min="11807" max="11807" width="9.140625" style="642"/>
    <col min="11808" max="11808" width="16.42578125" style="642" bestFit="1" customWidth="1"/>
    <col min="11809" max="12041" width="9.140625" style="642"/>
    <col min="12042" max="12042" width="1.7109375" style="642" customWidth="1"/>
    <col min="12043" max="12043" width="5.7109375" style="642" customWidth="1"/>
    <col min="12044" max="12044" width="29.85546875" style="642" bestFit="1" customWidth="1"/>
    <col min="12045" max="12045" width="7.85546875" style="642" customWidth="1"/>
    <col min="12046" max="12046" width="18.28515625" style="642" customWidth="1"/>
    <col min="12047" max="12048" width="0" style="642" hidden="1" customWidth="1"/>
    <col min="12049" max="12049" width="16.85546875" style="642" bestFit="1" customWidth="1"/>
    <col min="12050" max="12050" width="9.85546875" style="642" customWidth="1"/>
    <col min="12051" max="12051" width="16.85546875" style="642" bestFit="1" customWidth="1"/>
    <col min="12052" max="12052" width="18.28515625" style="642" bestFit="1" customWidth="1"/>
    <col min="12053" max="12053" width="0" style="642" hidden="1" customWidth="1"/>
    <col min="12054" max="12054" width="1.7109375" style="642" customWidth="1"/>
    <col min="12055" max="12062" width="0" style="642" hidden="1" customWidth="1"/>
    <col min="12063" max="12063" width="9.140625" style="642"/>
    <col min="12064" max="12064" width="16.42578125" style="642" bestFit="1" customWidth="1"/>
    <col min="12065" max="12297" width="9.140625" style="642"/>
    <col min="12298" max="12298" width="1.7109375" style="642" customWidth="1"/>
    <col min="12299" max="12299" width="5.7109375" style="642" customWidth="1"/>
    <col min="12300" max="12300" width="29.85546875" style="642" bestFit="1" customWidth="1"/>
    <col min="12301" max="12301" width="7.85546875" style="642" customWidth="1"/>
    <col min="12302" max="12302" width="18.28515625" style="642" customWidth="1"/>
    <col min="12303" max="12304" width="0" style="642" hidden="1" customWidth="1"/>
    <col min="12305" max="12305" width="16.85546875" style="642" bestFit="1" customWidth="1"/>
    <col min="12306" max="12306" width="9.85546875" style="642" customWidth="1"/>
    <col min="12307" max="12307" width="16.85546875" style="642" bestFit="1" customWidth="1"/>
    <col min="12308" max="12308" width="18.28515625" style="642" bestFit="1" customWidth="1"/>
    <col min="12309" max="12309" width="0" style="642" hidden="1" customWidth="1"/>
    <col min="12310" max="12310" width="1.7109375" style="642" customWidth="1"/>
    <col min="12311" max="12318" width="0" style="642" hidden="1" customWidth="1"/>
    <col min="12319" max="12319" width="9.140625" style="642"/>
    <col min="12320" max="12320" width="16.42578125" style="642" bestFit="1" customWidth="1"/>
    <col min="12321" max="12553" width="9.140625" style="642"/>
    <col min="12554" max="12554" width="1.7109375" style="642" customWidth="1"/>
    <col min="12555" max="12555" width="5.7109375" style="642" customWidth="1"/>
    <col min="12556" max="12556" width="29.85546875" style="642" bestFit="1" customWidth="1"/>
    <col min="12557" max="12557" width="7.85546875" style="642" customWidth="1"/>
    <col min="12558" max="12558" width="18.28515625" style="642" customWidth="1"/>
    <col min="12559" max="12560" width="0" style="642" hidden="1" customWidth="1"/>
    <col min="12561" max="12561" width="16.85546875" style="642" bestFit="1" customWidth="1"/>
    <col min="12562" max="12562" width="9.85546875" style="642" customWidth="1"/>
    <col min="12563" max="12563" width="16.85546875" style="642" bestFit="1" customWidth="1"/>
    <col min="12564" max="12564" width="18.28515625" style="642" bestFit="1" customWidth="1"/>
    <col min="12565" max="12565" width="0" style="642" hidden="1" customWidth="1"/>
    <col min="12566" max="12566" width="1.7109375" style="642" customWidth="1"/>
    <col min="12567" max="12574" width="0" style="642" hidden="1" customWidth="1"/>
    <col min="12575" max="12575" width="9.140625" style="642"/>
    <col min="12576" max="12576" width="16.42578125" style="642" bestFit="1" customWidth="1"/>
    <col min="12577" max="12809" width="9.140625" style="642"/>
    <col min="12810" max="12810" width="1.7109375" style="642" customWidth="1"/>
    <col min="12811" max="12811" width="5.7109375" style="642" customWidth="1"/>
    <col min="12812" max="12812" width="29.85546875" style="642" bestFit="1" customWidth="1"/>
    <col min="12813" max="12813" width="7.85546875" style="642" customWidth="1"/>
    <col min="12814" max="12814" width="18.28515625" style="642" customWidth="1"/>
    <col min="12815" max="12816" width="0" style="642" hidden="1" customWidth="1"/>
    <col min="12817" max="12817" width="16.85546875" style="642" bestFit="1" customWidth="1"/>
    <col min="12818" max="12818" width="9.85546875" style="642" customWidth="1"/>
    <col min="12819" max="12819" width="16.85546875" style="642" bestFit="1" customWidth="1"/>
    <col min="12820" max="12820" width="18.28515625" style="642" bestFit="1" customWidth="1"/>
    <col min="12821" max="12821" width="0" style="642" hidden="1" customWidth="1"/>
    <col min="12822" max="12822" width="1.7109375" style="642" customWidth="1"/>
    <col min="12823" max="12830" width="0" style="642" hidden="1" customWidth="1"/>
    <col min="12831" max="12831" width="9.140625" style="642"/>
    <col min="12832" max="12832" width="16.42578125" style="642" bestFit="1" customWidth="1"/>
    <col min="12833" max="13065" width="9.140625" style="642"/>
    <col min="13066" max="13066" width="1.7109375" style="642" customWidth="1"/>
    <col min="13067" max="13067" width="5.7109375" style="642" customWidth="1"/>
    <col min="13068" max="13068" width="29.85546875" style="642" bestFit="1" customWidth="1"/>
    <col min="13069" max="13069" width="7.85546875" style="642" customWidth="1"/>
    <col min="13070" max="13070" width="18.28515625" style="642" customWidth="1"/>
    <col min="13071" max="13072" width="0" style="642" hidden="1" customWidth="1"/>
    <col min="13073" max="13073" width="16.85546875" style="642" bestFit="1" customWidth="1"/>
    <col min="13074" max="13074" width="9.85546875" style="642" customWidth="1"/>
    <col min="13075" max="13075" width="16.85546875" style="642" bestFit="1" customWidth="1"/>
    <col min="13076" max="13076" width="18.28515625" style="642" bestFit="1" customWidth="1"/>
    <col min="13077" max="13077" width="0" style="642" hidden="1" customWidth="1"/>
    <col min="13078" max="13078" width="1.7109375" style="642" customWidth="1"/>
    <col min="13079" max="13086" width="0" style="642" hidden="1" customWidth="1"/>
    <col min="13087" max="13087" width="9.140625" style="642"/>
    <col min="13088" max="13088" width="16.42578125" style="642" bestFit="1" customWidth="1"/>
    <col min="13089" max="13321" width="9.140625" style="642"/>
    <col min="13322" max="13322" width="1.7109375" style="642" customWidth="1"/>
    <col min="13323" max="13323" width="5.7109375" style="642" customWidth="1"/>
    <col min="13324" max="13324" width="29.85546875" style="642" bestFit="1" customWidth="1"/>
    <col min="13325" max="13325" width="7.85546875" style="642" customWidth="1"/>
    <col min="13326" max="13326" width="18.28515625" style="642" customWidth="1"/>
    <col min="13327" max="13328" width="0" style="642" hidden="1" customWidth="1"/>
    <col min="13329" max="13329" width="16.85546875" style="642" bestFit="1" customWidth="1"/>
    <col min="13330" max="13330" width="9.85546875" style="642" customWidth="1"/>
    <col min="13331" max="13331" width="16.85546875" style="642" bestFit="1" customWidth="1"/>
    <col min="13332" max="13332" width="18.28515625" style="642" bestFit="1" customWidth="1"/>
    <col min="13333" max="13333" width="0" style="642" hidden="1" customWidth="1"/>
    <col min="13334" max="13334" width="1.7109375" style="642" customWidth="1"/>
    <col min="13335" max="13342" width="0" style="642" hidden="1" customWidth="1"/>
    <col min="13343" max="13343" width="9.140625" style="642"/>
    <col min="13344" max="13344" width="16.42578125" style="642" bestFit="1" customWidth="1"/>
    <col min="13345" max="13577" width="9.140625" style="642"/>
    <col min="13578" max="13578" width="1.7109375" style="642" customWidth="1"/>
    <col min="13579" max="13579" width="5.7109375" style="642" customWidth="1"/>
    <col min="13580" max="13580" width="29.85546875" style="642" bestFit="1" customWidth="1"/>
    <col min="13581" max="13581" width="7.85546875" style="642" customWidth="1"/>
    <col min="13582" max="13582" width="18.28515625" style="642" customWidth="1"/>
    <col min="13583" max="13584" width="0" style="642" hidden="1" customWidth="1"/>
    <col min="13585" max="13585" width="16.85546875" style="642" bestFit="1" customWidth="1"/>
    <col min="13586" max="13586" width="9.85546875" style="642" customWidth="1"/>
    <col min="13587" max="13587" width="16.85546875" style="642" bestFit="1" customWidth="1"/>
    <col min="13588" max="13588" width="18.28515625" style="642" bestFit="1" customWidth="1"/>
    <col min="13589" max="13589" width="0" style="642" hidden="1" customWidth="1"/>
    <col min="13590" max="13590" width="1.7109375" style="642" customWidth="1"/>
    <col min="13591" max="13598" width="0" style="642" hidden="1" customWidth="1"/>
    <col min="13599" max="13599" width="9.140625" style="642"/>
    <col min="13600" max="13600" width="16.42578125" style="642" bestFit="1" customWidth="1"/>
    <col min="13601" max="13833" width="9.140625" style="642"/>
    <col min="13834" max="13834" width="1.7109375" style="642" customWidth="1"/>
    <col min="13835" max="13835" width="5.7109375" style="642" customWidth="1"/>
    <col min="13836" max="13836" width="29.85546875" style="642" bestFit="1" customWidth="1"/>
    <col min="13837" max="13837" width="7.85546875" style="642" customWidth="1"/>
    <col min="13838" max="13838" width="18.28515625" style="642" customWidth="1"/>
    <col min="13839" max="13840" width="0" style="642" hidden="1" customWidth="1"/>
    <col min="13841" max="13841" width="16.85546875" style="642" bestFit="1" customWidth="1"/>
    <col min="13842" max="13842" width="9.85546875" style="642" customWidth="1"/>
    <col min="13843" max="13843" width="16.85546875" style="642" bestFit="1" customWidth="1"/>
    <col min="13844" max="13844" width="18.28515625" style="642" bestFit="1" customWidth="1"/>
    <col min="13845" max="13845" width="0" style="642" hidden="1" customWidth="1"/>
    <col min="13846" max="13846" width="1.7109375" style="642" customWidth="1"/>
    <col min="13847" max="13854" width="0" style="642" hidden="1" customWidth="1"/>
    <col min="13855" max="13855" width="9.140625" style="642"/>
    <col min="13856" max="13856" width="16.42578125" style="642" bestFit="1" customWidth="1"/>
    <col min="13857" max="14089" width="9.140625" style="642"/>
    <col min="14090" max="14090" width="1.7109375" style="642" customWidth="1"/>
    <col min="14091" max="14091" width="5.7109375" style="642" customWidth="1"/>
    <col min="14092" max="14092" width="29.85546875" style="642" bestFit="1" customWidth="1"/>
    <col min="14093" max="14093" width="7.85546875" style="642" customWidth="1"/>
    <col min="14094" max="14094" width="18.28515625" style="642" customWidth="1"/>
    <col min="14095" max="14096" width="0" style="642" hidden="1" customWidth="1"/>
    <col min="14097" max="14097" width="16.85546875" style="642" bestFit="1" customWidth="1"/>
    <col min="14098" max="14098" width="9.85546875" style="642" customWidth="1"/>
    <col min="14099" max="14099" width="16.85546875" style="642" bestFit="1" customWidth="1"/>
    <col min="14100" max="14100" width="18.28515625" style="642" bestFit="1" customWidth="1"/>
    <col min="14101" max="14101" width="0" style="642" hidden="1" customWidth="1"/>
    <col min="14102" max="14102" width="1.7109375" style="642" customWidth="1"/>
    <col min="14103" max="14110" width="0" style="642" hidden="1" customWidth="1"/>
    <col min="14111" max="14111" width="9.140625" style="642"/>
    <col min="14112" max="14112" width="16.42578125" style="642" bestFit="1" customWidth="1"/>
    <col min="14113" max="14345" width="9.140625" style="642"/>
    <col min="14346" max="14346" width="1.7109375" style="642" customWidth="1"/>
    <col min="14347" max="14347" width="5.7109375" style="642" customWidth="1"/>
    <col min="14348" max="14348" width="29.85546875" style="642" bestFit="1" customWidth="1"/>
    <col min="14349" max="14349" width="7.85546875" style="642" customWidth="1"/>
    <col min="14350" max="14350" width="18.28515625" style="642" customWidth="1"/>
    <col min="14351" max="14352" width="0" style="642" hidden="1" customWidth="1"/>
    <col min="14353" max="14353" width="16.85546875" style="642" bestFit="1" customWidth="1"/>
    <col min="14354" max="14354" width="9.85546875" style="642" customWidth="1"/>
    <col min="14355" max="14355" width="16.85546875" style="642" bestFit="1" customWidth="1"/>
    <col min="14356" max="14356" width="18.28515625" style="642" bestFit="1" customWidth="1"/>
    <col min="14357" max="14357" width="0" style="642" hidden="1" customWidth="1"/>
    <col min="14358" max="14358" width="1.7109375" style="642" customWidth="1"/>
    <col min="14359" max="14366" width="0" style="642" hidden="1" customWidth="1"/>
    <col min="14367" max="14367" width="9.140625" style="642"/>
    <col min="14368" max="14368" width="16.42578125" style="642" bestFit="1" customWidth="1"/>
    <col min="14369" max="14601" width="9.140625" style="642"/>
    <col min="14602" max="14602" width="1.7109375" style="642" customWidth="1"/>
    <col min="14603" max="14603" width="5.7109375" style="642" customWidth="1"/>
    <col min="14604" max="14604" width="29.85546875" style="642" bestFit="1" customWidth="1"/>
    <col min="14605" max="14605" width="7.85546875" style="642" customWidth="1"/>
    <col min="14606" max="14606" width="18.28515625" style="642" customWidth="1"/>
    <col min="14607" max="14608" width="0" style="642" hidden="1" customWidth="1"/>
    <col min="14609" max="14609" width="16.85546875" style="642" bestFit="1" customWidth="1"/>
    <col min="14610" max="14610" width="9.85546875" style="642" customWidth="1"/>
    <col min="14611" max="14611" width="16.85546875" style="642" bestFit="1" customWidth="1"/>
    <col min="14612" max="14612" width="18.28515625" style="642" bestFit="1" customWidth="1"/>
    <col min="14613" max="14613" width="0" style="642" hidden="1" customWidth="1"/>
    <col min="14614" max="14614" width="1.7109375" style="642" customWidth="1"/>
    <col min="14615" max="14622" width="0" style="642" hidden="1" customWidth="1"/>
    <col min="14623" max="14623" width="9.140625" style="642"/>
    <col min="14624" max="14624" width="16.42578125" style="642" bestFit="1" customWidth="1"/>
    <col min="14625" max="14857" width="9.140625" style="642"/>
    <col min="14858" max="14858" width="1.7109375" style="642" customWidth="1"/>
    <col min="14859" max="14859" width="5.7109375" style="642" customWidth="1"/>
    <col min="14860" max="14860" width="29.85546875" style="642" bestFit="1" customWidth="1"/>
    <col min="14861" max="14861" width="7.85546875" style="642" customWidth="1"/>
    <col min="14862" max="14862" width="18.28515625" style="642" customWidth="1"/>
    <col min="14863" max="14864" width="0" style="642" hidden="1" customWidth="1"/>
    <col min="14865" max="14865" width="16.85546875" style="642" bestFit="1" customWidth="1"/>
    <col min="14866" max="14866" width="9.85546875" style="642" customWidth="1"/>
    <col min="14867" max="14867" width="16.85546875" style="642" bestFit="1" customWidth="1"/>
    <col min="14868" max="14868" width="18.28515625" style="642" bestFit="1" customWidth="1"/>
    <col min="14869" max="14869" width="0" style="642" hidden="1" customWidth="1"/>
    <col min="14870" max="14870" width="1.7109375" style="642" customWidth="1"/>
    <col min="14871" max="14878" width="0" style="642" hidden="1" customWidth="1"/>
    <col min="14879" max="14879" width="9.140625" style="642"/>
    <col min="14880" max="14880" width="16.42578125" style="642" bestFit="1" customWidth="1"/>
    <col min="14881" max="15113" width="9.140625" style="642"/>
    <col min="15114" max="15114" width="1.7109375" style="642" customWidth="1"/>
    <col min="15115" max="15115" width="5.7109375" style="642" customWidth="1"/>
    <col min="15116" max="15116" width="29.85546875" style="642" bestFit="1" customWidth="1"/>
    <col min="15117" max="15117" width="7.85546875" style="642" customWidth="1"/>
    <col min="15118" max="15118" width="18.28515625" style="642" customWidth="1"/>
    <col min="15119" max="15120" width="0" style="642" hidden="1" customWidth="1"/>
    <col min="15121" max="15121" width="16.85546875" style="642" bestFit="1" customWidth="1"/>
    <col min="15122" max="15122" width="9.85546875" style="642" customWidth="1"/>
    <col min="15123" max="15123" width="16.85546875" style="642" bestFit="1" customWidth="1"/>
    <col min="15124" max="15124" width="18.28515625" style="642" bestFit="1" customWidth="1"/>
    <col min="15125" max="15125" width="0" style="642" hidden="1" customWidth="1"/>
    <col min="15126" max="15126" width="1.7109375" style="642" customWidth="1"/>
    <col min="15127" max="15134" width="0" style="642" hidden="1" customWidth="1"/>
    <col min="15135" max="15135" width="9.140625" style="642"/>
    <col min="15136" max="15136" width="16.42578125" style="642" bestFit="1" customWidth="1"/>
    <col min="15137" max="15369" width="9.140625" style="642"/>
    <col min="15370" max="15370" width="1.7109375" style="642" customWidth="1"/>
    <col min="15371" max="15371" width="5.7109375" style="642" customWidth="1"/>
    <col min="15372" max="15372" width="29.85546875" style="642" bestFit="1" customWidth="1"/>
    <col min="15373" max="15373" width="7.85546875" style="642" customWidth="1"/>
    <col min="15374" max="15374" width="18.28515625" style="642" customWidth="1"/>
    <col min="15375" max="15376" width="0" style="642" hidden="1" customWidth="1"/>
    <col min="15377" max="15377" width="16.85546875" style="642" bestFit="1" customWidth="1"/>
    <col min="15378" max="15378" width="9.85546875" style="642" customWidth="1"/>
    <col min="15379" max="15379" width="16.85546875" style="642" bestFit="1" customWidth="1"/>
    <col min="15380" max="15380" width="18.28515625" style="642" bestFit="1" customWidth="1"/>
    <col min="15381" max="15381" width="0" style="642" hidden="1" customWidth="1"/>
    <col min="15382" max="15382" width="1.7109375" style="642" customWidth="1"/>
    <col min="15383" max="15390" width="0" style="642" hidden="1" customWidth="1"/>
    <col min="15391" max="15391" width="9.140625" style="642"/>
    <col min="15392" max="15392" width="16.42578125" style="642" bestFit="1" customWidth="1"/>
    <col min="15393" max="15625" width="9.140625" style="642"/>
    <col min="15626" max="15626" width="1.7109375" style="642" customWidth="1"/>
    <col min="15627" max="15627" width="5.7109375" style="642" customWidth="1"/>
    <col min="15628" max="15628" width="29.85546875" style="642" bestFit="1" customWidth="1"/>
    <col min="15629" max="15629" width="7.85546875" style="642" customWidth="1"/>
    <col min="15630" max="15630" width="18.28515625" style="642" customWidth="1"/>
    <col min="15631" max="15632" width="0" style="642" hidden="1" customWidth="1"/>
    <col min="15633" max="15633" width="16.85546875" style="642" bestFit="1" customWidth="1"/>
    <col min="15634" max="15634" width="9.85546875" style="642" customWidth="1"/>
    <col min="15635" max="15635" width="16.85546875" style="642" bestFit="1" customWidth="1"/>
    <col min="15636" max="15636" width="18.28515625" style="642" bestFit="1" customWidth="1"/>
    <col min="15637" max="15637" width="0" style="642" hidden="1" customWidth="1"/>
    <col min="15638" max="15638" width="1.7109375" style="642" customWidth="1"/>
    <col min="15639" max="15646" width="0" style="642" hidden="1" customWidth="1"/>
    <col min="15647" max="15647" width="9.140625" style="642"/>
    <col min="15648" max="15648" width="16.42578125" style="642" bestFit="1" customWidth="1"/>
    <col min="15649" max="15881" width="9.140625" style="642"/>
    <col min="15882" max="15882" width="1.7109375" style="642" customWidth="1"/>
    <col min="15883" max="15883" width="5.7109375" style="642" customWidth="1"/>
    <col min="15884" max="15884" width="29.85546875" style="642" bestFit="1" customWidth="1"/>
    <col min="15885" max="15885" width="7.85546875" style="642" customWidth="1"/>
    <col min="15886" max="15886" width="18.28515625" style="642" customWidth="1"/>
    <col min="15887" max="15888" width="0" style="642" hidden="1" customWidth="1"/>
    <col min="15889" max="15889" width="16.85546875" style="642" bestFit="1" customWidth="1"/>
    <col min="15890" max="15890" width="9.85546875" style="642" customWidth="1"/>
    <col min="15891" max="15891" width="16.85546875" style="642" bestFit="1" customWidth="1"/>
    <col min="15892" max="15892" width="18.28515625" style="642" bestFit="1" customWidth="1"/>
    <col min="15893" max="15893" width="0" style="642" hidden="1" customWidth="1"/>
    <col min="15894" max="15894" width="1.7109375" style="642" customWidth="1"/>
    <col min="15895" max="15902" width="0" style="642" hidden="1" customWidth="1"/>
    <col min="15903" max="15903" width="9.140625" style="642"/>
    <col min="15904" max="15904" width="16.42578125" style="642" bestFit="1" customWidth="1"/>
    <col min="15905" max="16137" width="9.140625" style="642"/>
    <col min="16138" max="16138" width="1.7109375" style="642" customWidth="1"/>
    <col min="16139" max="16139" width="5.7109375" style="642" customWidth="1"/>
    <col min="16140" max="16140" width="29.85546875" style="642" bestFit="1" customWidth="1"/>
    <col min="16141" max="16141" width="7.85546875" style="642" customWidth="1"/>
    <col min="16142" max="16142" width="18.28515625" style="642" customWidth="1"/>
    <col min="16143" max="16144" width="0" style="642" hidden="1" customWidth="1"/>
    <col min="16145" max="16145" width="16.85546875" style="642" bestFit="1" customWidth="1"/>
    <col min="16146" max="16146" width="9.85546875" style="642" customWidth="1"/>
    <col min="16147" max="16147" width="16.85546875" style="642" bestFit="1" customWidth="1"/>
    <col min="16148" max="16148" width="18.28515625" style="642" bestFit="1" customWidth="1"/>
    <col min="16149" max="16149" width="0" style="642" hidden="1" customWidth="1"/>
    <col min="16150" max="16150" width="1.7109375" style="642" customWidth="1"/>
    <col min="16151" max="16158" width="0" style="642" hidden="1" customWidth="1"/>
    <col min="16159" max="16159" width="9.140625" style="642"/>
    <col min="16160" max="16160" width="16.42578125" style="642" bestFit="1" customWidth="1"/>
    <col min="16161" max="16384" width="9.140625" style="642"/>
  </cols>
  <sheetData>
    <row r="2" spans="4:36" ht="13.5" customHeight="1">
      <c r="S2" s="2226"/>
      <c r="T2" s="2226"/>
      <c r="W2" s="627"/>
      <c r="X2" s="627"/>
      <c r="Y2" s="627"/>
      <c r="Z2" s="627"/>
    </row>
    <row r="3" spans="4:36" s="1938" customFormat="1" ht="21.75" customHeight="1">
      <c r="D3" s="2227" t="s">
        <v>6047</v>
      </c>
      <c r="E3" s="2227"/>
      <c r="F3" s="2227"/>
      <c r="G3" s="2227"/>
      <c r="H3" s="2227"/>
      <c r="I3" s="2227"/>
      <c r="J3" s="2227"/>
      <c r="K3" s="2227"/>
      <c r="L3" s="2227"/>
      <c r="M3" s="2227"/>
      <c r="N3" s="2227"/>
      <c r="O3" s="2227"/>
      <c r="P3" s="2227"/>
      <c r="Q3" s="2227"/>
      <c r="R3" s="2227"/>
      <c r="S3" s="2227"/>
      <c r="T3" s="2227"/>
      <c r="W3" s="1939"/>
      <c r="X3" s="1939"/>
      <c r="Y3" s="1939"/>
      <c r="Z3" s="1939"/>
      <c r="AE3" s="1940"/>
      <c r="AG3" s="1941"/>
    </row>
    <row r="4" spans="4:36" s="1938" customFormat="1" ht="38.25" customHeight="1">
      <c r="D4" s="2227" t="s">
        <v>849</v>
      </c>
      <c r="E4" s="2227"/>
      <c r="F4" s="2227"/>
      <c r="G4" s="2227"/>
      <c r="H4" s="2227"/>
      <c r="I4" s="2227"/>
      <c r="J4" s="2227"/>
      <c r="K4" s="2227"/>
      <c r="L4" s="2227"/>
      <c r="M4" s="2227"/>
      <c r="N4" s="2227"/>
      <c r="O4" s="2227"/>
      <c r="P4" s="2227"/>
      <c r="Q4" s="2227"/>
      <c r="R4" s="2227"/>
      <c r="S4" s="2227"/>
      <c r="T4" s="2227"/>
      <c r="W4" s="1939"/>
      <c r="X4" s="1939"/>
      <c r="Y4" s="1939"/>
      <c r="Z4" s="1939"/>
      <c r="AE4" s="1940"/>
      <c r="AG4" s="1941"/>
    </row>
    <row r="5" spans="4:36" s="1938" customFormat="1" ht="38.25" customHeight="1">
      <c r="D5" s="2227" t="str">
        <f>[10]งบลงทุน!A2</f>
        <v xml:space="preserve">ข้อมูลสะสมตั้งแต่วันที่ 1 ตุลาคม 2566  ถึงวันที่  15 กันยายน 2567 </v>
      </c>
      <c r="E5" s="2227"/>
      <c r="F5" s="2227"/>
      <c r="G5" s="2227"/>
      <c r="H5" s="2227"/>
      <c r="I5" s="2227"/>
      <c r="J5" s="2227"/>
      <c r="K5" s="2227"/>
      <c r="L5" s="2227"/>
      <c r="M5" s="2227"/>
      <c r="N5" s="2227"/>
      <c r="O5" s="2227"/>
      <c r="P5" s="2227"/>
      <c r="Q5" s="2227"/>
      <c r="R5" s="2227"/>
      <c r="S5" s="2227"/>
      <c r="T5" s="1942"/>
      <c r="W5" s="1939"/>
      <c r="X5" s="1939"/>
      <c r="Y5" s="1939"/>
      <c r="Z5" s="1939"/>
      <c r="AE5" s="1943"/>
      <c r="AF5" s="1943"/>
      <c r="AG5" s="1943"/>
      <c r="AH5" s="1943"/>
    </row>
    <row r="6" spans="4:36" s="643" customFormat="1" ht="11.25" customHeight="1">
      <c r="D6" s="2228"/>
      <c r="E6" s="2228"/>
      <c r="F6" s="2228"/>
      <c r="G6" s="2228"/>
      <c r="H6" s="2228"/>
      <c r="I6" s="2228"/>
      <c r="J6" s="2228"/>
      <c r="K6" s="2228"/>
      <c r="L6" s="2228"/>
      <c r="M6" s="2228"/>
      <c r="N6" s="2228"/>
      <c r="O6" s="2228"/>
      <c r="P6" s="2228"/>
      <c r="Q6" s="2228"/>
      <c r="R6" s="2228"/>
      <c r="S6" s="2228"/>
      <c r="T6" s="2228"/>
      <c r="AE6" s="2229"/>
      <c r="AF6" s="2216"/>
      <c r="AG6" s="2216"/>
      <c r="AH6" s="2217"/>
    </row>
    <row r="7" spans="4:36" s="643" customFormat="1" ht="9.75" customHeight="1">
      <c r="D7" s="2218"/>
      <c r="E7" s="2218"/>
      <c r="F7" s="2218"/>
      <c r="G7" s="2218"/>
      <c r="H7" s="2218"/>
      <c r="I7" s="2218"/>
      <c r="J7" s="2218"/>
      <c r="K7" s="2218"/>
      <c r="L7" s="2218"/>
      <c r="M7" s="2218"/>
      <c r="N7" s="2218"/>
      <c r="O7" s="2218"/>
      <c r="P7" s="2218"/>
      <c r="Q7" s="2218"/>
      <c r="R7" s="2218"/>
      <c r="S7" s="2218"/>
      <c r="T7" s="2218"/>
      <c r="AE7" s="2229"/>
      <c r="AF7" s="2216"/>
      <c r="AG7" s="2216"/>
      <c r="AH7" s="2217"/>
    </row>
    <row r="8" spans="4:36" s="644" customFormat="1" ht="51" customHeight="1">
      <c r="D8" s="2219" t="s">
        <v>376</v>
      </c>
      <c r="E8" s="2221" t="s">
        <v>724</v>
      </c>
      <c r="F8" s="1120" t="s">
        <v>922</v>
      </c>
      <c r="G8" s="2210" t="s">
        <v>964</v>
      </c>
      <c r="H8" s="2210" t="s">
        <v>425</v>
      </c>
      <c r="I8" s="2223" t="s">
        <v>900</v>
      </c>
      <c r="J8" s="2139" t="s">
        <v>923</v>
      </c>
      <c r="K8" s="2776" t="s">
        <v>837</v>
      </c>
      <c r="L8" s="2777" t="s">
        <v>22</v>
      </c>
      <c r="M8" s="2209"/>
      <c r="N8" s="690" t="s">
        <v>430</v>
      </c>
      <c r="O8" s="2210" t="s">
        <v>404</v>
      </c>
      <c r="P8" s="2212" t="s">
        <v>869</v>
      </c>
      <c r="Q8" s="2213"/>
      <c r="R8" s="2210" t="s">
        <v>865</v>
      </c>
      <c r="S8" s="2214" t="s">
        <v>4</v>
      </c>
      <c r="T8" s="2203" t="s">
        <v>431</v>
      </c>
      <c r="V8" s="645"/>
      <c r="W8" s="2205" t="s">
        <v>924</v>
      </c>
      <c r="X8" s="2207" t="s">
        <v>925</v>
      </c>
      <c r="Y8" s="2205" t="s">
        <v>926</v>
      </c>
      <c r="Z8" s="2207" t="s">
        <v>927</v>
      </c>
      <c r="AA8" s="2201" t="s">
        <v>928</v>
      </c>
      <c r="AB8" s="2201" t="s">
        <v>4</v>
      </c>
      <c r="AE8" s="1945"/>
      <c r="AF8" s="1946"/>
      <c r="AG8" s="1947"/>
      <c r="AH8" s="1948"/>
    </row>
    <row r="9" spans="4:36" s="644" customFormat="1" ht="30" customHeight="1" thickBot="1">
      <c r="D9" s="2220"/>
      <c r="E9" s="2222"/>
      <c r="F9" s="1121" t="s">
        <v>3</v>
      </c>
      <c r="G9" s="2211"/>
      <c r="H9" s="2211"/>
      <c r="I9" s="2224"/>
      <c r="J9" s="2225"/>
      <c r="K9" s="2778"/>
      <c r="L9" s="2779" t="s">
        <v>803</v>
      </c>
      <c r="M9" s="1122" t="s">
        <v>12</v>
      </c>
      <c r="N9" s="1123" t="s">
        <v>803</v>
      </c>
      <c r="O9" s="2211"/>
      <c r="P9" s="1123" t="s">
        <v>803</v>
      </c>
      <c r="Q9" s="1124" t="s">
        <v>12</v>
      </c>
      <c r="R9" s="2211"/>
      <c r="S9" s="2215"/>
      <c r="T9" s="2204"/>
      <c r="V9" s="646"/>
      <c r="W9" s="2206"/>
      <c r="X9" s="2208"/>
      <c r="Y9" s="2206"/>
      <c r="Z9" s="2208"/>
      <c r="AA9" s="2202"/>
      <c r="AB9" s="2202"/>
      <c r="AE9" s="1945"/>
      <c r="AF9" s="1949"/>
      <c r="AG9" s="1947"/>
      <c r="AH9" s="1948"/>
    </row>
    <row r="10" spans="4:36" s="647" customFormat="1" ht="33.75" customHeight="1" thickTop="1" thickBot="1">
      <c r="D10" s="1125"/>
      <c r="E10" s="1126" t="s">
        <v>273</v>
      </c>
      <c r="F10" s="1127">
        <f>F13</f>
        <v>173</v>
      </c>
      <c r="G10" s="1128">
        <f>SUM(G12:G13)</f>
        <v>346246100</v>
      </c>
      <c r="H10" s="1128">
        <f>SUM(H13:H16)</f>
        <v>0</v>
      </c>
      <c r="I10" s="1128">
        <f>I12+I17</f>
        <v>0</v>
      </c>
      <c r="J10" s="1128">
        <f>J12+J17</f>
        <v>0</v>
      </c>
      <c r="K10" s="1130">
        <f>SUM(K13)</f>
        <v>247379648</v>
      </c>
      <c r="L10" s="1131">
        <f>SUM(L13)</f>
        <v>6788439</v>
      </c>
      <c r="M10" s="1129">
        <f>L10*100/K10</f>
        <v>2.7441380303039318</v>
      </c>
      <c r="N10" s="1130">
        <f>SUM(N13)</f>
        <v>139071991</v>
      </c>
      <c r="O10" s="1131">
        <f>SUM(O13:O16)</f>
        <v>0</v>
      </c>
      <c r="P10" s="1131">
        <f>SUM(P13)</f>
        <v>145860430</v>
      </c>
      <c r="Q10" s="1132">
        <f>P10*100/K10</f>
        <v>58.962178651010127</v>
      </c>
      <c r="R10" s="1131">
        <f>R25</f>
        <v>0</v>
      </c>
      <c r="S10" s="1131">
        <f>K10-P10-R10</f>
        <v>101519218</v>
      </c>
      <c r="T10" s="1133"/>
      <c r="V10" s="648">
        <f>SUM(W10:X10)</f>
        <v>0</v>
      </c>
      <c r="W10" s="628">
        <f t="shared" ref="W10:AB10" si="0">SUM(W13:W13)</f>
        <v>0</v>
      </c>
      <c r="X10" s="629">
        <f t="shared" si="0"/>
        <v>0</v>
      </c>
      <c r="Y10" s="628">
        <f t="shared" si="0"/>
        <v>0</v>
      </c>
      <c r="Z10" s="630">
        <f t="shared" si="0"/>
        <v>0</v>
      </c>
      <c r="AA10" s="631">
        <f t="shared" si="0"/>
        <v>0</v>
      </c>
      <c r="AB10" s="631">
        <f t="shared" si="0"/>
        <v>247379648</v>
      </c>
      <c r="AE10" s="1945"/>
      <c r="AF10" s="1949"/>
      <c r="AG10" s="1947"/>
      <c r="AH10" s="1948"/>
    </row>
    <row r="11" spans="4:36" s="644" customFormat="1" ht="24" hidden="1" customHeight="1" thickTop="1">
      <c r="D11" s="1134"/>
      <c r="E11" s="1135" t="s">
        <v>929</v>
      </c>
      <c r="F11" s="1136"/>
      <c r="G11" s="1137"/>
      <c r="H11" s="1137"/>
      <c r="I11" s="1137"/>
      <c r="J11" s="1137"/>
      <c r="K11" s="2780">
        <f>SUM(G11:J11)</f>
        <v>0</v>
      </c>
      <c r="L11" s="1139"/>
      <c r="M11" s="1138"/>
      <c r="N11" s="1139"/>
      <c r="O11" s="1139"/>
      <c r="P11" s="1409"/>
      <c r="Q11" s="1140"/>
      <c r="R11" s="1140"/>
      <c r="S11" s="1141"/>
      <c r="T11" s="1142"/>
      <c r="V11" s="649"/>
      <c r="W11" s="641"/>
      <c r="X11" s="678"/>
      <c r="Y11" s="641"/>
      <c r="Z11" s="632"/>
      <c r="AA11" s="641"/>
      <c r="AB11" s="641"/>
      <c r="AE11" s="1945"/>
      <c r="AF11" s="1949"/>
      <c r="AG11" s="1944"/>
      <c r="AH11" s="1948"/>
    </row>
    <row r="12" spans="4:36" s="650" customFormat="1" ht="24" customHeight="1" thickTop="1">
      <c r="D12" s="1143"/>
      <c r="E12" s="1144" t="s">
        <v>930</v>
      </c>
      <c r="F12" s="1145"/>
      <c r="G12" s="1146"/>
      <c r="H12" s="1147"/>
      <c r="I12" s="1147"/>
      <c r="J12" s="1147"/>
      <c r="K12" s="2781"/>
      <c r="L12" s="2782"/>
      <c r="M12" s="1149"/>
      <c r="N12" s="1148"/>
      <c r="O12" s="1148"/>
      <c r="P12" s="1148"/>
      <c r="Q12" s="1149"/>
      <c r="R12" s="1150"/>
      <c r="S12" s="1151"/>
      <c r="T12" s="1152"/>
      <c r="V12" s="651"/>
      <c r="W12" s="625"/>
      <c r="X12" s="626"/>
      <c r="Y12" s="625"/>
      <c r="Z12" s="633"/>
      <c r="AA12" s="625"/>
      <c r="AB12" s="625"/>
      <c r="AE12" s="1950"/>
      <c r="AF12" s="1951"/>
      <c r="AG12" s="1944"/>
      <c r="AH12" s="1948"/>
    </row>
    <row r="13" spans="4:36" s="652" customFormat="1" ht="22.5" customHeight="1">
      <c r="D13" s="1153">
        <v>1</v>
      </c>
      <c r="E13" s="1154" t="s">
        <v>903</v>
      </c>
      <c r="F13" s="1155">
        <v>173</v>
      </c>
      <c r="G13" s="1156">
        <f>'[10]ลงทุน-ส่วนกลาง  (รายการ)'!G8</f>
        <v>346246100</v>
      </c>
      <c r="H13" s="1156"/>
      <c r="I13" s="1157"/>
      <c r="J13" s="1158"/>
      <c r="K13" s="2783">
        <v>247379648</v>
      </c>
      <c r="L13" s="1161">
        <f>'[10]ลงทุน-ส่วนกลาง  (รายการ)'!H8</f>
        <v>6788439</v>
      </c>
      <c r="M13" s="1159"/>
      <c r="N13" s="1160">
        <v>139071991</v>
      </c>
      <c r="O13" s="1160"/>
      <c r="P13" s="1161">
        <f>N13+L13</f>
        <v>145860430</v>
      </c>
      <c r="Q13" s="1162">
        <f>P13/K13*100</f>
        <v>58.96217865101012</v>
      </c>
      <c r="R13" s="1162"/>
      <c r="S13" s="1163">
        <f>K13-P13</f>
        <v>101519218</v>
      </c>
      <c r="T13" s="1164" t="s">
        <v>813</v>
      </c>
      <c r="V13" s="653">
        <f>SUM(W13:X13)</f>
        <v>0</v>
      </c>
      <c r="W13" s="634"/>
      <c r="X13" s="635"/>
      <c r="Y13" s="634"/>
      <c r="Z13" s="635"/>
      <c r="AA13" s="654">
        <f>+Y13+Z13</f>
        <v>0</v>
      </c>
      <c r="AB13" s="655">
        <f>+K13-AA13</f>
        <v>247379648</v>
      </c>
      <c r="AE13" s="1950"/>
      <c r="AF13" s="1951"/>
      <c r="AG13" s="1944"/>
      <c r="AH13" s="1948"/>
    </row>
    <row r="14" spans="4:36" s="652" customFormat="1" ht="22.5" customHeight="1">
      <c r="D14" s="1165"/>
      <c r="E14" s="1166" t="s">
        <v>867</v>
      </c>
      <c r="F14" s="1167"/>
      <c r="G14" s="1168"/>
      <c r="H14" s="1168"/>
      <c r="I14" s="1169">
        <v>0</v>
      </c>
      <c r="J14" s="1170">
        <v>0</v>
      </c>
      <c r="K14" s="2784">
        <f>SUM(G14:J14)</f>
        <v>0</v>
      </c>
      <c r="L14" s="2785"/>
      <c r="M14" s="1171" t="e">
        <f>L14/K14*100</f>
        <v>#DIV/0!</v>
      </c>
      <c r="N14" s="1172"/>
      <c r="O14" s="1173"/>
      <c r="P14" s="1173">
        <f>L14+N14</f>
        <v>0</v>
      </c>
      <c r="Q14" s="1174" t="e">
        <f>P14/K14*100</f>
        <v>#DIV/0!</v>
      </c>
      <c r="R14" s="1175"/>
      <c r="S14" s="1176">
        <f>+K14-L14-N14-O14</f>
        <v>0</v>
      </c>
      <c r="T14" s="1177"/>
      <c r="V14" s="669"/>
      <c r="W14" s="670"/>
      <c r="X14" s="671"/>
      <c r="Y14" s="670"/>
      <c r="Z14" s="671"/>
      <c r="AA14" s="672"/>
      <c r="AB14" s="673"/>
      <c r="AE14" s="1952" t="s">
        <v>1190</v>
      </c>
      <c r="AF14" s="1953">
        <f>+AF15-AF17</f>
        <v>860926838</v>
      </c>
      <c r="AG14" s="1953">
        <f>+AG15-AG17</f>
        <v>301369000.48000014</v>
      </c>
      <c r="AH14" s="1953">
        <f>+AH15-AH17</f>
        <v>294346387.17000008</v>
      </c>
      <c r="AI14" s="1953">
        <f>+AI15-AI17</f>
        <v>595715387.65000021</v>
      </c>
      <c r="AJ14" s="1953">
        <f>+AJ15-AJ17</f>
        <v>265211450.34999979</v>
      </c>
    </row>
    <row r="15" spans="4:36" s="644" customFormat="1" ht="26.25" customHeight="1">
      <c r="D15" s="1165"/>
      <c r="E15" s="1166" t="s">
        <v>864</v>
      </c>
      <c r="F15" s="1178"/>
      <c r="G15" s="1168"/>
      <c r="H15" s="1168"/>
      <c r="I15" s="1169">
        <v>0</v>
      </c>
      <c r="J15" s="1170">
        <v>0</v>
      </c>
      <c r="K15" s="2786">
        <f>SUM(G15:J15)</f>
        <v>0</v>
      </c>
      <c r="L15" s="2787"/>
      <c r="M15" s="1171" t="e">
        <f>+L15*100/K15</f>
        <v>#DIV/0!</v>
      </c>
      <c r="N15" s="1179"/>
      <c r="O15" s="1180"/>
      <c r="P15" s="1181">
        <f>L15+N15</f>
        <v>0</v>
      </c>
      <c r="Q15" s="1174" t="e">
        <f>P15/K15*100</f>
        <v>#DIV/0!</v>
      </c>
      <c r="R15" s="1174"/>
      <c r="S15" s="1182">
        <f>+K15-L15-N15-O15</f>
        <v>0</v>
      </c>
      <c r="T15" s="1183"/>
      <c r="V15" s="669"/>
      <c r="W15" s="670"/>
      <c r="X15" s="671"/>
      <c r="Y15" s="670"/>
      <c r="Z15" s="671"/>
      <c r="AA15" s="672"/>
      <c r="AB15" s="674"/>
      <c r="AE15" s="1954" t="s">
        <v>1223</v>
      </c>
      <c r="AF15" s="1955">
        <v>860926838</v>
      </c>
      <c r="AG15" s="1956">
        <v>301369000.48000014</v>
      </c>
      <c r="AH15" s="1955">
        <v>294346387.17000008</v>
      </c>
      <c r="AI15" s="1955">
        <f>AH15+AG15</f>
        <v>595715387.65000021</v>
      </c>
      <c r="AJ15" s="1955">
        <f>+AF15-AI15</f>
        <v>265211450.34999979</v>
      </c>
    </row>
    <row r="16" spans="4:36">
      <c r="D16" s="852">
        <v>2</v>
      </c>
      <c r="E16" s="853" t="s">
        <v>1232</v>
      </c>
      <c r="F16" s="852"/>
      <c r="G16" s="854"/>
      <c r="H16" s="854"/>
      <c r="I16" s="854"/>
      <c r="J16" s="854"/>
      <c r="K16" s="854">
        <f>SUM(G16:J16)</f>
        <v>0</v>
      </c>
      <c r="L16" s="854"/>
      <c r="M16" s="855">
        <v>0</v>
      </c>
      <c r="N16" s="854"/>
      <c r="O16" s="854"/>
      <c r="P16" s="856">
        <f>L16+N16</f>
        <v>0</v>
      </c>
      <c r="Q16" s="855">
        <v>0</v>
      </c>
      <c r="R16" s="855"/>
      <c r="S16" s="857">
        <f>+K16-L16-N16-O16</f>
        <v>0</v>
      </c>
      <c r="W16" s="627"/>
      <c r="X16" s="627"/>
      <c r="Y16" s="627"/>
      <c r="Z16" s="627"/>
      <c r="AE16" s="1957"/>
      <c r="AF16" s="1958" t="s">
        <v>316</v>
      </c>
      <c r="AG16" s="1958" t="s">
        <v>1238</v>
      </c>
      <c r="AH16" s="1959" t="s">
        <v>1239</v>
      </c>
      <c r="AI16" s="1958" t="s">
        <v>5416</v>
      </c>
      <c r="AJ16" s="1958" t="s">
        <v>4</v>
      </c>
    </row>
    <row r="17" spans="4:37" s="675" customFormat="1" ht="31.5" thickBot="1">
      <c r="D17" s="858"/>
      <c r="E17" s="859" t="s">
        <v>1233</v>
      </c>
      <c r="F17" s="860">
        <f>SUM(F18:F23)</f>
        <v>0</v>
      </c>
      <c r="G17" s="2788"/>
      <c r="H17" s="2789"/>
      <c r="I17" s="2789"/>
      <c r="J17" s="2790"/>
      <c r="K17" s="2790"/>
      <c r="L17" s="2790"/>
      <c r="M17" s="2791"/>
      <c r="N17" s="2790"/>
      <c r="O17" s="2790"/>
      <c r="P17" s="2790"/>
      <c r="Q17" s="2791"/>
      <c r="R17" s="2790"/>
      <c r="S17" s="2792"/>
      <c r="T17" s="2793"/>
      <c r="U17" s="2793"/>
      <c r="V17" s="2793"/>
      <c r="W17" s="2794"/>
      <c r="X17" s="2794"/>
      <c r="Y17" s="2794"/>
      <c r="Z17" s="2794"/>
      <c r="AA17" s="2793"/>
      <c r="AB17" s="2793"/>
      <c r="AC17" s="2793"/>
      <c r="AD17" s="2793"/>
      <c r="AE17" s="2795"/>
      <c r="AF17" s="2796"/>
      <c r="AG17" s="2796"/>
      <c r="AH17" s="2796"/>
      <c r="AI17" s="2796"/>
      <c r="AJ17" s="2796"/>
      <c r="AK17" s="2793"/>
    </row>
    <row r="18" spans="4:37" ht="26.25" hidden="1" customHeight="1">
      <c r="D18" s="861"/>
      <c r="E18" s="862"/>
      <c r="F18" s="861"/>
      <c r="G18" s="2797"/>
      <c r="H18" s="2797"/>
      <c r="I18" s="2797"/>
      <c r="J18" s="2797"/>
      <c r="K18" s="2797"/>
      <c r="L18" s="2798"/>
      <c r="M18" s="2799"/>
      <c r="N18" s="2797"/>
      <c r="O18" s="2797"/>
      <c r="P18" s="2800"/>
      <c r="Q18" s="2799"/>
      <c r="R18" s="2799"/>
      <c r="S18" s="2801"/>
      <c r="T18" s="2802"/>
      <c r="U18" s="2803"/>
      <c r="V18" s="2803"/>
      <c r="W18" s="2804"/>
      <c r="X18" s="2804"/>
      <c r="Y18" s="2804"/>
      <c r="Z18" s="2804"/>
      <c r="AA18" s="2803"/>
      <c r="AB18" s="2803"/>
      <c r="AC18" s="2803"/>
      <c r="AD18" s="2803"/>
      <c r="AE18" s="2805"/>
      <c r="AF18" s="2806"/>
      <c r="AG18" s="2807"/>
      <c r="AH18" s="2808"/>
      <c r="AI18" s="2809"/>
      <c r="AJ18" s="2809"/>
      <c r="AK18" s="2803"/>
    </row>
    <row r="19" spans="4:37">
      <c r="D19" s="861">
        <v>1</v>
      </c>
      <c r="E19" s="862" t="s">
        <v>867</v>
      </c>
      <c r="F19" s="861"/>
      <c r="G19" s="2797"/>
      <c r="H19" s="2797"/>
      <c r="I19" s="2797"/>
      <c r="J19" s="2797"/>
      <c r="K19" s="2797"/>
      <c r="L19" s="2798"/>
      <c r="M19" s="2799"/>
      <c r="N19" s="2797"/>
      <c r="O19" s="2797"/>
      <c r="P19" s="2800"/>
      <c r="Q19" s="2799"/>
      <c r="R19" s="2799"/>
      <c r="S19" s="2801"/>
      <c r="T19" s="2802"/>
      <c r="U19" s="2803"/>
      <c r="V19" s="2803"/>
      <c r="W19" s="2804"/>
      <c r="X19" s="2804"/>
      <c r="Y19" s="2804"/>
      <c r="Z19" s="2804"/>
      <c r="AA19" s="2803"/>
      <c r="AB19" s="2803"/>
      <c r="AC19" s="2803"/>
      <c r="AD19" s="2803"/>
      <c r="AE19" s="2810"/>
      <c r="AF19" s="2811"/>
      <c r="AG19" s="2812"/>
      <c r="AH19" s="2811"/>
      <c r="AI19" s="2811"/>
      <c r="AJ19" s="2811"/>
      <c r="AK19" s="2803"/>
    </row>
    <row r="20" spans="4:37">
      <c r="D20" s="861">
        <v>2</v>
      </c>
      <c r="E20" s="862" t="s">
        <v>850</v>
      </c>
      <c r="F20" s="861"/>
      <c r="G20" s="2797"/>
      <c r="H20" s="2797"/>
      <c r="I20" s="2797"/>
      <c r="J20" s="2797"/>
      <c r="K20" s="2797"/>
      <c r="L20" s="2798"/>
      <c r="M20" s="2799"/>
      <c r="N20" s="2797"/>
      <c r="O20" s="2797"/>
      <c r="P20" s="2800"/>
      <c r="Q20" s="2799"/>
      <c r="R20" s="2799"/>
      <c r="S20" s="2801"/>
      <c r="T20" s="2802"/>
      <c r="U20" s="2803"/>
      <c r="V20" s="2803"/>
      <c r="W20" s="2804"/>
      <c r="X20" s="2804"/>
      <c r="Y20" s="2804"/>
      <c r="Z20" s="2804"/>
      <c r="AA20" s="2803"/>
      <c r="AB20" s="2803"/>
      <c r="AC20" s="2803"/>
      <c r="AD20" s="2803"/>
      <c r="AE20" s="2810"/>
      <c r="AF20" s="2811"/>
      <c r="AG20" s="2813"/>
      <c r="AH20" s="2811"/>
      <c r="AI20" s="2811"/>
      <c r="AJ20" s="2811"/>
      <c r="AK20" s="2803"/>
    </row>
    <row r="21" spans="4:37">
      <c r="D21" s="861">
        <v>3</v>
      </c>
      <c r="E21" s="862" t="s">
        <v>903</v>
      </c>
      <c r="F21" s="861"/>
      <c r="G21" s="2797"/>
      <c r="H21" s="2797"/>
      <c r="I21" s="2797"/>
      <c r="J21" s="2797"/>
      <c r="K21" s="2797"/>
      <c r="L21" s="2798"/>
      <c r="M21" s="2799"/>
      <c r="N21" s="2797"/>
      <c r="O21" s="2797"/>
      <c r="P21" s="2800"/>
      <c r="Q21" s="2799"/>
      <c r="R21" s="2799"/>
      <c r="S21" s="2801"/>
      <c r="T21" s="2802"/>
      <c r="U21" s="2803"/>
      <c r="V21" s="2803"/>
      <c r="W21" s="2804"/>
      <c r="X21" s="2804"/>
      <c r="Y21" s="2804"/>
      <c r="Z21" s="2804"/>
      <c r="AA21" s="2803"/>
      <c r="AB21" s="2803"/>
      <c r="AC21" s="2803"/>
      <c r="AD21" s="2803"/>
      <c r="AE21" s="2814"/>
      <c r="AF21" s="2815"/>
      <c r="AG21" s="2813"/>
      <c r="AH21" s="2811"/>
      <c r="AI21" s="2811"/>
      <c r="AJ21" s="2811"/>
      <c r="AK21" s="2803"/>
    </row>
    <row r="22" spans="4:37" hidden="1">
      <c r="D22" s="861">
        <v>5</v>
      </c>
      <c r="E22" s="862"/>
      <c r="F22" s="861"/>
      <c r="G22" s="2797"/>
      <c r="H22" s="2797"/>
      <c r="I22" s="2797"/>
      <c r="J22" s="2797"/>
      <c r="K22" s="2797"/>
      <c r="L22" s="2798"/>
      <c r="M22" s="2799"/>
      <c r="N22" s="2797"/>
      <c r="O22" s="2797"/>
      <c r="P22" s="2800"/>
      <c r="Q22" s="2799"/>
      <c r="R22" s="2799"/>
      <c r="S22" s="2801"/>
      <c r="T22" s="2802"/>
      <c r="U22" s="2803"/>
      <c r="V22" s="2803"/>
      <c r="W22" s="2804"/>
      <c r="X22" s="2804"/>
      <c r="Y22" s="2804"/>
      <c r="Z22" s="2804"/>
      <c r="AA22" s="2803"/>
      <c r="AB22" s="2803"/>
      <c r="AC22" s="2803"/>
      <c r="AD22" s="2803"/>
      <c r="AE22" s="2816"/>
      <c r="AF22" s="2817"/>
      <c r="AG22" s="2818"/>
      <c r="AH22" s="2808"/>
      <c r="AI22" s="2803"/>
      <c r="AJ22" s="2803"/>
      <c r="AK22" s="2803"/>
    </row>
    <row r="23" spans="4:37" hidden="1">
      <c r="D23" s="861">
        <v>6</v>
      </c>
      <c r="E23" s="862"/>
      <c r="F23" s="861"/>
      <c r="G23" s="2797"/>
      <c r="H23" s="2797"/>
      <c r="I23" s="2797"/>
      <c r="J23" s="2797"/>
      <c r="K23" s="2797"/>
      <c r="L23" s="2798"/>
      <c r="M23" s="2799"/>
      <c r="N23" s="2797"/>
      <c r="O23" s="2797"/>
      <c r="P23" s="2800"/>
      <c r="Q23" s="2799"/>
      <c r="R23" s="2799"/>
      <c r="S23" s="2801"/>
      <c r="T23" s="2802"/>
      <c r="U23" s="2803"/>
      <c r="V23" s="2803"/>
      <c r="W23" s="2804"/>
      <c r="X23" s="2804"/>
      <c r="Y23" s="2804"/>
      <c r="Z23" s="2804"/>
      <c r="AA23" s="2803"/>
      <c r="AB23" s="2803"/>
      <c r="AC23" s="2803"/>
      <c r="AD23" s="2803"/>
      <c r="AE23" s="2819"/>
      <c r="AF23" s="2820"/>
      <c r="AG23" s="2821"/>
      <c r="AH23" s="2803"/>
      <c r="AI23" s="2803"/>
      <c r="AJ23" s="2803"/>
      <c r="AK23" s="2803"/>
    </row>
    <row r="24" spans="4:37" s="659" customFormat="1" hidden="1">
      <c r="D24" s="865">
        <v>7</v>
      </c>
      <c r="E24" s="866"/>
      <c r="F24" s="865"/>
      <c r="G24" s="2822"/>
      <c r="H24" s="2822"/>
      <c r="I24" s="2822"/>
      <c r="J24" s="2822"/>
      <c r="K24" s="2797"/>
      <c r="L24" s="2823"/>
      <c r="M24" s="2799"/>
      <c r="N24" s="2822"/>
      <c r="O24" s="2822"/>
      <c r="P24" s="2800"/>
      <c r="Q24" s="2799"/>
      <c r="R24" s="2824"/>
      <c r="S24" s="2801"/>
      <c r="T24" s="2825"/>
      <c r="U24" s="2825"/>
      <c r="V24" s="2825"/>
      <c r="W24" s="2826"/>
      <c r="X24" s="2826"/>
      <c r="Y24" s="2826"/>
      <c r="Z24" s="2826"/>
      <c r="AA24" s="2825"/>
      <c r="AB24" s="2825"/>
      <c r="AC24" s="2825"/>
      <c r="AD24" s="2825"/>
      <c r="AE24" s="2827"/>
      <c r="AF24" s="2794"/>
      <c r="AG24" s="2828"/>
      <c r="AH24" s="2825"/>
      <c r="AI24" s="2825"/>
      <c r="AJ24" s="2825"/>
      <c r="AK24" s="2825"/>
    </row>
    <row r="25" spans="4:37" s="659" customFormat="1" hidden="1">
      <c r="D25" s="865">
        <v>8</v>
      </c>
      <c r="E25" s="866"/>
      <c r="F25" s="865"/>
      <c r="G25" s="2822"/>
      <c r="H25" s="2822"/>
      <c r="I25" s="2822"/>
      <c r="J25" s="2822"/>
      <c r="K25" s="2797"/>
      <c r="L25" s="2823"/>
      <c r="M25" s="2799"/>
      <c r="N25" s="2822"/>
      <c r="O25" s="2822"/>
      <c r="P25" s="2800"/>
      <c r="Q25" s="2799"/>
      <c r="R25" s="2829"/>
      <c r="S25" s="2801"/>
      <c r="T25" s="2825"/>
      <c r="U25" s="2825"/>
      <c r="V25" s="2825"/>
      <c r="W25" s="2826"/>
      <c r="X25" s="2826"/>
      <c r="Y25" s="2826"/>
      <c r="Z25" s="2826"/>
      <c r="AA25" s="2825"/>
      <c r="AB25" s="2825"/>
      <c r="AC25" s="2825"/>
      <c r="AD25" s="2825"/>
      <c r="AE25" s="2827"/>
      <c r="AF25" s="2825"/>
      <c r="AG25" s="2825"/>
      <c r="AH25" s="2825"/>
      <c r="AI25" s="2825"/>
      <c r="AJ25" s="2825"/>
      <c r="AK25" s="2825"/>
    </row>
    <row r="26" spans="4:37">
      <c r="D26" s="861"/>
      <c r="E26" s="862"/>
      <c r="F26" s="862"/>
      <c r="G26" s="2797"/>
      <c r="H26" s="2797"/>
      <c r="I26" s="2797"/>
      <c r="J26" s="2797"/>
      <c r="K26" s="2797"/>
      <c r="L26" s="2797"/>
      <c r="M26" s="2799"/>
      <c r="N26" s="2797"/>
      <c r="O26" s="2797"/>
      <c r="P26" s="2797"/>
      <c r="Q26" s="2799"/>
      <c r="R26" s="2799"/>
      <c r="S26" s="2797"/>
      <c r="T26" s="2802"/>
      <c r="U26" s="2803"/>
      <c r="V26" s="2803"/>
      <c r="W26" s="2804"/>
      <c r="X26" s="2804"/>
      <c r="Y26" s="2804"/>
      <c r="Z26" s="2804"/>
      <c r="AA26" s="2803"/>
      <c r="AB26" s="2803"/>
      <c r="AC26" s="2803"/>
      <c r="AD26" s="2803"/>
      <c r="AE26" s="2830"/>
      <c r="AF26" s="2831"/>
      <c r="AG26" s="2831"/>
      <c r="AH26" s="2831"/>
      <c r="AI26" s="2831"/>
      <c r="AJ26" s="2831"/>
      <c r="AK26" s="2803"/>
    </row>
    <row r="27" spans="4:37">
      <c r="G27" s="2797"/>
      <c r="H27" s="2797"/>
      <c r="I27" s="2797"/>
      <c r="J27" s="2797"/>
      <c r="K27" s="2797"/>
      <c r="L27" s="2797"/>
      <c r="M27" s="2799"/>
      <c r="N27" s="2797"/>
      <c r="O27" s="2797"/>
      <c r="P27" s="2797"/>
      <c r="Q27" s="2799"/>
      <c r="R27" s="2799"/>
      <c r="S27" s="2797"/>
      <c r="T27" s="2802"/>
      <c r="U27" s="2803"/>
      <c r="V27" s="2803"/>
      <c r="W27" s="2804"/>
      <c r="X27" s="2804"/>
      <c r="Y27" s="2804"/>
      <c r="Z27" s="2804"/>
      <c r="AA27" s="2803"/>
      <c r="AB27" s="2803"/>
      <c r="AC27" s="2803"/>
      <c r="AD27" s="2803"/>
      <c r="AE27" s="2832"/>
      <c r="AF27" s="2833"/>
      <c r="AG27" s="2833"/>
      <c r="AH27" s="2833"/>
      <c r="AI27" s="2803"/>
      <c r="AJ27" s="2803"/>
      <c r="AK27" s="2803"/>
    </row>
    <row r="28" spans="4:37">
      <c r="G28" s="2797"/>
      <c r="H28" s="2797"/>
      <c r="I28" s="2797"/>
      <c r="J28" s="2797"/>
      <c r="K28" s="2797"/>
      <c r="L28" s="2797"/>
      <c r="M28" s="2799"/>
      <c r="N28" s="2797"/>
      <c r="O28" s="2797"/>
      <c r="P28" s="2797"/>
      <c r="Q28" s="2799"/>
      <c r="R28" s="2799"/>
      <c r="S28" s="2797"/>
      <c r="T28" s="2802"/>
      <c r="U28" s="2803"/>
      <c r="V28" s="2803"/>
      <c r="W28" s="2804"/>
      <c r="X28" s="2804"/>
      <c r="Y28" s="2804"/>
      <c r="Z28" s="2804"/>
      <c r="AA28" s="2803"/>
      <c r="AB28" s="2803"/>
      <c r="AC28" s="2803"/>
      <c r="AD28" s="2803"/>
      <c r="AE28" s="2834"/>
      <c r="AF28" s="2835"/>
      <c r="AG28" s="2836"/>
      <c r="AH28" s="2837"/>
      <c r="AI28" s="2803"/>
      <c r="AJ28" s="2803"/>
      <c r="AK28" s="2803"/>
    </row>
    <row r="29" spans="4:37">
      <c r="G29" s="2797"/>
      <c r="H29" s="2797"/>
      <c r="I29" s="2797"/>
      <c r="J29" s="2797"/>
      <c r="K29" s="2797"/>
      <c r="L29" s="2797"/>
      <c r="M29" s="2799"/>
      <c r="N29" s="2797"/>
      <c r="O29" s="2797"/>
      <c r="P29" s="2797"/>
      <c r="Q29" s="2799"/>
      <c r="R29" s="2799"/>
      <c r="S29" s="2797"/>
      <c r="T29" s="2802"/>
      <c r="U29" s="2803"/>
      <c r="V29" s="2803"/>
      <c r="W29" s="2804"/>
      <c r="X29" s="2804"/>
      <c r="Y29" s="2804"/>
      <c r="Z29" s="2804"/>
      <c r="AA29" s="2803"/>
      <c r="AB29" s="2803"/>
      <c r="AC29" s="2803"/>
      <c r="AD29" s="2803"/>
      <c r="AE29" s="2834"/>
      <c r="AF29" s="2837"/>
      <c r="AG29" s="2836"/>
      <c r="AH29" s="2837"/>
      <c r="AI29" s="2838"/>
      <c r="AJ29" s="2803"/>
      <c r="AK29" s="2803"/>
    </row>
    <row r="30" spans="4:37">
      <c r="G30" s="2797"/>
      <c r="H30" s="2797"/>
      <c r="I30" s="2797"/>
      <c r="J30" s="2797"/>
      <c r="K30" s="2797"/>
      <c r="L30" s="2797"/>
      <c r="M30" s="2799"/>
      <c r="N30" s="2797"/>
      <c r="O30" s="2797"/>
      <c r="P30" s="2797"/>
      <c r="Q30" s="2799"/>
      <c r="R30" s="2799"/>
      <c r="S30" s="2797"/>
      <c r="T30" s="2802"/>
      <c r="U30" s="2803"/>
      <c r="V30" s="2803"/>
      <c r="W30" s="2804"/>
      <c r="X30" s="2804"/>
      <c r="Y30" s="2804"/>
      <c r="Z30" s="2804"/>
      <c r="AA30" s="2803"/>
      <c r="AB30" s="2803"/>
      <c r="AC30" s="2803"/>
      <c r="AD30" s="2803"/>
      <c r="AE30" s="2834"/>
      <c r="AF30" s="2837"/>
      <c r="AG30" s="2836"/>
      <c r="AH30" s="2837"/>
      <c r="AI30" s="2803"/>
      <c r="AJ30" s="2803"/>
      <c r="AK30" s="2803"/>
    </row>
    <row r="31" spans="4:37">
      <c r="G31" s="2797"/>
      <c r="H31" s="2797"/>
      <c r="I31" s="2797"/>
      <c r="J31" s="2797"/>
      <c r="K31" s="2797"/>
      <c r="L31" s="2797"/>
      <c r="M31" s="2799"/>
      <c r="N31" s="2797"/>
      <c r="O31" s="2797"/>
      <c r="P31" s="2797"/>
      <c r="Q31" s="2799"/>
      <c r="R31" s="2799"/>
      <c r="S31" s="2797"/>
      <c r="T31" s="2802"/>
      <c r="U31" s="2803"/>
      <c r="V31" s="2803"/>
      <c r="W31" s="2804"/>
      <c r="X31" s="2804"/>
      <c r="Y31" s="2804"/>
      <c r="Z31" s="2804"/>
      <c r="AA31" s="2803"/>
      <c r="AB31" s="2803"/>
      <c r="AC31" s="2803"/>
      <c r="AD31" s="2803"/>
      <c r="AE31" s="2819"/>
      <c r="AF31" s="2839"/>
      <c r="AG31" s="2840"/>
      <c r="AH31" s="2837"/>
      <c r="AI31" s="2803"/>
      <c r="AJ31" s="2803"/>
      <c r="AK31" s="2803"/>
    </row>
    <row r="32" spans="4:37" hidden="1">
      <c r="G32" s="2797"/>
      <c r="H32" s="2797"/>
      <c r="I32" s="2797"/>
      <c r="J32" s="2797"/>
      <c r="K32" s="2797"/>
      <c r="L32" s="2797"/>
      <c r="M32" s="2799"/>
      <c r="N32" s="2797"/>
      <c r="O32" s="2797"/>
      <c r="P32" s="2797"/>
      <c r="Q32" s="2799"/>
      <c r="R32" s="2799"/>
      <c r="S32" s="2797"/>
      <c r="T32" s="2802"/>
      <c r="U32" s="2803"/>
      <c r="V32" s="2803"/>
      <c r="W32" s="2804"/>
      <c r="X32" s="2804"/>
      <c r="Y32" s="2804"/>
      <c r="Z32" s="2804"/>
      <c r="AA32" s="2803"/>
      <c r="AB32" s="2803"/>
      <c r="AC32" s="2803"/>
      <c r="AD32" s="2803"/>
      <c r="AE32" s="2841"/>
      <c r="AF32" s="2842"/>
      <c r="AG32" s="2843"/>
      <c r="AH32" s="2842"/>
      <c r="AI32" s="2803"/>
      <c r="AJ32" s="2803"/>
      <c r="AK32" s="2803"/>
    </row>
    <row r="33" spans="4:37">
      <c r="G33" s="2797"/>
      <c r="H33" s="2797"/>
      <c r="I33" s="2797"/>
      <c r="J33" s="2797"/>
      <c r="K33" s="2797"/>
      <c r="L33" s="2797"/>
      <c r="M33" s="2799"/>
      <c r="N33" s="2797"/>
      <c r="O33" s="2797"/>
      <c r="P33" s="2797"/>
      <c r="Q33" s="2799"/>
      <c r="R33" s="2799"/>
      <c r="S33" s="2797"/>
      <c r="T33" s="2802"/>
      <c r="U33" s="2803"/>
      <c r="V33" s="2803"/>
      <c r="W33" s="2804"/>
      <c r="X33" s="2804"/>
      <c r="Y33" s="2804"/>
      <c r="Z33" s="2804"/>
      <c r="AA33" s="2803"/>
      <c r="AB33" s="2803"/>
      <c r="AC33" s="2803"/>
      <c r="AD33" s="2803"/>
      <c r="AE33" s="2819"/>
      <c r="AF33" s="2839"/>
      <c r="AG33" s="2833"/>
      <c r="AH33" s="2837"/>
      <c r="AI33" s="2803"/>
      <c r="AJ33" s="2803"/>
      <c r="AK33" s="2803"/>
    </row>
    <row r="34" spans="4:37">
      <c r="G34" s="2797"/>
      <c r="H34" s="2797"/>
      <c r="I34" s="2797"/>
      <c r="J34" s="2797"/>
      <c r="K34" s="2797"/>
      <c r="L34" s="2797"/>
      <c r="M34" s="2799"/>
      <c r="N34" s="2797"/>
      <c r="O34" s="2797"/>
      <c r="P34" s="2797"/>
      <c r="Q34" s="2799"/>
      <c r="R34" s="2799"/>
      <c r="S34" s="2797"/>
      <c r="T34" s="2802"/>
      <c r="U34" s="2803"/>
      <c r="V34" s="2803"/>
      <c r="W34" s="2804"/>
      <c r="X34" s="2804"/>
      <c r="Y34" s="2804"/>
      <c r="Z34" s="2804"/>
      <c r="AA34" s="2803"/>
      <c r="AB34" s="2803"/>
      <c r="AC34" s="2803"/>
      <c r="AD34" s="2803"/>
      <c r="AE34" s="2844"/>
      <c r="AF34" s="2838"/>
      <c r="AG34" s="2803"/>
      <c r="AH34" s="2803"/>
      <c r="AI34" s="2803"/>
      <c r="AJ34" s="2803"/>
      <c r="AK34" s="2803"/>
    </row>
    <row r="35" spans="4:37">
      <c r="L35" s="863"/>
      <c r="M35" s="864"/>
      <c r="N35" s="863"/>
      <c r="O35" s="863"/>
      <c r="P35" s="863"/>
      <c r="Q35" s="864"/>
      <c r="R35" s="864"/>
      <c r="S35" s="863"/>
      <c r="T35" s="657"/>
      <c r="U35" s="658"/>
      <c r="V35" s="658"/>
      <c r="W35" s="636"/>
      <c r="X35" s="636"/>
      <c r="Y35" s="636"/>
      <c r="Z35" s="636"/>
      <c r="AA35" s="658"/>
      <c r="AB35" s="658"/>
      <c r="AC35" s="658"/>
      <c r="AD35" s="658"/>
      <c r="AF35" s="1960"/>
      <c r="AG35" s="642"/>
    </row>
    <row r="36" spans="4:37">
      <c r="L36" s="863"/>
      <c r="M36" s="864"/>
      <c r="N36" s="863">
        <v>950000</v>
      </c>
      <c r="O36" s="863"/>
      <c r="P36" s="863"/>
      <c r="Q36" s="864"/>
      <c r="R36" s="864"/>
      <c r="S36" s="863"/>
      <c r="T36" s="657"/>
      <c r="U36" s="658"/>
      <c r="V36" s="658"/>
      <c r="W36" s="636"/>
      <c r="X36" s="636"/>
      <c r="Y36" s="636"/>
      <c r="Z36" s="636"/>
      <c r="AA36" s="658"/>
      <c r="AB36" s="658"/>
      <c r="AC36" s="658"/>
      <c r="AD36" s="658"/>
      <c r="AF36" s="658"/>
      <c r="AG36" s="642"/>
    </row>
    <row r="37" spans="4:37">
      <c r="D37" s="869"/>
      <c r="E37" s="869"/>
      <c r="F37" s="869"/>
      <c r="G37" s="869"/>
      <c r="H37" s="869"/>
      <c r="I37" s="869"/>
      <c r="J37" s="869"/>
      <c r="K37" s="869"/>
      <c r="L37" s="867"/>
      <c r="M37" s="868"/>
      <c r="N37" s="867"/>
      <c r="O37" s="863"/>
      <c r="P37" s="863"/>
      <c r="Q37" s="864"/>
      <c r="R37" s="864"/>
      <c r="S37" s="863"/>
      <c r="T37" s="657"/>
      <c r="U37" s="658"/>
      <c r="V37" s="658"/>
      <c r="W37" s="636"/>
      <c r="X37" s="636"/>
      <c r="Y37" s="636"/>
      <c r="Z37" s="636"/>
      <c r="AA37" s="658"/>
      <c r="AB37" s="658"/>
      <c r="AC37" s="658"/>
      <c r="AD37" s="658"/>
      <c r="AF37" s="658"/>
      <c r="AG37" s="642"/>
    </row>
    <row r="38" spans="4:37">
      <c r="D38" s="869"/>
      <c r="E38" s="869"/>
      <c r="F38" s="869"/>
      <c r="G38" s="869"/>
      <c r="H38" s="869"/>
      <c r="I38" s="869"/>
      <c r="J38" s="869"/>
      <c r="K38" s="869"/>
      <c r="L38" s="867"/>
      <c r="M38" s="870"/>
      <c r="N38" s="867"/>
      <c r="O38" s="863"/>
      <c r="P38" s="863"/>
      <c r="Q38" s="864"/>
      <c r="R38" s="864"/>
      <c r="S38" s="863"/>
      <c r="T38" s="657"/>
      <c r="U38" s="658"/>
      <c r="V38" s="658"/>
      <c r="W38" s="636"/>
      <c r="X38" s="636"/>
      <c r="Y38" s="636"/>
      <c r="Z38" s="636"/>
      <c r="AA38" s="658"/>
      <c r="AB38" s="658"/>
      <c r="AC38" s="658"/>
      <c r="AD38" s="658"/>
      <c r="AF38" s="658"/>
      <c r="AG38" s="642"/>
    </row>
    <row r="39" spans="4:37">
      <c r="D39" s="869"/>
      <c r="E39" s="869"/>
      <c r="F39" s="869"/>
      <c r="G39" s="869"/>
      <c r="H39" s="869"/>
      <c r="I39" s="869"/>
      <c r="J39" s="869"/>
      <c r="K39" s="869"/>
      <c r="L39" s="867"/>
      <c r="M39" s="870"/>
      <c r="N39" s="867"/>
      <c r="O39" s="863"/>
      <c r="P39" s="867"/>
      <c r="Q39" s="868"/>
      <c r="R39" s="864"/>
      <c r="S39" s="867"/>
      <c r="T39" s="657"/>
      <c r="U39" s="658"/>
      <c r="V39" s="658"/>
      <c r="W39" s="636"/>
      <c r="X39" s="636"/>
      <c r="Y39" s="636"/>
      <c r="Z39" s="636"/>
      <c r="AA39" s="658"/>
      <c r="AB39" s="658"/>
      <c r="AC39" s="658"/>
      <c r="AD39" s="658"/>
      <c r="AF39" s="658"/>
      <c r="AG39" s="642"/>
    </row>
    <row r="40" spans="4:37">
      <c r="D40" s="869"/>
      <c r="E40" s="869"/>
      <c r="F40" s="869"/>
      <c r="G40" s="869"/>
      <c r="H40" s="869"/>
      <c r="I40" s="869"/>
      <c r="J40" s="869"/>
      <c r="K40" s="869"/>
      <c r="L40" s="867"/>
      <c r="M40" s="870"/>
      <c r="N40" s="867"/>
      <c r="O40" s="863"/>
      <c r="P40" s="867"/>
      <c r="Q40" s="868"/>
      <c r="R40" s="864"/>
      <c r="S40" s="863"/>
      <c r="T40" s="657"/>
      <c r="U40" s="658"/>
      <c r="V40" s="658"/>
      <c r="W40" s="636"/>
      <c r="X40" s="636"/>
      <c r="Y40" s="636"/>
      <c r="Z40" s="636"/>
      <c r="AA40" s="658"/>
      <c r="AB40" s="658"/>
      <c r="AC40" s="658"/>
      <c r="AD40" s="658"/>
      <c r="AF40" s="658"/>
      <c r="AG40" s="642"/>
    </row>
    <row r="41" spans="4:37">
      <c r="D41" s="869"/>
      <c r="E41" s="869"/>
      <c r="F41" s="869"/>
      <c r="G41" s="869"/>
      <c r="H41" s="869"/>
      <c r="I41" s="869"/>
      <c r="J41" s="869"/>
      <c r="K41" s="869"/>
      <c r="L41" s="867"/>
      <c r="M41" s="870"/>
      <c r="N41" s="867"/>
      <c r="O41" s="863"/>
      <c r="P41" s="863"/>
      <c r="Q41" s="864"/>
      <c r="R41" s="864"/>
      <c r="S41" s="863"/>
      <c r="T41" s="657"/>
      <c r="U41" s="658"/>
      <c r="V41" s="658"/>
      <c r="W41" s="636"/>
      <c r="X41" s="636"/>
      <c r="Y41" s="636"/>
      <c r="Z41" s="636"/>
      <c r="AA41" s="658"/>
      <c r="AB41" s="658"/>
      <c r="AC41" s="658"/>
      <c r="AD41" s="658"/>
      <c r="AF41" s="658"/>
      <c r="AG41" s="642"/>
    </row>
    <row r="42" spans="4:37">
      <c r="D42" s="869"/>
      <c r="E42" s="869"/>
      <c r="F42" s="869"/>
      <c r="G42" s="869"/>
      <c r="H42" s="869"/>
      <c r="I42" s="869"/>
      <c r="J42" s="869"/>
      <c r="K42" s="869"/>
      <c r="L42" s="867"/>
      <c r="M42" s="868"/>
      <c r="N42" s="867"/>
      <c r="O42" s="863"/>
      <c r="P42" s="863"/>
      <c r="Q42" s="864"/>
      <c r="R42" s="864"/>
      <c r="S42" s="863"/>
      <c r="T42" s="657"/>
      <c r="U42" s="658"/>
      <c r="V42" s="658"/>
      <c r="W42" s="636"/>
      <c r="X42" s="636"/>
      <c r="Y42" s="636"/>
      <c r="Z42" s="636"/>
      <c r="AA42" s="658"/>
      <c r="AB42" s="658"/>
      <c r="AC42" s="658"/>
      <c r="AD42" s="658"/>
      <c r="AF42" s="658"/>
      <c r="AG42" s="642"/>
    </row>
    <row r="43" spans="4:37">
      <c r="D43" s="869"/>
      <c r="E43" s="869"/>
      <c r="F43" s="869"/>
      <c r="G43" s="869"/>
      <c r="H43" s="869"/>
      <c r="I43" s="869"/>
      <c r="J43" s="869"/>
      <c r="K43" s="869"/>
      <c r="L43" s="863"/>
      <c r="M43" s="864"/>
      <c r="N43" s="863">
        <v>1594800</v>
      </c>
      <c r="O43" s="863"/>
      <c r="P43" s="863"/>
      <c r="Q43" s="864"/>
      <c r="R43" s="864"/>
      <c r="S43" s="863"/>
      <c r="T43" s="657"/>
      <c r="U43" s="658"/>
      <c r="V43" s="658"/>
      <c r="W43" s="636"/>
      <c r="X43" s="636"/>
      <c r="Y43" s="636"/>
      <c r="Z43" s="636"/>
      <c r="AA43" s="658"/>
      <c r="AB43" s="658"/>
      <c r="AC43" s="658"/>
      <c r="AD43" s="658"/>
      <c r="AF43" s="658"/>
      <c r="AG43" s="642"/>
    </row>
    <row r="44" spans="4:37">
      <c r="D44" s="869"/>
      <c r="E44" s="869"/>
      <c r="F44" s="869"/>
      <c r="G44" s="869"/>
      <c r="H44" s="869"/>
      <c r="I44" s="869"/>
      <c r="J44" s="869"/>
      <c r="K44" s="869"/>
      <c r="L44" s="863"/>
      <c r="M44" s="864"/>
      <c r="N44" s="863">
        <v>287600</v>
      </c>
      <c r="O44" s="863"/>
      <c r="P44" s="863"/>
      <c r="Q44" s="864"/>
      <c r="R44" s="864"/>
      <c r="S44" s="863"/>
      <c r="T44" s="657"/>
      <c r="U44" s="658"/>
      <c r="V44" s="658"/>
      <c r="W44" s="636"/>
      <c r="X44" s="636"/>
      <c r="Y44" s="636"/>
      <c r="Z44" s="636"/>
      <c r="AA44" s="658"/>
      <c r="AB44" s="658"/>
      <c r="AC44" s="658"/>
      <c r="AD44" s="658"/>
      <c r="AF44" s="658"/>
      <c r="AG44" s="642"/>
    </row>
    <row r="45" spans="4:37">
      <c r="D45" s="869"/>
      <c r="E45" s="869"/>
      <c r="F45" s="869"/>
      <c r="G45" s="869"/>
      <c r="H45" s="869"/>
      <c r="I45" s="869"/>
      <c r="J45" s="869"/>
      <c r="K45" s="869"/>
      <c r="L45" s="863"/>
      <c r="M45" s="864"/>
      <c r="N45" s="863">
        <v>10491096</v>
      </c>
      <c r="O45" s="863"/>
      <c r="P45" s="863"/>
      <c r="Q45" s="864"/>
      <c r="R45" s="864"/>
      <c r="S45" s="863"/>
      <c r="T45" s="657"/>
      <c r="U45" s="658"/>
      <c r="V45" s="658"/>
      <c r="W45" s="636"/>
      <c r="X45" s="636"/>
      <c r="Y45" s="636"/>
      <c r="Z45" s="636"/>
      <c r="AA45" s="658"/>
      <c r="AB45" s="658"/>
      <c r="AC45" s="658"/>
      <c r="AD45" s="658"/>
      <c r="AF45" s="658"/>
      <c r="AG45" s="642"/>
    </row>
    <row r="46" spans="4:37">
      <c r="D46" s="869"/>
      <c r="E46" s="869"/>
      <c r="F46" s="869"/>
      <c r="G46" s="869"/>
      <c r="H46" s="869"/>
      <c r="I46" s="869"/>
      <c r="J46" s="869"/>
      <c r="K46" s="869"/>
      <c r="L46" s="863"/>
      <c r="M46" s="864"/>
      <c r="N46" s="863">
        <v>3834157</v>
      </c>
      <c r="O46" s="863"/>
      <c r="P46" s="863"/>
      <c r="Q46" s="864"/>
      <c r="R46" s="864"/>
      <c r="S46" s="863"/>
      <c r="T46" s="657"/>
      <c r="U46" s="658"/>
      <c r="V46" s="658"/>
      <c r="W46" s="636"/>
      <c r="X46" s="636"/>
      <c r="Y46" s="636"/>
      <c r="Z46" s="636"/>
      <c r="AA46" s="658"/>
      <c r="AB46" s="658"/>
      <c r="AC46" s="658"/>
      <c r="AD46" s="658"/>
      <c r="AF46" s="658"/>
      <c r="AG46" s="642"/>
    </row>
    <row r="47" spans="4:37">
      <c r="D47" s="869"/>
      <c r="E47" s="869"/>
      <c r="F47" s="869"/>
      <c r="G47" s="869"/>
      <c r="H47" s="869"/>
      <c r="I47" s="869"/>
      <c r="J47" s="869"/>
      <c r="K47" s="869"/>
      <c r="L47" s="863"/>
      <c r="M47" s="864"/>
      <c r="N47" s="863">
        <v>3870000</v>
      </c>
      <c r="O47" s="863"/>
      <c r="P47" s="863"/>
      <c r="Q47" s="864"/>
      <c r="R47" s="864"/>
      <c r="S47" s="863"/>
      <c r="T47" s="657"/>
      <c r="U47" s="658"/>
      <c r="V47" s="658"/>
      <c r="W47" s="636"/>
      <c r="X47" s="636"/>
      <c r="Y47" s="636"/>
      <c r="Z47" s="636"/>
      <c r="AA47" s="658"/>
      <c r="AB47" s="658"/>
      <c r="AC47" s="658"/>
      <c r="AD47" s="658"/>
      <c r="AF47" s="658"/>
      <c r="AG47" s="642"/>
    </row>
    <row r="48" spans="4:37">
      <c r="D48" s="869"/>
      <c r="E48" s="869"/>
      <c r="F48" s="869"/>
      <c r="G48" s="869"/>
      <c r="H48" s="869"/>
      <c r="I48" s="869"/>
      <c r="J48" s="869"/>
      <c r="K48" s="869"/>
      <c r="L48" s="863"/>
      <c r="M48" s="864"/>
      <c r="N48" s="863"/>
      <c r="O48" s="863"/>
      <c r="P48" s="863"/>
      <c r="Q48" s="864"/>
      <c r="R48" s="864"/>
      <c r="S48" s="863"/>
      <c r="T48" s="657"/>
      <c r="U48" s="658"/>
      <c r="V48" s="658"/>
      <c r="W48" s="636"/>
      <c r="X48" s="636"/>
      <c r="Y48" s="636"/>
      <c r="Z48" s="636"/>
      <c r="AA48" s="658"/>
      <c r="AB48" s="658"/>
      <c r="AC48" s="658"/>
      <c r="AD48" s="658"/>
      <c r="AF48" s="658"/>
      <c r="AG48" s="642"/>
    </row>
    <row r="49" spans="4:33">
      <c r="D49" s="869"/>
      <c r="E49" s="869"/>
      <c r="F49" s="869"/>
      <c r="G49" s="869"/>
      <c r="H49" s="869"/>
      <c r="I49" s="869"/>
      <c r="J49" s="869"/>
      <c r="K49" s="869"/>
      <c r="W49" s="627"/>
      <c r="X49" s="627"/>
      <c r="Y49" s="627"/>
      <c r="Z49" s="627"/>
      <c r="AG49" s="642"/>
    </row>
    <row r="50" spans="4:33">
      <c r="D50" s="869"/>
      <c r="E50" s="869"/>
      <c r="F50" s="869"/>
      <c r="G50" s="869"/>
      <c r="H50" s="869"/>
      <c r="I50" s="869"/>
      <c r="J50" s="869"/>
      <c r="K50" s="869"/>
      <c r="W50" s="627"/>
      <c r="X50" s="627"/>
      <c r="Y50" s="627"/>
      <c r="Z50" s="627"/>
      <c r="AG50" s="642"/>
    </row>
    <row r="51" spans="4:33">
      <c r="D51" s="869"/>
      <c r="E51" s="869"/>
      <c r="F51" s="869"/>
      <c r="G51" s="869"/>
      <c r="H51" s="869"/>
      <c r="I51" s="869"/>
      <c r="J51" s="869"/>
      <c r="K51" s="869"/>
      <c r="W51" s="627"/>
      <c r="X51" s="627"/>
      <c r="Y51" s="627"/>
      <c r="Z51" s="627"/>
      <c r="AG51" s="642"/>
    </row>
    <row r="52" spans="4:33">
      <c r="D52" s="869"/>
      <c r="E52" s="869"/>
      <c r="F52" s="869"/>
      <c r="G52" s="869"/>
      <c r="H52" s="869"/>
      <c r="I52" s="869"/>
      <c r="J52" s="869"/>
      <c r="K52" s="869"/>
      <c r="W52" s="627"/>
      <c r="X52" s="627"/>
      <c r="Y52" s="627"/>
      <c r="Z52" s="627"/>
      <c r="AG52" s="642"/>
    </row>
    <row r="53" spans="4:33">
      <c r="D53" s="869"/>
      <c r="E53" s="869"/>
      <c r="F53" s="869"/>
      <c r="G53" s="869"/>
      <c r="H53" s="869"/>
      <c r="I53" s="869"/>
      <c r="J53" s="869"/>
      <c r="K53" s="869"/>
      <c r="L53" s="869"/>
      <c r="M53" s="869"/>
      <c r="N53" s="869"/>
      <c r="O53" s="869"/>
      <c r="P53" s="869"/>
      <c r="Q53" s="869"/>
      <c r="R53" s="869"/>
      <c r="S53" s="869"/>
      <c r="T53" s="642"/>
      <c r="W53" s="627"/>
      <c r="X53" s="627"/>
      <c r="Y53" s="627"/>
      <c r="Z53" s="627"/>
      <c r="AG53" s="642"/>
    </row>
    <row r="54" spans="4:33">
      <c r="D54" s="869"/>
      <c r="E54" s="869"/>
      <c r="F54" s="869"/>
      <c r="G54" s="869"/>
      <c r="H54" s="869"/>
      <c r="I54" s="869"/>
      <c r="J54" s="869"/>
      <c r="K54" s="869"/>
      <c r="L54" s="869"/>
      <c r="M54" s="869"/>
      <c r="N54" s="869"/>
      <c r="O54" s="869"/>
      <c r="P54" s="869"/>
      <c r="Q54" s="869"/>
      <c r="R54" s="869"/>
      <c r="S54" s="869"/>
      <c r="T54" s="642"/>
      <c r="W54" s="627"/>
      <c r="X54" s="627"/>
      <c r="Y54" s="627"/>
      <c r="Z54" s="627"/>
      <c r="AG54" s="642"/>
    </row>
    <row r="55" spans="4:33"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642"/>
      <c r="W55" s="627"/>
      <c r="X55" s="627"/>
      <c r="Y55" s="627"/>
      <c r="Z55" s="627"/>
      <c r="AG55" s="642"/>
    </row>
    <row r="56" spans="4:33"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869"/>
      <c r="O56" s="869"/>
      <c r="P56" s="869"/>
      <c r="Q56" s="869"/>
      <c r="R56" s="869"/>
      <c r="S56" s="869"/>
      <c r="T56" s="642"/>
      <c r="W56" s="627"/>
      <c r="X56" s="627"/>
      <c r="Y56" s="627"/>
      <c r="Z56" s="627"/>
      <c r="AG56" s="642"/>
    </row>
    <row r="57" spans="4:33"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  <c r="O57" s="869"/>
      <c r="P57" s="869"/>
      <c r="Q57" s="869"/>
      <c r="R57" s="869"/>
      <c r="S57" s="869"/>
      <c r="T57" s="642"/>
      <c r="W57" s="627"/>
      <c r="X57" s="627"/>
      <c r="Y57" s="627"/>
      <c r="Z57" s="627"/>
      <c r="AG57" s="642"/>
    </row>
    <row r="58" spans="4:33">
      <c r="D58" s="869"/>
      <c r="E58" s="869"/>
      <c r="F58" s="869"/>
      <c r="G58" s="869"/>
      <c r="H58" s="869"/>
      <c r="I58" s="869"/>
      <c r="J58" s="869"/>
      <c r="K58" s="869"/>
      <c r="L58" s="869"/>
      <c r="M58" s="869"/>
      <c r="N58" s="869"/>
      <c r="O58" s="869"/>
      <c r="P58" s="869"/>
      <c r="Q58" s="869"/>
      <c r="R58" s="869"/>
      <c r="S58" s="869"/>
      <c r="T58" s="642"/>
      <c r="W58" s="627"/>
      <c r="X58" s="627"/>
      <c r="Y58" s="627"/>
      <c r="Z58" s="627"/>
      <c r="AG58" s="642"/>
    </row>
    <row r="59" spans="4:33">
      <c r="D59" s="869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642"/>
      <c r="W59" s="627"/>
      <c r="X59" s="627"/>
      <c r="Y59" s="627"/>
      <c r="Z59" s="627"/>
      <c r="AG59" s="642"/>
    </row>
    <row r="60" spans="4:33">
      <c r="D60" s="869"/>
      <c r="E60" s="869"/>
      <c r="F60" s="869"/>
      <c r="G60" s="869"/>
      <c r="H60" s="869"/>
      <c r="I60" s="869"/>
      <c r="J60" s="869"/>
      <c r="K60" s="869"/>
      <c r="L60" s="869"/>
      <c r="M60" s="869"/>
      <c r="N60" s="869"/>
      <c r="O60" s="869"/>
      <c r="P60" s="869"/>
      <c r="Q60" s="869"/>
      <c r="R60" s="869"/>
      <c r="S60" s="869"/>
      <c r="T60" s="642"/>
      <c r="W60" s="627"/>
      <c r="X60" s="627"/>
      <c r="Y60" s="627"/>
      <c r="Z60" s="627"/>
      <c r="AG60" s="642"/>
    </row>
    <row r="61" spans="4:33">
      <c r="D61" s="869"/>
      <c r="E61" s="869"/>
      <c r="F61" s="869"/>
      <c r="G61" s="869"/>
      <c r="H61" s="869"/>
      <c r="I61" s="869"/>
      <c r="J61" s="869"/>
      <c r="K61" s="869"/>
      <c r="L61" s="869"/>
      <c r="M61" s="869"/>
      <c r="N61" s="869"/>
      <c r="O61" s="869"/>
      <c r="P61" s="869"/>
      <c r="Q61" s="869"/>
      <c r="R61" s="869"/>
      <c r="S61" s="869"/>
      <c r="T61" s="642"/>
      <c r="W61" s="627"/>
      <c r="X61" s="627"/>
      <c r="Y61" s="627"/>
      <c r="Z61" s="627"/>
      <c r="AG61" s="642"/>
    </row>
    <row r="62" spans="4:33">
      <c r="D62" s="869"/>
      <c r="E62" s="869"/>
      <c r="F62" s="869"/>
      <c r="G62" s="869"/>
      <c r="H62" s="869"/>
      <c r="I62" s="869"/>
      <c r="J62" s="869"/>
      <c r="K62" s="869"/>
      <c r="L62" s="869"/>
      <c r="M62" s="869"/>
      <c r="N62" s="869"/>
      <c r="O62" s="869"/>
      <c r="P62" s="869"/>
      <c r="Q62" s="869"/>
      <c r="R62" s="869"/>
      <c r="S62" s="869"/>
      <c r="T62" s="642"/>
      <c r="W62" s="627"/>
      <c r="X62" s="627"/>
      <c r="Y62" s="627"/>
      <c r="Z62" s="627"/>
      <c r="AG62" s="642"/>
    </row>
    <row r="63" spans="4:33">
      <c r="D63" s="869"/>
      <c r="E63" s="869"/>
      <c r="F63" s="869"/>
      <c r="G63" s="869"/>
      <c r="H63" s="869"/>
      <c r="I63" s="869"/>
      <c r="J63" s="869"/>
      <c r="K63" s="869"/>
      <c r="L63" s="869"/>
      <c r="M63" s="869"/>
      <c r="N63" s="869"/>
      <c r="O63" s="869"/>
      <c r="P63" s="869"/>
      <c r="Q63" s="869"/>
      <c r="R63" s="869"/>
      <c r="S63" s="869"/>
      <c r="T63" s="642"/>
      <c r="W63" s="627"/>
      <c r="X63" s="627"/>
      <c r="Y63" s="627"/>
      <c r="Z63" s="627"/>
      <c r="AG63" s="642"/>
    </row>
    <row r="64" spans="4:33">
      <c r="D64" s="869"/>
      <c r="E64" s="869"/>
      <c r="F64" s="869"/>
      <c r="G64" s="869"/>
      <c r="H64" s="869"/>
      <c r="I64" s="869"/>
      <c r="J64" s="869"/>
      <c r="K64" s="869"/>
      <c r="L64" s="869"/>
      <c r="M64" s="869"/>
      <c r="N64" s="869"/>
      <c r="O64" s="869"/>
      <c r="P64" s="869"/>
      <c r="Q64" s="869"/>
      <c r="R64" s="869"/>
      <c r="S64" s="869"/>
      <c r="T64" s="642"/>
      <c r="W64" s="627"/>
      <c r="X64" s="627"/>
      <c r="Y64" s="627"/>
      <c r="Z64" s="627"/>
      <c r="AG64" s="642"/>
    </row>
    <row r="65" spans="4:33">
      <c r="D65" s="869"/>
      <c r="E65" s="869"/>
      <c r="F65" s="869"/>
      <c r="G65" s="869"/>
      <c r="H65" s="869"/>
      <c r="I65" s="869"/>
      <c r="J65" s="869"/>
      <c r="K65" s="869"/>
      <c r="L65" s="869"/>
      <c r="M65" s="869"/>
      <c r="N65" s="869"/>
      <c r="O65" s="869"/>
      <c r="P65" s="869"/>
      <c r="Q65" s="869"/>
      <c r="R65" s="869"/>
      <c r="S65" s="869"/>
      <c r="T65" s="642"/>
      <c r="W65" s="627"/>
      <c r="X65" s="627"/>
      <c r="Y65" s="627"/>
      <c r="Z65" s="627"/>
      <c r="AG65" s="642"/>
    </row>
    <row r="66" spans="4:33">
      <c r="D66" s="869"/>
      <c r="E66" s="869"/>
      <c r="F66" s="869"/>
      <c r="G66" s="869"/>
      <c r="H66" s="869"/>
      <c r="I66" s="869"/>
      <c r="J66" s="869"/>
      <c r="K66" s="869"/>
      <c r="L66" s="869"/>
      <c r="M66" s="869"/>
      <c r="N66" s="869"/>
      <c r="O66" s="869"/>
      <c r="P66" s="869"/>
      <c r="Q66" s="869"/>
      <c r="R66" s="869"/>
      <c r="S66" s="869"/>
      <c r="T66" s="642"/>
      <c r="W66" s="627"/>
      <c r="X66" s="627"/>
      <c r="Y66" s="627"/>
      <c r="Z66" s="627"/>
      <c r="AG66" s="642"/>
    </row>
    <row r="67" spans="4:33">
      <c r="D67" s="869"/>
      <c r="E67" s="869"/>
      <c r="F67" s="869"/>
      <c r="G67" s="869"/>
      <c r="H67" s="869"/>
      <c r="I67" s="869"/>
      <c r="J67" s="869"/>
      <c r="K67" s="869"/>
      <c r="L67" s="869"/>
      <c r="M67" s="869"/>
      <c r="N67" s="869"/>
      <c r="O67" s="869"/>
      <c r="P67" s="869"/>
      <c r="Q67" s="869"/>
      <c r="R67" s="869"/>
      <c r="S67" s="869"/>
      <c r="T67" s="642"/>
      <c r="W67" s="627"/>
      <c r="X67" s="627"/>
      <c r="Y67" s="627"/>
      <c r="Z67" s="627"/>
      <c r="AG67" s="642"/>
    </row>
    <row r="68" spans="4:33">
      <c r="D68" s="869"/>
      <c r="E68" s="869"/>
      <c r="F68" s="869"/>
      <c r="G68" s="869"/>
      <c r="H68" s="869"/>
      <c r="I68" s="869"/>
      <c r="J68" s="869"/>
      <c r="K68" s="869"/>
      <c r="L68" s="869"/>
      <c r="M68" s="869"/>
      <c r="N68" s="869"/>
      <c r="O68" s="869"/>
      <c r="P68" s="869"/>
      <c r="Q68" s="869"/>
      <c r="R68" s="869"/>
      <c r="S68" s="869"/>
      <c r="T68" s="642"/>
      <c r="W68" s="627"/>
      <c r="X68" s="627"/>
      <c r="Y68" s="627"/>
      <c r="Z68" s="627"/>
      <c r="AG68" s="642"/>
    </row>
    <row r="69" spans="4:33">
      <c r="D69" s="869"/>
      <c r="E69" s="869"/>
      <c r="F69" s="869"/>
      <c r="G69" s="869"/>
      <c r="H69" s="869"/>
      <c r="I69" s="869"/>
      <c r="J69" s="869"/>
      <c r="K69" s="869"/>
      <c r="L69" s="869"/>
      <c r="M69" s="869"/>
      <c r="N69" s="869"/>
      <c r="O69" s="869"/>
      <c r="P69" s="869"/>
      <c r="Q69" s="869"/>
      <c r="R69" s="869"/>
      <c r="S69" s="869"/>
      <c r="T69" s="642"/>
      <c r="W69" s="627"/>
      <c r="X69" s="627"/>
      <c r="Y69" s="627"/>
      <c r="Z69" s="627"/>
      <c r="AG69" s="642"/>
    </row>
    <row r="70" spans="4:33">
      <c r="D70" s="869"/>
      <c r="E70" s="869"/>
      <c r="F70" s="869"/>
      <c r="G70" s="869"/>
      <c r="H70" s="869"/>
      <c r="I70" s="869"/>
      <c r="J70" s="869"/>
      <c r="K70" s="869"/>
      <c r="L70" s="869"/>
      <c r="M70" s="869"/>
      <c r="N70" s="869"/>
      <c r="O70" s="869"/>
      <c r="P70" s="869"/>
      <c r="Q70" s="869"/>
      <c r="R70" s="869"/>
      <c r="S70" s="869"/>
      <c r="T70" s="642"/>
      <c r="W70" s="627"/>
      <c r="X70" s="627"/>
      <c r="Y70" s="627"/>
      <c r="Z70" s="627"/>
      <c r="AG70" s="642"/>
    </row>
    <row r="71" spans="4:33">
      <c r="D71" s="869"/>
      <c r="E71" s="869"/>
      <c r="F71" s="869"/>
      <c r="G71" s="869"/>
      <c r="H71" s="869"/>
      <c r="I71" s="869"/>
      <c r="J71" s="869"/>
      <c r="K71" s="869"/>
      <c r="L71" s="869"/>
      <c r="M71" s="869"/>
      <c r="N71" s="869"/>
      <c r="O71" s="869"/>
      <c r="P71" s="869"/>
      <c r="Q71" s="869"/>
      <c r="R71" s="869"/>
      <c r="S71" s="869"/>
      <c r="T71" s="642"/>
      <c r="W71" s="627"/>
      <c r="X71" s="627"/>
      <c r="Y71" s="627"/>
      <c r="Z71" s="627"/>
      <c r="AG71" s="642"/>
    </row>
    <row r="72" spans="4:33">
      <c r="D72" s="869"/>
      <c r="E72" s="869"/>
      <c r="F72" s="869"/>
      <c r="G72" s="869"/>
      <c r="H72" s="869"/>
      <c r="I72" s="869"/>
      <c r="J72" s="869"/>
      <c r="K72" s="869"/>
      <c r="L72" s="869"/>
      <c r="M72" s="869"/>
      <c r="N72" s="869"/>
      <c r="O72" s="869"/>
      <c r="P72" s="869"/>
      <c r="Q72" s="869"/>
      <c r="R72" s="869"/>
      <c r="S72" s="869"/>
      <c r="T72" s="642"/>
      <c r="W72" s="627"/>
      <c r="X72" s="627"/>
      <c r="Y72" s="627"/>
      <c r="Z72" s="627"/>
      <c r="AG72" s="642"/>
    </row>
    <row r="73" spans="4:33">
      <c r="D73" s="869"/>
      <c r="E73" s="869"/>
      <c r="F73" s="869"/>
      <c r="G73" s="869"/>
      <c r="H73" s="869"/>
      <c r="I73" s="869"/>
      <c r="J73" s="869"/>
      <c r="K73" s="869"/>
      <c r="L73" s="869"/>
      <c r="M73" s="869"/>
      <c r="N73" s="869"/>
      <c r="O73" s="869"/>
      <c r="P73" s="869"/>
      <c r="Q73" s="869"/>
      <c r="R73" s="869"/>
      <c r="S73" s="869"/>
      <c r="T73" s="642"/>
      <c r="W73" s="627"/>
      <c r="X73" s="627"/>
      <c r="Y73" s="627"/>
      <c r="Z73" s="627"/>
      <c r="AG73" s="642"/>
    </row>
    <row r="74" spans="4:33">
      <c r="D74" s="869"/>
      <c r="E74" s="869"/>
      <c r="F74" s="869"/>
      <c r="G74" s="869"/>
      <c r="H74" s="869"/>
      <c r="I74" s="869"/>
      <c r="J74" s="869"/>
      <c r="K74" s="869"/>
      <c r="L74" s="869"/>
      <c r="M74" s="869"/>
      <c r="N74" s="869"/>
      <c r="O74" s="869"/>
      <c r="P74" s="869"/>
      <c r="Q74" s="869"/>
      <c r="R74" s="869"/>
      <c r="S74" s="869"/>
      <c r="T74" s="642"/>
      <c r="W74" s="627"/>
      <c r="X74" s="627"/>
      <c r="Y74" s="627"/>
      <c r="Z74" s="627"/>
      <c r="AG74" s="642"/>
    </row>
    <row r="75" spans="4:33">
      <c r="D75" s="869"/>
      <c r="E75" s="869"/>
      <c r="F75" s="869"/>
      <c r="G75" s="869"/>
      <c r="H75" s="869"/>
      <c r="I75" s="869"/>
      <c r="J75" s="869"/>
      <c r="K75" s="869"/>
      <c r="L75" s="869"/>
      <c r="M75" s="869"/>
      <c r="N75" s="869"/>
      <c r="O75" s="869"/>
      <c r="P75" s="869"/>
      <c r="Q75" s="869"/>
      <c r="R75" s="869"/>
      <c r="S75" s="869"/>
      <c r="T75" s="642"/>
      <c r="W75" s="627"/>
      <c r="X75" s="627"/>
      <c r="Y75" s="627"/>
      <c r="Z75" s="627"/>
      <c r="AG75" s="642"/>
    </row>
    <row r="76" spans="4:33">
      <c r="D76" s="869"/>
      <c r="E76" s="869"/>
      <c r="F76" s="869"/>
      <c r="G76" s="869"/>
      <c r="H76" s="869"/>
      <c r="I76" s="869"/>
      <c r="J76" s="869"/>
      <c r="K76" s="869"/>
      <c r="L76" s="869"/>
      <c r="M76" s="869"/>
      <c r="N76" s="869"/>
      <c r="O76" s="869"/>
      <c r="P76" s="869"/>
      <c r="Q76" s="869"/>
      <c r="R76" s="869"/>
      <c r="S76" s="869"/>
      <c r="T76" s="642"/>
      <c r="W76" s="627"/>
      <c r="X76" s="627"/>
      <c r="Y76" s="627"/>
      <c r="Z76" s="627"/>
      <c r="AG76" s="642"/>
    </row>
    <row r="77" spans="4:33">
      <c r="D77" s="869"/>
      <c r="E77" s="869"/>
      <c r="F77" s="869"/>
      <c r="G77" s="869"/>
      <c r="H77" s="869"/>
      <c r="I77" s="869"/>
      <c r="J77" s="869"/>
      <c r="K77" s="869"/>
      <c r="L77" s="869"/>
      <c r="M77" s="869"/>
      <c r="N77" s="869"/>
      <c r="O77" s="869"/>
      <c r="P77" s="869"/>
      <c r="Q77" s="869"/>
      <c r="R77" s="869"/>
      <c r="S77" s="869"/>
      <c r="T77" s="642"/>
      <c r="W77" s="627"/>
      <c r="X77" s="627"/>
      <c r="Y77" s="627"/>
      <c r="Z77" s="627"/>
      <c r="AG77" s="642"/>
    </row>
    <row r="78" spans="4:33">
      <c r="D78" s="869"/>
      <c r="E78" s="869"/>
      <c r="F78" s="869"/>
      <c r="G78" s="869"/>
      <c r="H78" s="869"/>
      <c r="I78" s="869"/>
      <c r="J78" s="869"/>
      <c r="K78" s="869"/>
      <c r="L78" s="869"/>
      <c r="M78" s="869"/>
      <c r="N78" s="869"/>
      <c r="O78" s="869"/>
      <c r="P78" s="869"/>
      <c r="Q78" s="869"/>
      <c r="R78" s="869"/>
      <c r="S78" s="869"/>
      <c r="T78" s="642"/>
      <c r="W78" s="627"/>
      <c r="X78" s="627"/>
      <c r="Y78" s="627"/>
      <c r="Z78" s="627"/>
      <c r="AG78" s="642"/>
    </row>
    <row r="79" spans="4:33">
      <c r="D79" s="869"/>
      <c r="E79" s="869"/>
      <c r="F79" s="869"/>
      <c r="G79" s="869"/>
      <c r="H79" s="869"/>
      <c r="I79" s="869"/>
      <c r="J79" s="869"/>
      <c r="K79" s="869"/>
      <c r="L79" s="869"/>
      <c r="M79" s="869"/>
      <c r="N79" s="869"/>
      <c r="O79" s="869"/>
      <c r="P79" s="869"/>
      <c r="Q79" s="869"/>
      <c r="R79" s="869"/>
      <c r="S79" s="869"/>
      <c r="T79" s="642"/>
      <c r="W79" s="627"/>
      <c r="X79" s="627"/>
      <c r="Y79" s="627"/>
      <c r="Z79" s="627"/>
      <c r="AG79" s="642"/>
    </row>
    <row r="80" spans="4:33"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642"/>
      <c r="W80" s="627"/>
      <c r="X80" s="627"/>
      <c r="Y80" s="627"/>
      <c r="Z80" s="627"/>
      <c r="AG80" s="642"/>
    </row>
    <row r="81" spans="4:33">
      <c r="D81" s="869"/>
      <c r="E81" s="869"/>
      <c r="F81" s="869"/>
      <c r="G81" s="869"/>
      <c r="H81" s="869"/>
      <c r="I81" s="869"/>
      <c r="J81" s="869"/>
      <c r="K81" s="869"/>
      <c r="L81" s="869"/>
      <c r="M81" s="869"/>
      <c r="N81" s="869"/>
      <c r="O81" s="869"/>
      <c r="P81" s="869"/>
      <c r="Q81" s="869"/>
      <c r="R81" s="869"/>
      <c r="S81" s="869"/>
      <c r="T81" s="642"/>
      <c r="W81" s="627"/>
      <c r="X81" s="627"/>
      <c r="Y81" s="627"/>
      <c r="Z81" s="627"/>
      <c r="AG81" s="642"/>
    </row>
    <row r="82" spans="4:33">
      <c r="D82" s="869"/>
      <c r="E82" s="869"/>
      <c r="F82" s="869"/>
      <c r="G82" s="869"/>
      <c r="H82" s="869"/>
      <c r="I82" s="869"/>
      <c r="J82" s="869"/>
      <c r="K82" s="869"/>
      <c r="L82" s="869"/>
      <c r="M82" s="869"/>
      <c r="N82" s="869"/>
      <c r="O82" s="869"/>
      <c r="P82" s="869"/>
      <c r="Q82" s="869"/>
      <c r="R82" s="869"/>
      <c r="S82" s="869"/>
      <c r="T82" s="642"/>
      <c r="W82" s="627"/>
      <c r="X82" s="627"/>
      <c r="Y82" s="627"/>
      <c r="Z82" s="627"/>
      <c r="AG82" s="642"/>
    </row>
    <row r="83" spans="4:33">
      <c r="D83" s="869"/>
      <c r="E83" s="869"/>
      <c r="F83" s="869"/>
      <c r="G83" s="869"/>
      <c r="H83" s="869"/>
      <c r="I83" s="869"/>
      <c r="J83" s="869"/>
      <c r="K83" s="869"/>
      <c r="L83" s="869"/>
      <c r="M83" s="869"/>
      <c r="N83" s="869"/>
      <c r="O83" s="869"/>
      <c r="P83" s="869"/>
      <c r="Q83" s="869"/>
      <c r="R83" s="869"/>
      <c r="S83" s="869"/>
      <c r="T83" s="642"/>
      <c r="W83" s="627"/>
      <c r="X83" s="627"/>
      <c r="Y83" s="627"/>
      <c r="Z83" s="627"/>
      <c r="AG83" s="642"/>
    </row>
    <row r="84" spans="4:33">
      <c r="D84" s="869"/>
      <c r="E84" s="869"/>
      <c r="F84" s="869"/>
      <c r="G84" s="869"/>
      <c r="H84" s="869"/>
      <c r="I84" s="869"/>
      <c r="J84" s="869"/>
      <c r="K84" s="869"/>
      <c r="L84" s="869"/>
      <c r="M84" s="869"/>
      <c r="N84" s="869"/>
      <c r="O84" s="869"/>
      <c r="P84" s="869"/>
      <c r="Q84" s="869"/>
      <c r="R84" s="869"/>
      <c r="S84" s="869"/>
      <c r="T84" s="642"/>
      <c r="W84" s="627"/>
      <c r="X84" s="627"/>
      <c r="Y84" s="627"/>
      <c r="Z84" s="627"/>
      <c r="AG84" s="642"/>
    </row>
    <row r="85" spans="4:33">
      <c r="D85" s="869"/>
      <c r="E85" s="869"/>
      <c r="F85" s="869"/>
      <c r="G85" s="869"/>
      <c r="H85" s="869"/>
      <c r="I85" s="869"/>
      <c r="J85" s="869"/>
      <c r="K85" s="869"/>
      <c r="L85" s="869"/>
      <c r="M85" s="869"/>
      <c r="N85" s="869"/>
      <c r="O85" s="869"/>
      <c r="P85" s="869"/>
      <c r="Q85" s="869"/>
      <c r="R85" s="869"/>
      <c r="S85" s="869"/>
      <c r="T85" s="642"/>
      <c r="W85" s="627"/>
      <c r="X85" s="627"/>
      <c r="Y85" s="627"/>
      <c r="Z85" s="627"/>
      <c r="AG85" s="642"/>
    </row>
    <row r="86" spans="4:33">
      <c r="D86" s="869"/>
      <c r="E86" s="869"/>
      <c r="F86" s="869"/>
      <c r="G86" s="869"/>
      <c r="H86" s="869"/>
      <c r="I86" s="869"/>
      <c r="J86" s="869"/>
      <c r="K86" s="869"/>
      <c r="L86" s="869"/>
      <c r="M86" s="869"/>
      <c r="N86" s="869"/>
      <c r="O86" s="869"/>
      <c r="P86" s="869"/>
      <c r="Q86" s="869"/>
      <c r="R86" s="869"/>
      <c r="S86" s="869"/>
      <c r="T86" s="642"/>
      <c r="W86" s="627"/>
      <c r="X86" s="627"/>
      <c r="Y86" s="627"/>
      <c r="Z86" s="627"/>
      <c r="AG86" s="642"/>
    </row>
    <row r="87" spans="4:33">
      <c r="D87" s="869"/>
      <c r="E87" s="869"/>
      <c r="F87" s="869"/>
      <c r="G87" s="869"/>
      <c r="H87" s="869"/>
      <c r="I87" s="869"/>
      <c r="J87" s="869"/>
      <c r="K87" s="869"/>
      <c r="L87" s="869"/>
      <c r="M87" s="869"/>
      <c r="N87" s="869"/>
      <c r="O87" s="869"/>
      <c r="P87" s="869"/>
      <c r="Q87" s="869"/>
      <c r="R87" s="869"/>
      <c r="S87" s="869"/>
      <c r="T87" s="642"/>
      <c r="W87" s="627"/>
      <c r="X87" s="627"/>
      <c r="Y87" s="627"/>
      <c r="Z87" s="627"/>
      <c r="AG87" s="642"/>
    </row>
    <row r="88" spans="4:33">
      <c r="D88" s="869"/>
      <c r="E88" s="869"/>
      <c r="F88" s="869"/>
      <c r="G88" s="869"/>
      <c r="H88" s="869"/>
      <c r="I88" s="869"/>
      <c r="J88" s="869"/>
      <c r="K88" s="869"/>
      <c r="L88" s="869"/>
      <c r="M88" s="869"/>
      <c r="N88" s="869"/>
      <c r="O88" s="869"/>
      <c r="P88" s="869"/>
      <c r="Q88" s="869"/>
      <c r="R88" s="869"/>
      <c r="S88" s="869"/>
      <c r="T88" s="642"/>
      <c r="W88" s="627"/>
      <c r="X88" s="627"/>
      <c r="Y88" s="627"/>
      <c r="Z88" s="627"/>
      <c r="AG88" s="642"/>
    </row>
    <row r="89" spans="4:33"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69"/>
      <c r="O89" s="869"/>
      <c r="P89" s="869"/>
      <c r="Q89" s="869"/>
      <c r="R89" s="869"/>
      <c r="S89" s="869"/>
      <c r="T89" s="642"/>
      <c r="W89" s="627"/>
      <c r="X89" s="627"/>
      <c r="Y89" s="627"/>
      <c r="Z89" s="627"/>
      <c r="AG89" s="642"/>
    </row>
    <row r="90" spans="4:33"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69"/>
      <c r="O90" s="869"/>
      <c r="P90" s="869"/>
      <c r="Q90" s="869"/>
      <c r="R90" s="869"/>
      <c r="S90" s="869"/>
      <c r="T90" s="642"/>
      <c r="W90" s="627"/>
      <c r="X90" s="627"/>
      <c r="Y90" s="627"/>
      <c r="Z90" s="627"/>
      <c r="AG90" s="642"/>
    </row>
    <row r="91" spans="4:33">
      <c r="D91" s="869"/>
      <c r="E91" s="869"/>
      <c r="F91" s="869"/>
      <c r="G91" s="869"/>
      <c r="H91" s="869"/>
      <c r="I91" s="869"/>
      <c r="J91" s="869"/>
      <c r="K91" s="869"/>
      <c r="L91" s="869"/>
      <c r="M91" s="869"/>
      <c r="N91" s="869"/>
      <c r="O91" s="869"/>
      <c r="P91" s="869"/>
      <c r="Q91" s="869"/>
      <c r="R91" s="869"/>
      <c r="S91" s="869"/>
      <c r="T91" s="642"/>
      <c r="W91" s="627"/>
      <c r="X91" s="627"/>
      <c r="Y91" s="627"/>
      <c r="Z91" s="627"/>
      <c r="AG91" s="642"/>
    </row>
    <row r="92" spans="4:33"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69"/>
      <c r="O92" s="869"/>
      <c r="P92" s="869"/>
      <c r="Q92" s="869"/>
      <c r="R92" s="869"/>
      <c r="S92" s="869"/>
      <c r="T92" s="642"/>
      <c r="W92" s="627"/>
      <c r="X92" s="627"/>
      <c r="Y92" s="627"/>
      <c r="Z92" s="627"/>
      <c r="AG92" s="642"/>
    </row>
    <row r="93" spans="4:33">
      <c r="D93" s="869"/>
      <c r="E93" s="869"/>
      <c r="F93" s="869"/>
      <c r="G93" s="869"/>
      <c r="H93" s="869"/>
      <c r="I93" s="869"/>
      <c r="J93" s="869"/>
      <c r="K93" s="869"/>
      <c r="L93" s="869"/>
      <c r="M93" s="869"/>
      <c r="N93" s="869"/>
      <c r="O93" s="869"/>
      <c r="P93" s="869"/>
      <c r="Q93" s="869"/>
      <c r="R93" s="869"/>
      <c r="S93" s="869"/>
      <c r="T93" s="642"/>
      <c r="W93" s="627"/>
      <c r="X93" s="627"/>
      <c r="Y93" s="627"/>
      <c r="Z93" s="627"/>
      <c r="AG93" s="642"/>
    </row>
    <row r="94" spans="4:33"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69"/>
      <c r="O94" s="869"/>
      <c r="P94" s="869"/>
      <c r="Q94" s="869"/>
      <c r="R94" s="869"/>
      <c r="S94" s="869"/>
      <c r="T94" s="642"/>
      <c r="W94" s="627"/>
      <c r="X94" s="627"/>
      <c r="Y94" s="627"/>
      <c r="Z94" s="627"/>
      <c r="AG94" s="642"/>
    </row>
    <row r="95" spans="4:33"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69"/>
      <c r="O95" s="869"/>
      <c r="P95" s="869"/>
      <c r="Q95" s="869"/>
      <c r="R95" s="869"/>
      <c r="S95" s="869"/>
      <c r="T95" s="642"/>
      <c r="W95" s="627"/>
      <c r="X95" s="627"/>
      <c r="Y95" s="627"/>
      <c r="Z95" s="627"/>
      <c r="AG95" s="642"/>
    </row>
    <row r="96" spans="4:33">
      <c r="D96" s="869"/>
      <c r="E96" s="869"/>
      <c r="F96" s="869"/>
      <c r="G96" s="869"/>
      <c r="H96" s="869"/>
      <c r="I96" s="869"/>
      <c r="J96" s="869"/>
      <c r="K96" s="869"/>
      <c r="L96" s="869"/>
      <c r="M96" s="869"/>
      <c r="N96" s="869"/>
      <c r="O96" s="869"/>
      <c r="P96" s="869"/>
      <c r="Q96" s="869"/>
      <c r="R96" s="869"/>
      <c r="S96" s="869"/>
      <c r="T96" s="642"/>
      <c r="W96" s="627"/>
      <c r="X96" s="627"/>
      <c r="Y96" s="627"/>
      <c r="Z96" s="627"/>
      <c r="AG96" s="642"/>
    </row>
    <row r="97" spans="4:33"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642"/>
      <c r="W97" s="627"/>
      <c r="X97" s="627"/>
      <c r="Y97" s="627"/>
      <c r="Z97" s="627"/>
      <c r="AG97" s="642"/>
    </row>
    <row r="98" spans="4:33"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869"/>
      <c r="Q98" s="869"/>
      <c r="R98" s="869"/>
      <c r="S98" s="869"/>
      <c r="T98" s="642"/>
      <c r="W98" s="627"/>
      <c r="X98" s="627"/>
      <c r="Y98" s="627"/>
      <c r="Z98" s="627"/>
      <c r="AG98" s="642"/>
    </row>
    <row r="99" spans="4:33">
      <c r="D99" s="869"/>
      <c r="E99" s="869"/>
      <c r="F99" s="869"/>
      <c r="G99" s="869"/>
      <c r="H99" s="869"/>
      <c r="I99" s="869"/>
      <c r="J99" s="869"/>
      <c r="K99" s="869"/>
      <c r="L99" s="869"/>
      <c r="M99" s="869"/>
      <c r="N99" s="869"/>
      <c r="O99" s="869"/>
      <c r="P99" s="869"/>
      <c r="Q99" s="869"/>
      <c r="R99" s="869"/>
      <c r="S99" s="869"/>
      <c r="T99" s="642"/>
      <c r="W99" s="627"/>
      <c r="X99" s="627"/>
      <c r="Y99" s="627"/>
      <c r="Z99" s="627"/>
      <c r="AG99" s="642"/>
    </row>
    <row r="100" spans="4:33">
      <c r="D100" s="869"/>
      <c r="E100" s="869"/>
      <c r="F100" s="869"/>
      <c r="G100" s="869"/>
      <c r="H100" s="869"/>
      <c r="I100" s="869"/>
      <c r="J100" s="869"/>
      <c r="K100" s="869"/>
      <c r="L100" s="869"/>
      <c r="M100" s="869"/>
      <c r="N100" s="869"/>
      <c r="O100" s="869"/>
      <c r="P100" s="869"/>
      <c r="Q100" s="869"/>
      <c r="R100" s="869"/>
      <c r="S100" s="869"/>
      <c r="T100" s="642"/>
      <c r="W100" s="627"/>
      <c r="X100" s="627"/>
      <c r="Y100" s="627"/>
      <c r="Z100" s="627"/>
      <c r="AG100" s="642"/>
    </row>
    <row r="101" spans="4:33">
      <c r="D101" s="869"/>
      <c r="E101" s="869"/>
      <c r="F101" s="869"/>
      <c r="G101" s="869"/>
      <c r="H101" s="869"/>
      <c r="I101" s="869"/>
      <c r="J101" s="869"/>
      <c r="K101" s="869"/>
      <c r="L101" s="869"/>
      <c r="M101" s="869"/>
      <c r="N101" s="869"/>
      <c r="O101" s="869"/>
      <c r="P101" s="869"/>
      <c r="Q101" s="869"/>
      <c r="R101" s="869"/>
      <c r="S101" s="869"/>
      <c r="T101" s="642"/>
      <c r="W101" s="627"/>
      <c r="X101" s="627"/>
      <c r="Y101" s="627"/>
      <c r="Z101" s="627"/>
      <c r="AG101" s="642"/>
    </row>
    <row r="102" spans="4:33">
      <c r="D102" s="869"/>
      <c r="E102" s="869"/>
      <c r="F102" s="869"/>
      <c r="G102" s="869"/>
      <c r="H102" s="869"/>
      <c r="I102" s="869"/>
      <c r="J102" s="869"/>
      <c r="K102" s="869"/>
      <c r="L102" s="869"/>
      <c r="M102" s="869"/>
      <c r="N102" s="869"/>
      <c r="O102" s="869"/>
      <c r="P102" s="869"/>
      <c r="Q102" s="869"/>
      <c r="R102" s="869"/>
      <c r="S102" s="869"/>
      <c r="T102" s="642"/>
      <c r="W102" s="627"/>
      <c r="X102" s="627"/>
      <c r="Y102" s="627"/>
      <c r="Z102" s="627"/>
      <c r="AG102" s="642"/>
    </row>
    <row r="103" spans="4:33">
      <c r="D103" s="869"/>
      <c r="E103" s="869"/>
      <c r="F103" s="869"/>
      <c r="G103" s="869"/>
      <c r="H103" s="869"/>
      <c r="I103" s="869"/>
      <c r="J103" s="869"/>
      <c r="K103" s="869"/>
      <c r="L103" s="869"/>
      <c r="M103" s="869"/>
      <c r="N103" s="869"/>
      <c r="O103" s="869"/>
      <c r="P103" s="869"/>
      <c r="Q103" s="869"/>
      <c r="R103" s="869"/>
      <c r="S103" s="869"/>
      <c r="T103" s="642"/>
      <c r="W103" s="627"/>
      <c r="X103" s="627"/>
      <c r="Y103" s="627"/>
      <c r="Z103" s="627"/>
      <c r="AG103" s="642"/>
    </row>
    <row r="104" spans="4:33">
      <c r="D104" s="869"/>
      <c r="E104" s="869"/>
      <c r="F104" s="869"/>
      <c r="G104" s="869"/>
      <c r="H104" s="869"/>
      <c r="I104" s="869"/>
      <c r="J104" s="869"/>
      <c r="K104" s="869"/>
      <c r="L104" s="869"/>
      <c r="M104" s="869"/>
      <c r="N104" s="869"/>
      <c r="O104" s="869"/>
      <c r="P104" s="869"/>
      <c r="Q104" s="869"/>
      <c r="R104" s="869"/>
      <c r="S104" s="869"/>
      <c r="T104" s="642"/>
      <c r="W104" s="627"/>
      <c r="X104" s="627"/>
      <c r="Y104" s="627"/>
      <c r="Z104" s="627"/>
      <c r="AG104" s="642"/>
    </row>
    <row r="105" spans="4:33">
      <c r="D105" s="869"/>
      <c r="E105" s="869"/>
      <c r="F105" s="869"/>
      <c r="G105" s="869"/>
      <c r="H105" s="869"/>
      <c r="I105" s="869"/>
      <c r="J105" s="869"/>
      <c r="K105" s="869"/>
      <c r="L105" s="869"/>
      <c r="M105" s="869"/>
      <c r="N105" s="869"/>
      <c r="O105" s="869"/>
      <c r="P105" s="869"/>
      <c r="Q105" s="869"/>
      <c r="R105" s="869"/>
      <c r="S105" s="869"/>
      <c r="T105" s="642"/>
      <c r="W105" s="627"/>
      <c r="X105" s="627"/>
      <c r="Y105" s="627"/>
      <c r="Z105" s="627"/>
      <c r="AG105" s="642"/>
    </row>
    <row r="106" spans="4:33">
      <c r="D106" s="869"/>
      <c r="E106" s="869"/>
      <c r="F106" s="869"/>
      <c r="G106" s="869"/>
      <c r="H106" s="869"/>
      <c r="I106" s="869"/>
      <c r="J106" s="869"/>
      <c r="K106" s="869"/>
      <c r="L106" s="869"/>
      <c r="M106" s="869"/>
      <c r="N106" s="869"/>
      <c r="O106" s="869"/>
      <c r="P106" s="869"/>
      <c r="Q106" s="869"/>
      <c r="R106" s="869"/>
      <c r="S106" s="869"/>
      <c r="T106" s="642"/>
      <c r="W106" s="627"/>
      <c r="X106" s="627"/>
      <c r="Y106" s="627"/>
      <c r="Z106" s="627"/>
      <c r="AG106" s="642"/>
    </row>
    <row r="107" spans="4:33">
      <c r="D107" s="869"/>
      <c r="E107" s="869"/>
      <c r="F107" s="869"/>
      <c r="G107" s="869"/>
      <c r="H107" s="869"/>
      <c r="I107" s="869"/>
      <c r="J107" s="869"/>
      <c r="K107" s="869"/>
      <c r="L107" s="869"/>
      <c r="M107" s="869"/>
      <c r="N107" s="869"/>
      <c r="O107" s="869"/>
      <c r="P107" s="869"/>
      <c r="Q107" s="869"/>
      <c r="R107" s="869"/>
      <c r="S107" s="869"/>
      <c r="T107" s="642"/>
      <c r="W107" s="627"/>
      <c r="X107" s="627"/>
      <c r="Y107" s="627"/>
      <c r="Z107" s="627"/>
      <c r="AG107" s="642"/>
    </row>
    <row r="108" spans="4:33">
      <c r="D108" s="869"/>
      <c r="E108" s="869"/>
      <c r="F108" s="869"/>
      <c r="G108" s="869"/>
      <c r="H108" s="869"/>
      <c r="I108" s="869"/>
      <c r="J108" s="869"/>
      <c r="K108" s="869"/>
      <c r="L108" s="869"/>
      <c r="M108" s="869"/>
      <c r="N108" s="869"/>
      <c r="O108" s="869"/>
      <c r="P108" s="869"/>
      <c r="Q108" s="869"/>
      <c r="R108" s="869"/>
      <c r="S108" s="869"/>
      <c r="T108" s="642"/>
      <c r="W108" s="627"/>
      <c r="X108" s="627"/>
      <c r="Y108" s="627"/>
      <c r="Z108" s="627"/>
      <c r="AG108" s="642"/>
    </row>
    <row r="109" spans="4:33">
      <c r="D109" s="869"/>
      <c r="E109" s="869"/>
      <c r="F109" s="869"/>
      <c r="G109" s="869"/>
      <c r="H109" s="869"/>
      <c r="I109" s="869"/>
      <c r="J109" s="869"/>
      <c r="K109" s="869"/>
      <c r="L109" s="869"/>
      <c r="M109" s="869"/>
      <c r="N109" s="869"/>
      <c r="O109" s="869"/>
      <c r="P109" s="869"/>
      <c r="Q109" s="869"/>
      <c r="R109" s="869"/>
      <c r="S109" s="869"/>
      <c r="T109" s="642"/>
      <c r="W109" s="627"/>
      <c r="X109" s="627"/>
      <c r="Y109" s="627"/>
      <c r="Z109" s="627"/>
      <c r="AG109" s="642"/>
    </row>
    <row r="110" spans="4:33">
      <c r="D110" s="869"/>
      <c r="E110" s="869"/>
      <c r="F110" s="869"/>
      <c r="G110" s="869"/>
      <c r="H110" s="869"/>
      <c r="I110" s="869"/>
      <c r="J110" s="869"/>
      <c r="K110" s="869"/>
      <c r="L110" s="869"/>
      <c r="M110" s="869"/>
      <c r="N110" s="869"/>
      <c r="O110" s="869"/>
      <c r="P110" s="869"/>
      <c r="Q110" s="869"/>
      <c r="R110" s="869"/>
      <c r="S110" s="869"/>
      <c r="T110" s="642"/>
      <c r="W110" s="627"/>
      <c r="X110" s="627"/>
      <c r="Y110" s="627"/>
      <c r="Z110" s="627"/>
      <c r="AG110" s="642"/>
    </row>
    <row r="111" spans="4:33">
      <c r="D111" s="869"/>
      <c r="E111" s="869"/>
      <c r="F111" s="869"/>
      <c r="G111" s="869"/>
      <c r="H111" s="869"/>
      <c r="I111" s="869"/>
      <c r="J111" s="869"/>
      <c r="K111" s="869"/>
      <c r="L111" s="869"/>
      <c r="M111" s="869"/>
      <c r="N111" s="869"/>
      <c r="O111" s="869"/>
      <c r="P111" s="869"/>
      <c r="Q111" s="869"/>
      <c r="R111" s="869"/>
      <c r="S111" s="869"/>
      <c r="T111" s="642"/>
      <c r="W111" s="627"/>
      <c r="X111" s="627"/>
      <c r="Y111" s="627"/>
      <c r="Z111" s="627"/>
      <c r="AG111" s="642"/>
    </row>
    <row r="112" spans="4:33">
      <c r="D112" s="869"/>
      <c r="E112" s="869"/>
      <c r="F112" s="869"/>
      <c r="G112" s="869"/>
      <c r="H112" s="869"/>
      <c r="I112" s="869"/>
      <c r="J112" s="869"/>
      <c r="K112" s="869"/>
      <c r="L112" s="869"/>
      <c r="M112" s="869"/>
      <c r="N112" s="869"/>
      <c r="O112" s="869"/>
      <c r="P112" s="869"/>
      <c r="Q112" s="869"/>
      <c r="R112" s="869"/>
      <c r="S112" s="869"/>
      <c r="T112" s="642"/>
      <c r="W112" s="627"/>
      <c r="X112" s="627"/>
      <c r="Y112" s="627"/>
      <c r="Z112" s="627"/>
      <c r="AG112" s="642"/>
    </row>
    <row r="113" spans="4:33">
      <c r="D113" s="869"/>
      <c r="E113" s="869"/>
      <c r="F113" s="869"/>
      <c r="G113" s="869"/>
      <c r="H113" s="869"/>
      <c r="I113" s="869"/>
      <c r="J113" s="869"/>
      <c r="K113" s="869"/>
      <c r="L113" s="869"/>
      <c r="M113" s="869"/>
      <c r="N113" s="869"/>
      <c r="O113" s="869"/>
      <c r="P113" s="869"/>
      <c r="Q113" s="869"/>
      <c r="R113" s="869"/>
      <c r="S113" s="869"/>
      <c r="T113" s="642"/>
      <c r="W113" s="627"/>
      <c r="X113" s="627"/>
      <c r="Y113" s="627"/>
      <c r="Z113" s="627"/>
      <c r="AG113" s="642"/>
    </row>
    <row r="114" spans="4:33">
      <c r="D114" s="869"/>
      <c r="E114" s="869"/>
      <c r="F114" s="869"/>
      <c r="G114" s="869"/>
      <c r="H114" s="869"/>
      <c r="I114" s="869"/>
      <c r="J114" s="869"/>
      <c r="K114" s="869"/>
      <c r="L114" s="869"/>
      <c r="M114" s="869"/>
      <c r="N114" s="869"/>
      <c r="O114" s="869"/>
      <c r="P114" s="869"/>
      <c r="Q114" s="869"/>
      <c r="R114" s="869"/>
      <c r="S114" s="869"/>
      <c r="T114" s="642"/>
      <c r="W114" s="627"/>
      <c r="X114" s="627"/>
      <c r="Y114" s="627"/>
      <c r="Z114" s="627"/>
      <c r="AG114" s="642"/>
    </row>
    <row r="115" spans="4:33">
      <c r="D115" s="869"/>
      <c r="E115" s="869"/>
      <c r="F115" s="869"/>
      <c r="G115" s="869"/>
      <c r="H115" s="869"/>
      <c r="I115" s="869"/>
      <c r="J115" s="869"/>
      <c r="K115" s="869"/>
      <c r="L115" s="869"/>
      <c r="M115" s="869"/>
      <c r="N115" s="869"/>
      <c r="O115" s="869"/>
      <c r="P115" s="869"/>
      <c r="Q115" s="869"/>
      <c r="R115" s="869"/>
      <c r="S115" s="869"/>
      <c r="T115" s="642"/>
      <c r="W115" s="627"/>
      <c r="X115" s="627"/>
      <c r="Y115" s="627"/>
      <c r="Z115" s="627"/>
      <c r="AG115" s="642"/>
    </row>
    <row r="116" spans="4:33">
      <c r="D116" s="869"/>
      <c r="E116" s="869"/>
      <c r="F116" s="869"/>
      <c r="G116" s="869"/>
      <c r="H116" s="869"/>
      <c r="I116" s="869"/>
      <c r="J116" s="869"/>
      <c r="K116" s="869"/>
      <c r="L116" s="869"/>
      <c r="M116" s="869"/>
      <c r="N116" s="869"/>
      <c r="O116" s="869"/>
      <c r="P116" s="869"/>
      <c r="Q116" s="869"/>
      <c r="R116" s="869"/>
      <c r="S116" s="869"/>
      <c r="T116" s="642"/>
      <c r="W116" s="627"/>
      <c r="X116" s="627"/>
      <c r="Y116" s="627"/>
      <c r="Z116" s="627"/>
      <c r="AG116" s="642"/>
    </row>
    <row r="117" spans="4:33">
      <c r="D117" s="869"/>
      <c r="E117" s="869"/>
      <c r="F117" s="869"/>
      <c r="G117" s="869"/>
      <c r="H117" s="869"/>
      <c r="I117" s="869"/>
      <c r="J117" s="869"/>
      <c r="K117" s="869"/>
      <c r="L117" s="869"/>
      <c r="M117" s="869"/>
      <c r="N117" s="869"/>
      <c r="O117" s="869"/>
      <c r="P117" s="869"/>
      <c r="Q117" s="869"/>
      <c r="R117" s="869"/>
      <c r="S117" s="869"/>
      <c r="T117" s="642"/>
      <c r="W117" s="627"/>
      <c r="X117" s="627"/>
      <c r="Y117" s="627"/>
      <c r="Z117" s="627"/>
      <c r="AG117" s="642"/>
    </row>
    <row r="118" spans="4:33">
      <c r="D118" s="869"/>
      <c r="E118" s="869"/>
      <c r="F118" s="869"/>
      <c r="G118" s="869"/>
      <c r="H118" s="869"/>
      <c r="I118" s="869"/>
      <c r="J118" s="869"/>
      <c r="K118" s="869"/>
      <c r="L118" s="869"/>
      <c r="M118" s="869"/>
      <c r="N118" s="869"/>
      <c r="O118" s="869"/>
      <c r="P118" s="869"/>
      <c r="Q118" s="869"/>
      <c r="R118" s="869"/>
      <c r="S118" s="869"/>
      <c r="T118" s="642"/>
      <c r="W118" s="627"/>
      <c r="X118" s="627"/>
      <c r="Y118" s="627"/>
      <c r="Z118" s="627"/>
      <c r="AG118" s="642"/>
    </row>
    <row r="119" spans="4:33">
      <c r="D119" s="869"/>
      <c r="E119" s="869"/>
      <c r="F119" s="869"/>
      <c r="G119" s="869"/>
      <c r="H119" s="869"/>
      <c r="I119" s="869"/>
      <c r="J119" s="869"/>
      <c r="K119" s="869"/>
      <c r="L119" s="869"/>
      <c r="M119" s="869"/>
      <c r="N119" s="869"/>
      <c r="O119" s="869"/>
      <c r="P119" s="869"/>
      <c r="Q119" s="869"/>
      <c r="R119" s="869"/>
      <c r="S119" s="869"/>
      <c r="T119" s="642"/>
      <c r="W119" s="627"/>
      <c r="X119" s="627"/>
      <c r="Y119" s="627"/>
      <c r="Z119" s="627"/>
      <c r="AG119" s="642"/>
    </row>
    <row r="120" spans="4:33">
      <c r="D120" s="869"/>
      <c r="E120" s="869"/>
      <c r="F120" s="869"/>
      <c r="G120" s="869"/>
      <c r="H120" s="869"/>
      <c r="I120" s="869"/>
      <c r="J120" s="869"/>
      <c r="K120" s="869"/>
      <c r="L120" s="869"/>
      <c r="M120" s="869"/>
      <c r="N120" s="869"/>
      <c r="O120" s="869"/>
      <c r="P120" s="869"/>
      <c r="Q120" s="869"/>
      <c r="R120" s="869"/>
      <c r="S120" s="869"/>
      <c r="T120" s="642"/>
      <c r="W120" s="627"/>
      <c r="X120" s="627"/>
      <c r="Y120" s="627"/>
      <c r="Z120" s="627"/>
      <c r="AG120" s="642"/>
    </row>
    <row r="121" spans="4:33">
      <c r="D121" s="869"/>
      <c r="E121" s="869"/>
      <c r="F121" s="869"/>
      <c r="G121" s="869"/>
      <c r="H121" s="869"/>
      <c r="I121" s="869"/>
      <c r="J121" s="869"/>
      <c r="K121" s="869"/>
      <c r="L121" s="869"/>
      <c r="M121" s="869"/>
      <c r="N121" s="869"/>
      <c r="O121" s="869"/>
      <c r="P121" s="869"/>
      <c r="Q121" s="869"/>
      <c r="R121" s="869"/>
      <c r="S121" s="869"/>
      <c r="T121" s="642"/>
      <c r="W121" s="627"/>
      <c r="X121" s="627"/>
      <c r="Y121" s="627"/>
      <c r="Z121" s="627"/>
      <c r="AG121" s="642"/>
    </row>
    <row r="122" spans="4:33">
      <c r="D122" s="869"/>
      <c r="E122" s="869"/>
      <c r="F122" s="869"/>
      <c r="G122" s="869"/>
      <c r="H122" s="869"/>
      <c r="I122" s="869"/>
      <c r="J122" s="869"/>
      <c r="K122" s="869"/>
      <c r="L122" s="869"/>
      <c r="M122" s="869"/>
      <c r="N122" s="869"/>
      <c r="O122" s="869"/>
      <c r="P122" s="869"/>
      <c r="Q122" s="869"/>
      <c r="R122" s="869"/>
      <c r="S122" s="869"/>
      <c r="T122" s="642"/>
      <c r="W122" s="627"/>
      <c r="X122" s="627"/>
      <c r="Y122" s="627"/>
      <c r="Z122" s="627"/>
      <c r="AG122" s="642"/>
    </row>
    <row r="123" spans="4:33">
      <c r="D123" s="869"/>
      <c r="E123" s="869"/>
      <c r="F123" s="869"/>
      <c r="G123" s="869"/>
      <c r="H123" s="869"/>
      <c r="I123" s="869"/>
      <c r="J123" s="869"/>
      <c r="K123" s="869"/>
      <c r="L123" s="869"/>
      <c r="M123" s="869"/>
      <c r="N123" s="869"/>
      <c r="O123" s="869"/>
      <c r="P123" s="869"/>
      <c r="Q123" s="869"/>
      <c r="R123" s="869"/>
      <c r="S123" s="869"/>
      <c r="T123" s="642"/>
      <c r="W123" s="627"/>
      <c r="X123" s="627"/>
      <c r="Y123" s="627"/>
      <c r="Z123" s="627"/>
      <c r="AG123" s="642"/>
    </row>
    <row r="124" spans="4:33">
      <c r="D124" s="869"/>
      <c r="E124" s="869"/>
      <c r="F124" s="869"/>
      <c r="G124" s="869"/>
      <c r="H124" s="869"/>
      <c r="I124" s="869"/>
      <c r="J124" s="869"/>
      <c r="K124" s="869"/>
      <c r="L124" s="869"/>
      <c r="M124" s="869"/>
      <c r="N124" s="869"/>
      <c r="O124" s="869"/>
      <c r="P124" s="869"/>
      <c r="Q124" s="869"/>
      <c r="R124" s="869"/>
      <c r="S124" s="869"/>
      <c r="T124" s="642"/>
      <c r="W124" s="627"/>
      <c r="X124" s="627"/>
      <c r="Y124" s="627"/>
      <c r="Z124" s="627"/>
      <c r="AG124" s="642"/>
    </row>
    <row r="125" spans="4:33">
      <c r="D125" s="869"/>
      <c r="E125" s="869"/>
      <c r="F125" s="869"/>
      <c r="G125" s="869"/>
      <c r="H125" s="869"/>
      <c r="I125" s="869"/>
      <c r="J125" s="869"/>
      <c r="K125" s="869"/>
      <c r="L125" s="869"/>
      <c r="M125" s="869"/>
      <c r="N125" s="869"/>
      <c r="O125" s="869"/>
      <c r="P125" s="869"/>
      <c r="Q125" s="869"/>
      <c r="R125" s="869"/>
      <c r="S125" s="869"/>
      <c r="T125" s="642"/>
      <c r="W125" s="627"/>
      <c r="X125" s="627"/>
      <c r="Y125" s="627"/>
      <c r="Z125" s="627"/>
      <c r="AG125" s="642"/>
    </row>
    <row r="126" spans="4:33">
      <c r="D126" s="869"/>
      <c r="E126" s="869"/>
      <c r="F126" s="869"/>
      <c r="G126" s="869"/>
      <c r="H126" s="869"/>
      <c r="I126" s="869"/>
      <c r="J126" s="869"/>
      <c r="K126" s="869"/>
      <c r="L126" s="869"/>
      <c r="M126" s="869"/>
      <c r="N126" s="869"/>
      <c r="O126" s="869"/>
      <c r="P126" s="869"/>
      <c r="Q126" s="869"/>
      <c r="R126" s="869"/>
      <c r="S126" s="869"/>
      <c r="T126" s="642"/>
      <c r="W126" s="627"/>
      <c r="X126" s="627"/>
      <c r="Y126" s="627"/>
      <c r="Z126" s="627"/>
      <c r="AG126" s="642"/>
    </row>
    <row r="127" spans="4:33">
      <c r="D127" s="869"/>
      <c r="E127" s="869"/>
      <c r="F127" s="869"/>
      <c r="G127" s="869"/>
      <c r="H127" s="869"/>
      <c r="I127" s="869"/>
      <c r="J127" s="869"/>
      <c r="K127" s="869"/>
      <c r="L127" s="869"/>
      <c r="M127" s="869"/>
      <c r="N127" s="869"/>
      <c r="O127" s="869"/>
      <c r="P127" s="869"/>
      <c r="Q127" s="869"/>
      <c r="R127" s="869"/>
      <c r="S127" s="869"/>
      <c r="T127" s="642"/>
      <c r="W127" s="627"/>
      <c r="X127" s="627"/>
      <c r="Y127" s="627"/>
      <c r="Z127" s="627"/>
      <c r="AG127" s="642"/>
    </row>
    <row r="128" spans="4:33">
      <c r="D128" s="869"/>
      <c r="E128" s="869"/>
      <c r="F128" s="869"/>
      <c r="G128" s="869"/>
      <c r="H128" s="869"/>
      <c r="I128" s="869"/>
      <c r="J128" s="869"/>
      <c r="K128" s="869"/>
      <c r="L128" s="869"/>
      <c r="M128" s="869"/>
      <c r="N128" s="869"/>
      <c r="O128" s="869"/>
      <c r="P128" s="869"/>
      <c r="Q128" s="869"/>
      <c r="R128" s="869"/>
      <c r="S128" s="869"/>
      <c r="T128" s="642"/>
      <c r="W128" s="627"/>
      <c r="X128" s="627"/>
      <c r="Y128" s="627"/>
      <c r="Z128" s="627"/>
      <c r="AG128" s="642"/>
    </row>
    <row r="129" spans="4:33">
      <c r="D129" s="869"/>
      <c r="E129" s="869"/>
      <c r="F129" s="869"/>
      <c r="G129" s="869"/>
      <c r="H129" s="869"/>
      <c r="I129" s="869"/>
      <c r="J129" s="869"/>
      <c r="K129" s="869"/>
      <c r="L129" s="869"/>
      <c r="M129" s="869"/>
      <c r="N129" s="869"/>
      <c r="O129" s="869"/>
      <c r="P129" s="869"/>
      <c r="Q129" s="869"/>
      <c r="R129" s="869"/>
      <c r="S129" s="869"/>
      <c r="T129" s="642"/>
      <c r="W129" s="627"/>
      <c r="X129" s="627"/>
      <c r="Y129" s="627"/>
      <c r="Z129" s="627"/>
      <c r="AG129" s="642"/>
    </row>
    <row r="130" spans="4:33">
      <c r="D130" s="869"/>
      <c r="E130" s="869"/>
      <c r="F130" s="869"/>
      <c r="G130" s="869"/>
      <c r="H130" s="869"/>
      <c r="I130" s="869"/>
      <c r="J130" s="869"/>
      <c r="K130" s="869"/>
      <c r="L130" s="869"/>
      <c r="M130" s="869"/>
      <c r="N130" s="869"/>
      <c r="O130" s="869"/>
      <c r="P130" s="869"/>
      <c r="Q130" s="869"/>
      <c r="R130" s="869"/>
      <c r="S130" s="869"/>
      <c r="T130" s="642"/>
      <c r="W130" s="627"/>
      <c r="X130" s="627"/>
      <c r="Y130" s="627"/>
      <c r="Z130" s="627"/>
      <c r="AG130" s="642"/>
    </row>
    <row r="131" spans="4:33">
      <c r="D131" s="869"/>
      <c r="E131" s="869"/>
      <c r="F131" s="869"/>
      <c r="G131" s="869"/>
      <c r="H131" s="869"/>
      <c r="I131" s="869"/>
      <c r="J131" s="869"/>
      <c r="K131" s="869"/>
      <c r="L131" s="869"/>
      <c r="M131" s="869"/>
      <c r="N131" s="869"/>
      <c r="O131" s="869"/>
      <c r="P131" s="869"/>
      <c r="Q131" s="869"/>
      <c r="R131" s="869"/>
      <c r="S131" s="869"/>
      <c r="T131" s="642"/>
      <c r="W131" s="627"/>
      <c r="X131" s="627"/>
      <c r="Y131" s="627"/>
      <c r="Z131" s="627"/>
      <c r="AG131" s="642"/>
    </row>
    <row r="132" spans="4:33">
      <c r="D132" s="869"/>
      <c r="E132" s="869"/>
      <c r="F132" s="869"/>
      <c r="G132" s="869"/>
      <c r="H132" s="869"/>
      <c r="I132" s="869"/>
      <c r="J132" s="869"/>
      <c r="K132" s="869"/>
      <c r="L132" s="869"/>
      <c r="M132" s="869"/>
      <c r="N132" s="869"/>
      <c r="O132" s="869"/>
      <c r="P132" s="869"/>
      <c r="Q132" s="869"/>
      <c r="R132" s="869"/>
      <c r="S132" s="869"/>
      <c r="T132" s="642"/>
      <c r="W132" s="627"/>
      <c r="X132" s="627"/>
      <c r="Y132" s="627"/>
      <c r="Z132" s="627"/>
      <c r="AG132" s="642"/>
    </row>
    <row r="133" spans="4:33">
      <c r="D133" s="869"/>
      <c r="E133" s="869"/>
      <c r="F133" s="869"/>
      <c r="G133" s="869"/>
      <c r="H133" s="869"/>
      <c r="I133" s="869"/>
      <c r="J133" s="869"/>
      <c r="K133" s="869"/>
      <c r="L133" s="869"/>
      <c r="M133" s="869"/>
      <c r="N133" s="869"/>
      <c r="O133" s="869"/>
      <c r="P133" s="869"/>
      <c r="Q133" s="869"/>
      <c r="R133" s="869"/>
      <c r="S133" s="869"/>
      <c r="T133" s="642"/>
      <c r="W133" s="627"/>
      <c r="X133" s="627"/>
      <c r="Y133" s="627"/>
      <c r="Z133" s="627"/>
      <c r="AG133" s="642"/>
    </row>
    <row r="134" spans="4:33">
      <c r="D134" s="869"/>
      <c r="E134" s="869"/>
      <c r="F134" s="869"/>
      <c r="G134" s="869"/>
      <c r="H134" s="869"/>
      <c r="I134" s="869"/>
      <c r="J134" s="869"/>
      <c r="K134" s="869"/>
      <c r="L134" s="869"/>
      <c r="M134" s="869"/>
      <c r="N134" s="869"/>
      <c r="O134" s="869"/>
      <c r="P134" s="869"/>
      <c r="Q134" s="869"/>
      <c r="R134" s="869"/>
      <c r="S134" s="869"/>
      <c r="T134" s="642"/>
      <c r="W134" s="627"/>
      <c r="X134" s="627"/>
      <c r="Y134" s="627"/>
      <c r="Z134" s="627"/>
      <c r="AG134" s="642"/>
    </row>
    <row r="135" spans="4:33">
      <c r="D135" s="869"/>
      <c r="E135" s="869"/>
      <c r="F135" s="869"/>
      <c r="G135" s="869"/>
      <c r="H135" s="869"/>
      <c r="I135" s="869"/>
      <c r="J135" s="869"/>
      <c r="K135" s="869"/>
      <c r="L135" s="869"/>
      <c r="M135" s="869"/>
      <c r="N135" s="869"/>
      <c r="O135" s="869"/>
      <c r="P135" s="869"/>
      <c r="Q135" s="869"/>
      <c r="R135" s="869"/>
      <c r="S135" s="869"/>
      <c r="T135" s="642"/>
      <c r="W135" s="627"/>
      <c r="X135" s="627"/>
      <c r="Y135" s="627"/>
      <c r="Z135" s="627"/>
      <c r="AG135" s="642"/>
    </row>
    <row r="136" spans="4:33">
      <c r="D136" s="869"/>
      <c r="E136" s="869"/>
      <c r="F136" s="869"/>
      <c r="G136" s="869"/>
      <c r="H136" s="869"/>
      <c r="I136" s="869"/>
      <c r="J136" s="869"/>
      <c r="K136" s="869"/>
      <c r="L136" s="869"/>
      <c r="M136" s="869"/>
      <c r="N136" s="869"/>
      <c r="O136" s="869"/>
      <c r="P136" s="869"/>
      <c r="Q136" s="869"/>
      <c r="R136" s="869"/>
      <c r="S136" s="869"/>
      <c r="T136" s="642"/>
      <c r="W136" s="627"/>
      <c r="X136" s="627"/>
      <c r="Y136" s="627"/>
      <c r="Z136" s="627"/>
      <c r="AG136" s="642"/>
    </row>
    <row r="137" spans="4:33">
      <c r="D137" s="869"/>
      <c r="E137" s="869"/>
      <c r="F137" s="869"/>
      <c r="G137" s="869"/>
      <c r="H137" s="869"/>
      <c r="I137" s="869"/>
      <c r="J137" s="869"/>
      <c r="K137" s="869"/>
      <c r="L137" s="869"/>
      <c r="M137" s="869"/>
      <c r="N137" s="869"/>
      <c r="O137" s="869"/>
      <c r="P137" s="869"/>
      <c r="Q137" s="869"/>
      <c r="R137" s="869"/>
      <c r="S137" s="869"/>
      <c r="T137" s="642"/>
      <c r="W137" s="627"/>
      <c r="X137" s="627"/>
      <c r="Y137" s="627"/>
      <c r="Z137" s="627"/>
      <c r="AG137" s="642"/>
    </row>
    <row r="138" spans="4:33">
      <c r="D138" s="869"/>
      <c r="E138" s="869"/>
      <c r="F138" s="869"/>
      <c r="G138" s="869"/>
      <c r="H138" s="869"/>
      <c r="I138" s="869"/>
      <c r="J138" s="869"/>
      <c r="K138" s="869"/>
      <c r="L138" s="869"/>
      <c r="M138" s="869"/>
      <c r="N138" s="869"/>
      <c r="O138" s="869"/>
      <c r="P138" s="869"/>
      <c r="Q138" s="869"/>
      <c r="R138" s="869"/>
      <c r="S138" s="869"/>
      <c r="T138" s="642"/>
      <c r="W138" s="627"/>
      <c r="X138" s="627"/>
      <c r="Y138" s="627"/>
      <c r="Z138" s="627"/>
      <c r="AG138" s="642"/>
    </row>
    <row r="139" spans="4:33">
      <c r="D139" s="869"/>
      <c r="E139" s="869"/>
      <c r="F139" s="869"/>
      <c r="G139" s="869"/>
      <c r="H139" s="869"/>
      <c r="I139" s="869"/>
      <c r="J139" s="869"/>
      <c r="K139" s="869"/>
      <c r="L139" s="869"/>
      <c r="M139" s="869"/>
      <c r="N139" s="869"/>
      <c r="O139" s="869"/>
      <c r="P139" s="869"/>
      <c r="Q139" s="869"/>
      <c r="R139" s="869"/>
      <c r="S139" s="869"/>
      <c r="T139" s="642"/>
      <c r="W139" s="627"/>
      <c r="X139" s="627"/>
      <c r="Y139" s="627"/>
      <c r="Z139" s="627"/>
      <c r="AG139" s="642"/>
    </row>
    <row r="140" spans="4:33">
      <c r="D140" s="869"/>
      <c r="E140" s="869"/>
      <c r="F140" s="869"/>
      <c r="G140" s="869"/>
      <c r="H140" s="869"/>
      <c r="I140" s="869"/>
      <c r="J140" s="869"/>
      <c r="K140" s="869"/>
      <c r="L140" s="869"/>
      <c r="M140" s="869"/>
      <c r="N140" s="869"/>
      <c r="O140" s="869"/>
      <c r="P140" s="869"/>
      <c r="Q140" s="869"/>
      <c r="R140" s="869"/>
      <c r="S140" s="869"/>
      <c r="T140" s="642"/>
      <c r="W140" s="627"/>
      <c r="X140" s="627"/>
      <c r="Y140" s="627"/>
      <c r="Z140" s="627"/>
      <c r="AG140" s="642"/>
    </row>
    <row r="141" spans="4:33">
      <c r="D141" s="869"/>
      <c r="E141" s="869"/>
      <c r="F141" s="869"/>
      <c r="G141" s="869"/>
      <c r="H141" s="869"/>
      <c r="I141" s="869"/>
      <c r="J141" s="869"/>
      <c r="K141" s="869"/>
      <c r="L141" s="869"/>
      <c r="M141" s="869"/>
      <c r="N141" s="869"/>
      <c r="O141" s="869"/>
      <c r="P141" s="869"/>
      <c r="Q141" s="869"/>
      <c r="R141" s="869"/>
      <c r="S141" s="869"/>
      <c r="T141" s="642"/>
      <c r="W141" s="627"/>
      <c r="X141" s="627"/>
      <c r="Y141" s="627"/>
      <c r="Z141" s="627"/>
      <c r="AG141" s="642"/>
    </row>
    <row r="142" spans="4:33">
      <c r="D142" s="869"/>
      <c r="E142" s="869"/>
      <c r="F142" s="869"/>
      <c r="G142" s="869"/>
      <c r="H142" s="869"/>
      <c r="I142" s="869"/>
      <c r="J142" s="869"/>
      <c r="K142" s="869"/>
      <c r="L142" s="869"/>
      <c r="M142" s="869"/>
      <c r="N142" s="869"/>
      <c r="O142" s="869"/>
      <c r="P142" s="869"/>
      <c r="Q142" s="869"/>
      <c r="R142" s="869"/>
      <c r="S142" s="869"/>
      <c r="T142" s="642"/>
      <c r="W142" s="627"/>
      <c r="X142" s="627"/>
      <c r="Y142" s="627"/>
      <c r="Z142" s="627"/>
      <c r="AG142" s="642"/>
    </row>
    <row r="143" spans="4:33">
      <c r="D143" s="869"/>
      <c r="E143" s="869"/>
      <c r="F143" s="869"/>
      <c r="G143" s="869"/>
      <c r="H143" s="869"/>
      <c r="I143" s="869"/>
      <c r="J143" s="869"/>
      <c r="K143" s="869"/>
      <c r="L143" s="869"/>
      <c r="M143" s="869"/>
      <c r="N143" s="869"/>
      <c r="O143" s="869"/>
      <c r="P143" s="869"/>
      <c r="Q143" s="869"/>
      <c r="R143" s="869"/>
      <c r="S143" s="869"/>
      <c r="T143" s="642"/>
      <c r="W143" s="627"/>
      <c r="X143" s="627"/>
      <c r="Y143" s="627"/>
      <c r="Z143" s="627"/>
      <c r="AG143" s="642"/>
    </row>
    <row r="144" spans="4:33">
      <c r="D144" s="869"/>
      <c r="E144" s="869"/>
      <c r="F144" s="869"/>
      <c r="G144" s="869"/>
      <c r="H144" s="869"/>
      <c r="I144" s="869"/>
      <c r="J144" s="869"/>
      <c r="K144" s="869"/>
      <c r="L144" s="869"/>
      <c r="M144" s="869"/>
      <c r="N144" s="869"/>
      <c r="O144" s="869"/>
      <c r="P144" s="869"/>
      <c r="Q144" s="869"/>
      <c r="R144" s="869"/>
      <c r="S144" s="869"/>
      <c r="T144" s="642"/>
      <c r="W144" s="627"/>
      <c r="X144" s="627"/>
      <c r="Y144" s="627"/>
      <c r="Z144" s="627"/>
      <c r="AG144" s="642"/>
    </row>
    <row r="145" spans="4:33">
      <c r="D145" s="869"/>
      <c r="E145" s="869"/>
      <c r="F145" s="869"/>
      <c r="G145" s="869"/>
      <c r="H145" s="869"/>
      <c r="I145" s="869"/>
      <c r="J145" s="869"/>
      <c r="K145" s="869"/>
      <c r="L145" s="869"/>
      <c r="M145" s="869"/>
      <c r="N145" s="869"/>
      <c r="O145" s="869"/>
      <c r="P145" s="869"/>
      <c r="Q145" s="869"/>
      <c r="R145" s="869"/>
      <c r="S145" s="869"/>
      <c r="T145" s="642"/>
      <c r="W145" s="627"/>
      <c r="X145" s="627"/>
      <c r="Y145" s="627"/>
      <c r="Z145" s="627"/>
      <c r="AG145" s="642"/>
    </row>
    <row r="146" spans="4:33">
      <c r="D146" s="869"/>
      <c r="E146" s="869"/>
      <c r="F146" s="869"/>
      <c r="G146" s="869"/>
      <c r="H146" s="869"/>
      <c r="I146" s="869"/>
      <c r="J146" s="869"/>
      <c r="K146" s="869"/>
      <c r="L146" s="869"/>
      <c r="M146" s="869"/>
      <c r="N146" s="869"/>
      <c r="O146" s="869"/>
      <c r="P146" s="869"/>
      <c r="Q146" s="869"/>
      <c r="R146" s="869"/>
      <c r="S146" s="869"/>
      <c r="T146" s="642"/>
      <c r="W146" s="627"/>
      <c r="X146" s="627"/>
      <c r="Y146" s="627"/>
      <c r="Z146" s="627"/>
      <c r="AG146" s="642"/>
    </row>
    <row r="147" spans="4:33">
      <c r="D147" s="869"/>
      <c r="E147" s="869"/>
      <c r="F147" s="869"/>
      <c r="G147" s="869"/>
      <c r="H147" s="869"/>
      <c r="I147" s="869"/>
      <c r="J147" s="869"/>
      <c r="K147" s="869"/>
      <c r="L147" s="869"/>
      <c r="M147" s="869"/>
      <c r="N147" s="869"/>
      <c r="O147" s="869"/>
      <c r="P147" s="869"/>
      <c r="Q147" s="869"/>
      <c r="R147" s="869"/>
      <c r="S147" s="869"/>
      <c r="T147" s="642"/>
      <c r="W147" s="627"/>
      <c r="X147" s="627"/>
      <c r="Y147" s="627"/>
      <c r="Z147" s="627"/>
      <c r="AG147" s="642"/>
    </row>
    <row r="148" spans="4:33">
      <c r="D148" s="869"/>
      <c r="E148" s="869"/>
      <c r="F148" s="869"/>
      <c r="G148" s="869"/>
      <c r="H148" s="869"/>
      <c r="I148" s="869"/>
      <c r="J148" s="869"/>
      <c r="K148" s="869"/>
      <c r="L148" s="869"/>
      <c r="M148" s="869"/>
      <c r="N148" s="869"/>
      <c r="O148" s="869"/>
      <c r="P148" s="869"/>
      <c r="Q148" s="869"/>
      <c r="R148" s="869"/>
      <c r="S148" s="869"/>
      <c r="T148" s="642"/>
      <c r="W148" s="627"/>
      <c r="X148" s="627"/>
      <c r="Y148" s="627"/>
      <c r="Z148" s="627"/>
      <c r="AG148" s="642"/>
    </row>
    <row r="149" spans="4:33">
      <c r="D149" s="869"/>
      <c r="E149" s="869"/>
      <c r="F149" s="869"/>
      <c r="G149" s="869"/>
      <c r="H149" s="869"/>
      <c r="I149" s="869"/>
      <c r="J149" s="869"/>
      <c r="K149" s="869"/>
      <c r="L149" s="869"/>
      <c r="M149" s="869"/>
      <c r="N149" s="869"/>
      <c r="O149" s="869"/>
      <c r="P149" s="869"/>
      <c r="Q149" s="869"/>
      <c r="R149" s="869"/>
      <c r="S149" s="869"/>
      <c r="T149" s="642"/>
      <c r="W149" s="627"/>
      <c r="X149" s="627"/>
      <c r="Y149" s="627"/>
      <c r="Z149" s="627"/>
      <c r="AG149" s="642"/>
    </row>
    <row r="150" spans="4:33">
      <c r="D150" s="869"/>
      <c r="E150" s="869"/>
      <c r="F150" s="869"/>
      <c r="G150" s="869"/>
      <c r="H150" s="869"/>
      <c r="I150" s="869"/>
      <c r="J150" s="869"/>
      <c r="K150" s="869"/>
      <c r="L150" s="869"/>
      <c r="M150" s="869"/>
      <c r="N150" s="869"/>
      <c r="O150" s="869"/>
      <c r="P150" s="869"/>
      <c r="Q150" s="869"/>
      <c r="R150" s="869"/>
      <c r="S150" s="869"/>
      <c r="T150" s="642"/>
      <c r="W150" s="627"/>
      <c r="X150" s="627"/>
      <c r="Y150" s="627"/>
      <c r="Z150" s="627"/>
      <c r="AG150" s="642"/>
    </row>
    <row r="151" spans="4:33">
      <c r="D151" s="869"/>
      <c r="E151" s="869"/>
      <c r="F151" s="869"/>
      <c r="G151" s="869"/>
      <c r="H151" s="869"/>
      <c r="I151" s="869"/>
      <c r="J151" s="869"/>
      <c r="K151" s="869"/>
      <c r="L151" s="869"/>
      <c r="M151" s="869"/>
      <c r="N151" s="869"/>
      <c r="O151" s="869"/>
      <c r="P151" s="869"/>
      <c r="Q151" s="869"/>
      <c r="R151" s="869"/>
      <c r="S151" s="869"/>
      <c r="T151" s="642"/>
      <c r="W151" s="627"/>
      <c r="X151" s="627"/>
      <c r="Y151" s="627"/>
      <c r="Z151" s="627"/>
      <c r="AG151" s="642"/>
    </row>
    <row r="152" spans="4:33">
      <c r="D152" s="869"/>
      <c r="E152" s="869"/>
      <c r="F152" s="869"/>
      <c r="G152" s="869"/>
      <c r="H152" s="869"/>
      <c r="I152" s="869"/>
      <c r="J152" s="869"/>
      <c r="K152" s="869"/>
      <c r="L152" s="869"/>
      <c r="M152" s="869"/>
      <c r="N152" s="869"/>
      <c r="O152" s="869"/>
      <c r="P152" s="869"/>
      <c r="Q152" s="869"/>
      <c r="R152" s="869"/>
      <c r="S152" s="869"/>
      <c r="T152" s="642"/>
      <c r="W152" s="627"/>
      <c r="X152" s="627"/>
      <c r="Y152" s="627"/>
      <c r="Z152" s="627"/>
      <c r="AG152" s="642"/>
    </row>
    <row r="153" spans="4:33">
      <c r="D153" s="869"/>
      <c r="E153" s="869"/>
      <c r="F153" s="869"/>
      <c r="G153" s="869"/>
      <c r="H153" s="869"/>
      <c r="I153" s="869"/>
      <c r="J153" s="869"/>
      <c r="K153" s="869"/>
      <c r="L153" s="869"/>
      <c r="M153" s="869"/>
      <c r="N153" s="869"/>
      <c r="O153" s="869"/>
      <c r="P153" s="869"/>
      <c r="Q153" s="869"/>
      <c r="R153" s="869"/>
      <c r="S153" s="869"/>
      <c r="T153" s="642"/>
      <c r="W153" s="627"/>
      <c r="X153" s="627"/>
      <c r="Y153" s="627"/>
      <c r="Z153" s="627"/>
      <c r="AG153" s="642"/>
    </row>
    <row r="154" spans="4:33">
      <c r="D154" s="869"/>
      <c r="E154" s="869"/>
      <c r="F154" s="869"/>
      <c r="G154" s="869"/>
      <c r="H154" s="869"/>
      <c r="I154" s="869"/>
      <c r="J154" s="869"/>
      <c r="K154" s="869"/>
      <c r="L154" s="869"/>
      <c r="M154" s="869"/>
      <c r="N154" s="869"/>
      <c r="O154" s="869"/>
      <c r="P154" s="869"/>
      <c r="Q154" s="869"/>
      <c r="R154" s="869"/>
      <c r="S154" s="869"/>
      <c r="T154" s="642"/>
      <c r="W154" s="627"/>
      <c r="X154" s="627"/>
      <c r="Y154" s="627"/>
      <c r="Z154" s="627"/>
      <c r="AG154" s="642"/>
    </row>
    <row r="155" spans="4:33">
      <c r="D155" s="869"/>
      <c r="E155" s="869"/>
      <c r="F155" s="869"/>
      <c r="G155" s="869"/>
      <c r="H155" s="869"/>
      <c r="I155" s="869"/>
      <c r="J155" s="869"/>
      <c r="K155" s="869"/>
      <c r="L155" s="869"/>
      <c r="M155" s="869"/>
      <c r="N155" s="869"/>
      <c r="O155" s="869"/>
      <c r="P155" s="869"/>
      <c r="Q155" s="869"/>
      <c r="R155" s="869"/>
      <c r="S155" s="869"/>
      <c r="T155" s="642"/>
      <c r="W155" s="627"/>
      <c r="X155" s="627"/>
      <c r="Y155" s="627"/>
      <c r="Z155" s="627"/>
      <c r="AG155" s="642"/>
    </row>
    <row r="156" spans="4:33">
      <c r="D156" s="869"/>
      <c r="E156" s="869"/>
      <c r="F156" s="869"/>
      <c r="G156" s="869"/>
      <c r="H156" s="869"/>
      <c r="I156" s="869"/>
      <c r="J156" s="869"/>
      <c r="K156" s="869"/>
      <c r="L156" s="869"/>
      <c r="M156" s="869"/>
      <c r="N156" s="869"/>
      <c r="O156" s="869"/>
      <c r="P156" s="869"/>
      <c r="Q156" s="869"/>
      <c r="R156" s="869"/>
      <c r="S156" s="869"/>
      <c r="T156" s="642"/>
      <c r="W156" s="627"/>
      <c r="X156" s="627"/>
      <c r="Y156" s="627"/>
      <c r="Z156" s="627"/>
      <c r="AG156" s="642"/>
    </row>
    <row r="157" spans="4:33">
      <c r="D157" s="869"/>
      <c r="E157" s="869"/>
      <c r="F157" s="869"/>
      <c r="G157" s="869"/>
      <c r="H157" s="869"/>
      <c r="I157" s="869"/>
      <c r="J157" s="869"/>
      <c r="K157" s="869"/>
      <c r="L157" s="869"/>
      <c r="M157" s="869"/>
      <c r="N157" s="869"/>
      <c r="O157" s="869"/>
      <c r="P157" s="869"/>
      <c r="Q157" s="869"/>
      <c r="R157" s="869"/>
      <c r="S157" s="869"/>
      <c r="T157" s="642"/>
      <c r="W157" s="627"/>
      <c r="X157" s="627"/>
      <c r="Y157" s="627"/>
      <c r="Z157" s="627"/>
      <c r="AG157" s="642"/>
    </row>
    <row r="158" spans="4:33">
      <c r="D158" s="869"/>
      <c r="E158" s="869"/>
      <c r="F158" s="869"/>
      <c r="G158" s="869"/>
      <c r="H158" s="869"/>
      <c r="I158" s="869"/>
      <c r="J158" s="869"/>
      <c r="K158" s="869"/>
      <c r="L158" s="869"/>
      <c r="M158" s="869"/>
      <c r="N158" s="869"/>
      <c r="O158" s="869"/>
      <c r="P158" s="869"/>
      <c r="Q158" s="869"/>
      <c r="R158" s="869"/>
      <c r="S158" s="869"/>
      <c r="T158" s="642"/>
      <c r="W158" s="627"/>
      <c r="X158" s="627"/>
      <c r="Y158" s="627"/>
      <c r="Z158" s="627"/>
      <c r="AG158" s="642"/>
    </row>
    <row r="159" spans="4:33">
      <c r="D159" s="869"/>
      <c r="E159" s="869"/>
      <c r="F159" s="869"/>
      <c r="G159" s="869"/>
      <c r="H159" s="869"/>
      <c r="I159" s="869"/>
      <c r="J159" s="869"/>
      <c r="K159" s="869"/>
      <c r="L159" s="869"/>
      <c r="M159" s="869"/>
      <c r="N159" s="869"/>
      <c r="O159" s="869"/>
      <c r="P159" s="869"/>
      <c r="Q159" s="869"/>
      <c r="R159" s="869"/>
      <c r="S159" s="869"/>
      <c r="T159" s="642"/>
      <c r="W159" s="627"/>
      <c r="X159" s="627"/>
      <c r="Y159" s="627"/>
      <c r="Z159" s="627"/>
      <c r="AG159" s="642"/>
    </row>
    <row r="160" spans="4:33">
      <c r="D160" s="869"/>
      <c r="E160" s="869"/>
      <c r="F160" s="869"/>
      <c r="G160" s="869"/>
      <c r="H160" s="869"/>
      <c r="I160" s="869"/>
      <c r="J160" s="869"/>
      <c r="K160" s="869"/>
      <c r="L160" s="869"/>
      <c r="M160" s="869"/>
      <c r="N160" s="869"/>
      <c r="O160" s="869"/>
      <c r="P160" s="869"/>
      <c r="Q160" s="869"/>
      <c r="R160" s="869"/>
      <c r="S160" s="869"/>
      <c r="T160" s="642"/>
      <c r="W160" s="627"/>
      <c r="X160" s="627"/>
      <c r="Y160" s="627"/>
      <c r="Z160" s="627"/>
      <c r="AG160" s="642"/>
    </row>
    <row r="161" spans="4:33">
      <c r="D161" s="869"/>
      <c r="E161" s="869"/>
      <c r="F161" s="869"/>
      <c r="G161" s="869"/>
      <c r="H161" s="869"/>
      <c r="I161" s="869"/>
      <c r="J161" s="869"/>
      <c r="K161" s="869"/>
      <c r="L161" s="869"/>
      <c r="M161" s="869"/>
      <c r="N161" s="869"/>
      <c r="O161" s="869"/>
      <c r="P161" s="869"/>
      <c r="Q161" s="869"/>
      <c r="R161" s="869"/>
      <c r="S161" s="869"/>
      <c r="T161" s="642"/>
      <c r="W161" s="627"/>
      <c r="X161" s="627"/>
      <c r="Y161" s="627"/>
      <c r="Z161" s="627"/>
      <c r="AG161" s="642"/>
    </row>
    <row r="162" spans="4:33">
      <c r="D162" s="869"/>
      <c r="E162" s="869"/>
      <c r="F162" s="869"/>
      <c r="G162" s="869"/>
      <c r="H162" s="869"/>
      <c r="I162" s="869"/>
      <c r="J162" s="869"/>
      <c r="K162" s="869"/>
      <c r="L162" s="869"/>
      <c r="M162" s="869"/>
      <c r="N162" s="869"/>
      <c r="O162" s="869"/>
      <c r="P162" s="869"/>
      <c r="Q162" s="869"/>
      <c r="R162" s="869"/>
      <c r="S162" s="869"/>
      <c r="T162" s="642"/>
      <c r="W162" s="627"/>
      <c r="X162" s="627"/>
      <c r="Y162" s="627"/>
      <c r="Z162" s="627"/>
      <c r="AG162" s="642"/>
    </row>
    <row r="163" spans="4:33">
      <c r="D163" s="869"/>
      <c r="E163" s="869"/>
      <c r="F163" s="869"/>
      <c r="G163" s="869"/>
      <c r="H163" s="869"/>
      <c r="I163" s="869"/>
      <c r="J163" s="869"/>
      <c r="K163" s="869"/>
      <c r="L163" s="869"/>
      <c r="M163" s="869"/>
      <c r="N163" s="869"/>
      <c r="O163" s="869"/>
      <c r="P163" s="869"/>
      <c r="Q163" s="869"/>
      <c r="R163" s="869"/>
      <c r="S163" s="869"/>
      <c r="T163" s="642"/>
      <c r="W163" s="627"/>
      <c r="X163" s="627"/>
      <c r="Y163" s="627"/>
      <c r="Z163" s="627"/>
      <c r="AG163" s="642"/>
    </row>
    <row r="164" spans="4:33">
      <c r="D164" s="869"/>
      <c r="E164" s="869"/>
      <c r="F164" s="869"/>
      <c r="G164" s="869"/>
      <c r="H164" s="869"/>
      <c r="I164" s="869"/>
      <c r="J164" s="869"/>
      <c r="K164" s="869"/>
      <c r="L164" s="869"/>
      <c r="M164" s="869"/>
      <c r="N164" s="869"/>
      <c r="O164" s="869"/>
      <c r="P164" s="869"/>
      <c r="Q164" s="869"/>
      <c r="R164" s="869"/>
      <c r="S164" s="869"/>
      <c r="T164" s="642"/>
      <c r="W164" s="627"/>
      <c r="X164" s="627"/>
      <c r="Y164" s="627"/>
      <c r="Z164" s="627"/>
      <c r="AG164" s="642"/>
    </row>
    <row r="165" spans="4:33">
      <c r="D165" s="869"/>
      <c r="E165" s="869"/>
      <c r="F165" s="869"/>
      <c r="G165" s="869"/>
      <c r="H165" s="869"/>
      <c r="I165" s="869"/>
      <c r="J165" s="869"/>
      <c r="K165" s="869"/>
      <c r="L165" s="869"/>
      <c r="M165" s="869"/>
      <c r="N165" s="869"/>
      <c r="O165" s="869"/>
      <c r="P165" s="869"/>
      <c r="Q165" s="869"/>
      <c r="R165" s="869"/>
      <c r="S165" s="869"/>
      <c r="T165" s="642"/>
      <c r="W165" s="627"/>
      <c r="X165" s="627"/>
      <c r="Y165" s="627"/>
      <c r="Z165" s="627"/>
      <c r="AG165" s="642"/>
    </row>
    <row r="166" spans="4:33">
      <c r="D166" s="869"/>
      <c r="E166" s="869"/>
      <c r="F166" s="869"/>
      <c r="G166" s="869"/>
      <c r="H166" s="869"/>
      <c r="I166" s="869"/>
      <c r="J166" s="869"/>
      <c r="K166" s="869"/>
      <c r="L166" s="869"/>
      <c r="M166" s="869"/>
      <c r="N166" s="869"/>
      <c r="O166" s="869"/>
      <c r="P166" s="869"/>
      <c r="Q166" s="869"/>
      <c r="R166" s="869"/>
      <c r="S166" s="869"/>
      <c r="T166" s="642"/>
      <c r="W166" s="627"/>
      <c r="X166" s="627"/>
      <c r="Y166" s="627"/>
      <c r="Z166" s="627"/>
      <c r="AG166" s="642"/>
    </row>
    <row r="167" spans="4:33">
      <c r="D167" s="869"/>
      <c r="E167" s="869"/>
      <c r="F167" s="869"/>
      <c r="G167" s="869"/>
      <c r="H167" s="869"/>
      <c r="I167" s="869"/>
      <c r="J167" s="869"/>
      <c r="K167" s="869"/>
      <c r="L167" s="869"/>
      <c r="M167" s="869"/>
      <c r="N167" s="869"/>
      <c r="O167" s="869"/>
      <c r="P167" s="869"/>
      <c r="Q167" s="869"/>
      <c r="R167" s="869"/>
      <c r="S167" s="869"/>
      <c r="T167" s="642"/>
      <c r="W167" s="627"/>
      <c r="X167" s="627"/>
      <c r="Y167" s="627"/>
      <c r="Z167" s="627"/>
      <c r="AG167" s="642"/>
    </row>
    <row r="168" spans="4:33">
      <c r="D168" s="869"/>
      <c r="E168" s="869"/>
      <c r="F168" s="869"/>
      <c r="G168" s="869"/>
      <c r="H168" s="869"/>
      <c r="I168" s="869"/>
      <c r="J168" s="869"/>
      <c r="K168" s="869"/>
      <c r="L168" s="869"/>
      <c r="M168" s="869"/>
      <c r="N168" s="869"/>
      <c r="O168" s="869"/>
      <c r="P168" s="869"/>
      <c r="Q168" s="869"/>
      <c r="R168" s="869"/>
      <c r="S168" s="869"/>
      <c r="T168" s="642"/>
      <c r="W168" s="627"/>
      <c r="X168" s="627"/>
      <c r="Y168" s="627"/>
      <c r="Z168" s="627"/>
      <c r="AG168" s="642"/>
    </row>
    <row r="169" spans="4:33">
      <c r="D169" s="869"/>
      <c r="E169" s="869"/>
      <c r="F169" s="869"/>
      <c r="G169" s="869"/>
      <c r="H169" s="869"/>
      <c r="I169" s="869"/>
      <c r="J169" s="869"/>
      <c r="K169" s="869"/>
      <c r="L169" s="869"/>
      <c r="M169" s="869"/>
      <c r="N169" s="869"/>
      <c r="O169" s="869"/>
      <c r="P169" s="869"/>
      <c r="Q169" s="869"/>
      <c r="R169" s="869"/>
      <c r="S169" s="869"/>
      <c r="T169" s="642"/>
      <c r="W169" s="627"/>
      <c r="X169" s="627"/>
      <c r="Y169" s="627"/>
      <c r="Z169" s="627"/>
      <c r="AG169" s="642"/>
    </row>
    <row r="170" spans="4:33">
      <c r="D170" s="869"/>
      <c r="E170" s="869"/>
      <c r="F170" s="869"/>
      <c r="G170" s="869"/>
      <c r="H170" s="869"/>
      <c r="I170" s="869"/>
      <c r="J170" s="869"/>
      <c r="K170" s="869"/>
      <c r="L170" s="869"/>
      <c r="M170" s="869"/>
      <c r="N170" s="869"/>
      <c r="O170" s="869"/>
      <c r="P170" s="869"/>
      <c r="Q170" s="869"/>
      <c r="R170" s="869"/>
      <c r="S170" s="869"/>
      <c r="T170" s="642"/>
      <c r="W170" s="627"/>
      <c r="X170" s="627"/>
      <c r="Y170" s="627"/>
      <c r="Z170" s="627"/>
      <c r="AG170" s="642"/>
    </row>
    <row r="171" spans="4:33">
      <c r="D171" s="869"/>
      <c r="E171" s="869"/>
      <c r="F171" s="869"/>
      <c r="G171" s="869"/>
      <c r="H171" s="869"/>
      <c r="I171" s="869"/>
      <c r="J171" s="869"/>
      <c r="K171" s="869"/>
      <c r="L171" s="869"/>
      <c r="M171" s="869"/>
      <c r="N171" s="869"/>
      <c r="O171" s="869"/>
      <c r="P171" s="869"/>
      <c r="Q171" s="869"/>
      <c r="R171" s="869"/>
      <c r="S171" s="869"/>
      <c r="T171" s="642"/>
      <c r="W171" s="627"/>
      <c r="X171" s="627"/>
      <c r="Y171" s="627"/>
      <c r="Z171" s="627"/>
      <c r="AG171" s="642"/>
    </row>
    <row r="172" spans="4:33">
      <c r="D172" s="869"/>
      <c r="E172" s="869"/>
      <c r="F172" s="869"/>
      <c r="G172" s="869"/>
      <c r="H172" s="869"/>
      <c r="I172" s="869"/>
      <c r="J172" s="869"/>
      <c r="K172" s="869"/>
      <c r="L172" s="869"/>
      <c r="M172" s="869"/>
      <c r="N172" s="869"/>
      <c r="O172" s="869"/>
      <c r="P172" s="869"/>
      <c r="Q172" s="869"/>
      <c r="R172" s="869"/>
      <c r="S172" s="869"/>
      <c r="T172" s="642"/>
      <c r="W172" s="627"/>
      <c r="X172" s="627"/>
      <c r="Y172" s="627"/>
      <c r="Z172" s="627"/>
      <c r="AG172" s="642"/>
    </row>
    <row r="173" spans="4:33">
      <c r="D173" s="869"/>
      <c r="E173" s="869"/>
      <c r="F173" s="869"/>
      <c r="G173" s="869"/>
      <c r="H173" s="869"/>
      <c r="I173" s="869"/>
      <c r="J173" s="869"/>
      <c r="K173" s="869"/>
      <c r="L173" s="869"/>
      <c r="M173" s="869"/>
      <c r="N173" s="869"/>
      <c r="O173" s="869"/>
      <c r="P173" s="869"/>
      <c r="Q173" s="869"/>
      <c r="R173" s="869"/>
      <c r="S173" s="869"/>
      <c r="T173" s="642"/>
      <c r="W173" s="627"/>
      <c r="X173" s="627"/>
      <c r="Y173" s="627"/>
      <c r="Z173" s="627"/>
      <c r="AG173" s="642"/>
    </row>
    <row r="174" spans="4:33">
      <c r="D174" s="869"/>
      <c r="E174" s="869"/>
      <c r="F174" s="869"/>
      <c r="G174" s="869"/>
      <c r="H174" s="869"/>
      <c r="I174" s="869"/>
      <c r="J174" s="869"/>
      <c r="K174" s="869"/>
      <c r="L174" s="869"/>
      <c r="M174" s="869"/>
      <c r="N174" s="869"/>
      <c r="O174" s="869"/>
      <c r="P174" s="869"/>
      <c r="Q174" s="869"/>
      <c r="R174" s="869"/>
      <c r="S174" s="869"/>
      <c r="T174" s="642"/>
      <c r="W174" s="627"/>
      <c r="X174" s="627"/>
      <c r="Y174" s="627"/>
      <c r="Z174" s="627"/>
      <c r="AG174" s="642"/>
    </row>
    <row r="175" spans="4:33">
      <c r="D175" s="869"/>
      <c r="E175" s="869"/>
      <c r="F175" s="869"/>
      <c r="G175" s="869"/>
      <c r="H175" s="869"/>
      <c r="I175" s="869"/>
      <c r="J175" s="869"/>
      <c r="K175" s="869"/>
      <c r="L175" s="869"/>
      <c r="M175" s="869"/>
      <c r="N175" s="869"/>
      <c r="O175" s="869"/>
      <c r="P175" s="869"/>
      <c r="Q175" s="869"/>
      <c r="R175" s="869"/>
      <c r="S175" s="869"/>
      <c r="T175" s="642"/>
      <c r="W175" s="627"/>
      <c r="X175" s="627"/>
      <c r="Y175" s="627"/>
      <c r="Z175" s="627"/>
      <c r="AG175" s="642"/>
    </row>
    <row r="176" spans="4:33">
      <c r="D176" s="869"/>
      <c r="E176" s="869"/>
      <c r="F176" s="869"/>
      <c r="G176" s="869"/>
      <c r="H176" s="869"/>
      <c r="I176" s="869"/>
      <c r="J176" s="869"/>
      <c r="K176" s="869"/>
      <c r="L176" s="869"/>
      <c r="M176" s="869"/>
      <c r="N176" s="869"/>
      <c r="O176" s="869"/>
      <c r="P176" s="869"/>
      <c r="Q176" s="869"/>
      <c r="R176" s="869"/>
      <c r="S176" s="869"/>
      <c r="T176" s="642"/>
      <c r="W176" s="627"/>
      <c r="X176" s="627"/>
      <c r="Y176" s="627"/>
      <c r="Z176" s="627"/>
      <c r="AG176" s="642"/>
    </row>
    <row r="177" spans="4:33">
      <c r="D177" s="869"/>
      <c r="E177" s="869"/>
      <c r="F177" s="869"/>
      <c r="G177" s="869"/>
      <c r="H177" s="869"/>
      <c r="I177" s="869"/>
      <c r="J177" s="869"/>
      <c r="K177" s="869"/>
      <c r="L177" s="869"/>
      <c r="M177" s="869"/>
      <c r="N177" s="869"/>
      <c r="O177" s="869"/>
      <c r="P177" s="869"/>
      <c r="Q177" s="869"/>
      <c r="R177" s="869"/>
      <c r="S177" s="869"/>
      <c r="T177" s="642"/>
      <c r="W177" s="627"/>
      <c r="X177" s="627"/>
      <c r="Y177" s="627"/>
      <c r="Z177" s="627"/>
      <c r="AG177" s="642"/>
    </row>
    <row r="178" spans="4:33">
      <c r="D178" s="869"/>
      <c r="E178" s="869"/>
      <c r="F178" s="869"/>
      <c r="G178" s="869"/>
      <c r="H178" s="869"/>
      <c r="I178" s="869"/>
      <c r="J178" s="869"/>
      <c r="K178" s="869"/>
      <c r="L178" s="869"/>
      <c r="M178" s="869"/>
      <c r="N178" s="869"/>
      <c r="O178" s="869"/>
      <c r="P178" s="869"/>
      <c r="Q178" s="869"/>
      <c r="R178" s="869"/>
      <c r="S178" s="869"/>
      <c r="T178" s="642"/>
      <c r="W178" s="627"/>
      <c r="X178" s="627"/>
      <c r="Y178" s="627"/>
      <c r="Z178" s="627"/>
      <c r="AG178" s="642"/>
    </row>
    <row r="179" spans="4:33">
      <c r="D179" s="869"/>
      <c r="E179" s="869"/>
      <c r="F179" s="869"/>
      <c r="G179" s="869"/>
      <c r="H179" s="869"/>
      <c r="I179" s="869"/>
      <c r="J179" s="869"/>
      <c r="K179" s="869"/>
      <c r="L179" s="869"/>
      <c r="M179" s="869"/>
      <c r="N179" s="869"/>
      <c r="O179" s="869"/>
      <c r="P179" s="869"/>
      <c r="Q179" s="869"/>
      <c r="R179" s="869"/>
      <c r="S179" s="869"/>
      <c r="T179" s="642"/>
      <c r="W179" s="627"/>
      <c r="X179" s="627"/>
      <c r="Y179" s="627"/>
      <c r="Z179" s="627"/>
      <c r="AG179" s="642"/>
    </row>
    <row r="180" spans="4:33">
      <c r="D180" s="869"/>
      <c r="E180" s="869"/>
      <c r="F180" s="869"/>
      <c r="G180" s="869"/>
      <c r="H180" s="869"/>
      <c r="I180" s="869"/>
      <c r="J180" s="869"/>
      <c r="K180" s="869"/>
      <c r="L180" s="869"/>
      <c r="M180" s="869"/>
      <c r="N180" s="869"/>
      <c r="O180" s="869"/>
      <c r="P180" s="869"/>
      <c r="Q180" s="869"/>
      <c r="R180" s="869"/>
      <c r="S180" s="869"/>
      <c r="T180" s="642"/>
      <c r="W180" s="627"/>
      <c r="X180" s="627"/>
      <c r="Y180" s="627"/>
      <c r="Z180" s="627"/>
      <c r="AG180" s="642"/>
    </row>
    <row r="181" spans="4:33">
      <c r="D181" s="869"/>
      <c r="E181" s="869"/>
      <c r="F181" s="869"/>
      <c r="G181" s="869"/>
      <c r="H181" s="869"/>
      <c r="I181" s="869"/>
      <c r="J181" s="869"/>
      <c r="K181" s="869"/>
      <c r="L181" s="869"/>
      <c r="M181" s="869"/>
      <c r="N181" s="869"/>
      <c r="O181" s="869"/>
      <c r="P181" s="869"/>
      <c r="Q181" s="869"/>
      <c r="R181" s="869"/>
      <c r="S181" s="869"/>
      <c r="T181" s="642"/>
      <c r="W181" s="627"/>
      <c r="X181" s="627"/>
      <c r="Y181" s="627"/>
      <c r="Z181" s="627"/>
      <c r="AG181" s="642"/>
    </row>
    <row r="182" spans="4:33">
      <c r="D182" s="869"/>
      <c r="E182" s="869"/>
      <c r="F182" s="869"/>
      <c r="G182" s="869"/>
      <c r="H182" s="869"/>
      <c r="I182" s="869"/>
      <c r="J182" s="869"/>
      <c r="K182" s="869"/>
      <c r="L182" s="869"/>
      <c r="M182" s="869"/>
      <c r="N182" s="869"/>
      <c r="O182" s="869"/>
      <c r="P182" s="869"/>
      <c r="Q182" s="869"/>
      <c r="R182" s="869"/>
      <c r="S182" s="869"/>
      <c r="T182" s="642"/>
      <c r="W182" s="627"/>
      <c r="X182" s="627"/>
      <c r="Y182" s="627"/>
      <c r="Z182" s="627"/>
      <c r="AG182" s="642"/>
    </row>
    <row r="183" spans="4:33">
      <c r="D183" s="869"/>
      <c r="E183" s="869"/>
      <c r="F183" s="869"/>
      <c r="G183" s="869"/>
      <c r="H183" s="869"/>
      <c r="I183" s="869"/>
      <c r="J183" s="869"/>
      <c r="K183" s="869"/>
      <c r="L183" s="869"/>
      <c r="M183" s="869"/>
      <c r="N183" s="869"/>
      <c r="O183" s="869"/>
      <c r="P183" s="869"/>
      <c r="Q183" s="869"/>
      <c r="R183" s="869"/>
      <c r="S183" s="869"/>
      <c r="T183" s="642"/>
      <c r="W183" s="627"/>
      <c r="X183" s="627"/>
      <c r="Y183" s="627"/>
      <c r="Z183" s="627"/>
      <c r="AG183" s="642"/>
    </row>
    <row r="184" spans="4:33">
      <c r="D184" s="869"/>
      <c r="E184" s="869"/>
      <c r="F184" s="869"/>
      <c r="G184" s="869"/>
      <c r="H184" s="869"/>
      <c r="I184" s="869"/>
      <c r="J184" s="869"/>
      <c r="K184" s="869"/>
      <c r="L184" s="869"/>
      <c r="M184" s="869"/>
      <c r="N184" s="869"/>
      <c r="O184" s="869"/>
      <c r="P184" s="869"/>
      <c r="Q184" s="869"/>
      <c r="R184" s="869"/>
      <c r="S184" s="869"/>
      <c r="T184" s="642"/>
      <c r="W184" s="627"/>
      <c r="X184" s="627"/>
      <c r="Y184" s="627"/>
      <c r="Z184" s="627"/>
      <c r="AG184" s="642"/>
    </row>
    <row r="185" spans="4:33">
      <c r="D185" s="869"/>
      <c r="E185" s="869"/>
      <c r="F185" s="869"/>
      <c r="G185" s="869"/>
      <c r="H185" s="869"/>
      <c r="I185" s="869"/>
      <c r="J185" s="869"/>
      <c r="K185" s="869"/>
      <c r="L185" s="869"/>
      <c r="M185" s="869"/>
      <c r="N185" s="869"/>
      <c r="O185" s="869"/>
      <c r="P185" s="869"/>
      <c r="Q185" s="869"/>
      <c r="R185" s="869"/>
      <c r="S185" s="869"/>
      <c r="T185" s="642"/>
      <c r="W185" s="627"/>
      <c r="X185" s="627"/>
      <c r="Y185" s="627"/>
      <c r="Z185" s="627"/>
      <c r="AG185" s="642"/>
    </row>
    <row r="186" spans="4:33">
      <c r="D186" s="869"/>
      <c r="E186" s="869"/>
      <c r="F186" s="869"/>
      <c r="G186" s="869"/>
      <c r="H186" s="869"/>
      <c r="I186" s="869"/>
      <c r="J186" s="869"/>
      <c r="K186" s="869"/>
      <c r="L186" s="869"/>
      <c r="M186" s="869"/>
      <c r="N186" s="869"/>
      <c r="O186" s="869"/>
      <c r="P186" s="869"/>
      <c r="Q186" s="869"/>
      <c r="R186" s="869"/>
      <c r="S186" s="869"/>
      <c r="T186" s="642"/>
      <c r="W186" s="627"/>
      <c r="X186" s="627"/>
      <c r="Y186" s="627"/>
      <c r="Z186" s="627"/>
      <c r="AG186" s="642"/>
    </row>
    <row r="187" spans="4:33">
      <c r="D187" s="869"/>
      <c r="E187" s="869"/>
      <c r="F187" s="869"/>
      <c r="G187" s="869"/>
      <c r="H187" s="869"/>
      <c r="I187" s="869"/>
      <c r="J187" s="869"/>
      <c r="K187" s="869"/>
      <c r="L187" s="869"/>
      <c r="M187" s="869"/>
      <c r="N187" s="869"/>
      <c r="O187" s="869"/>
      <c r="P187" s="869"/>
      <c r="Q187" s="869"/>
      <c r="R187" s="869"/>
      <c r="S187" s="869"/>
      <c r="T187" s="642"/>
      <c r="W187" s="627"/>
      <c r="X187" s="627"/>
      <c r="Y187" s="627"/>
      <c r="Z187" s="627"/>
      <c r="AG187" s="642"/>
    </row>
    <row r="188" spans="4:33">
      <c r="D188" s="869"/>
      <c r="E188" s="869"/>
      <c r="F188" s="869"/>
      <c r="G188" s="869"/>
      <c r="H188" s="869"/>
      <c r="I188" s="869"/>
      <c r="J188" s="869"/>
      <c r="K188" s="869"/>
      <c r="L188" s="869"/>
      <c r="M188" s="869"/>
      <c r="N188" s="869"/>
      <c r="O188" s="869"/>
      <c r="P188" s="869"/>
      <c r="Q188" s="869"/>
      <c r="R188" s="869"/>
      <c r="S188" s="869"/>
      <c r="T188" s="642"/>
      <c r="W188" s="627"/>
      <c r="X188" s="627"/>
      <c r="Y188" s="627"/>
      <c r="Z188" s="627"/>
      <c r="AG188" s="642"/>
    </row>
    <row r="189" spans="4:33">
      <c r="D189" s="869"/>
      <c r="E189" s="869"/>
      <c r="F189" s="869"/>
      <c r="G189" s="869"/>
      <c r="H189" s="869"/>
      <c r="I189" s="869"/>
      <c r="J189" s="869"/>
      <c r="K189" s="869"/>
      <c r="L189" s="869"/>
      <c r="M189" s="869"/>
      <c r="N189" s="869"/>
      <c r="O189" s="869"/>
      <c r="P189" s="869"/>
      <c r="Q189" s="869"/>
      <c r="R189" s="869"/>
      <c r="S189" s="869"/>
      <c r="T189" s="642"/>
      <c r="W189" s="627"/>
      <c r="X189" s="627"/>
      <c r="Y189" s="627"/>
      <c r="Z189" s="627"/>
      <c r="AG189" s="642"/>
    </row>
    <row r="190" spans="4:33">
      <c r="D190" s="869"/>
      <c r="E190" s="869"/>
      <c r="F190" s="869"/>
      <c r="G190" s="869"/>
      <c r="H190" s="869"/>
      <c r="I190" s="869"/>
      <c r="J190" s="869"/>
      <c r="K190" s="869"/>
      <c r="L190" s="869"/>
      <c r="M190" s="869"/>
      <c r="N190" s="869"/>
      <c r="O190" s="869"/>
      <c r="P190" s="869"/>
      <c r="Q190" s="869"/>
      <c r="R190" s="869"/>
      <c r="S190" s="869"/>
      <c r="T190" s="642"/>
      <c r="W190" s="627"/>
      <c r="X190" s="627"/>
      <c r="Y190" s="627"/>
      <c r="Z190" s="627"/>
      <c r="AG190" s="642"/>
    </row>
    <row r="191" spans="4:33">
      <c r="D191" s="869"/>
      <c r="E191" s="869"/>
      <c r="F191" s="869"/>
      <c r="G191" s="869"/>
      <c r="H191" s="869"/>
      <c r="I191" s="869"/>
      <c r="J191" s="869"/>
      <c r="K191" s="869"/>
      <c r="L191" s="869"/>
      <c r="M191" s="869"/>
      <c r="N191" s="869"/>
      <c r="O191" s="869"/>
      <c r="P191" s="869"/>
      <c r="Q191" s="869"/>
      <c r="R191" s="869"/>
      <c r="S191" s="869"/>
      <c r="T191" s="642"/>
      <c r="W191" s="627"/>
      <c r="X191" s="627"/>
      <c r="Y191" s="627"/>
      <c r="Z191" s="627"/>
      <c r="AG191" s="642"/>
    </row>
    <row r="192" spans="4:33">
      <c r="D192" s="869"/>
      <c r="E192" s="869"/>
      <c r="F192" s="869"/>
      <c r="G192" s="869"/>
      <c r="H192" s="869"/>
      <c r="I192" s="869"/>
      <c r="J192" s="869"/>
      <c r="K192" s="869"/>
      <c r="L192" s="869"/>
      <c r="M192" s="869"/>
      <c r="N192" s="869"/>
      <c r="O192" s="869"/>
      <c r="P192" s="869"/>
      <c r="Q192" s="869"/>
      <c r="R192" s="869"/>
      <c r="S192" s="869"/>
      <c r="T192" s="642"/>
      <c r="W192" s="627"/>
      <c r="X192" s="627"/>
      <c r="Y192" s="627"/>
      <c r="Z192" s="627"/>
      <c r="AG192" s="642"/>
    </row>
    <row r="193" spans="4:33">
      <c r="D193" s="869"/>
      <c r="E193" s="869"/>
      <c r="F193" s="869"/>
      <c r="G193" s="869"/>
      <c r="H193" s="869"/>
      <c r="I193" s="869"/>
      <c r="J193" s="869"/>
      <c r="K193" s="869"/>
      <c r="L193" s="869"/>
      <c r="M193" s="869"/>
      <c r="N193" s="869"/>
      <c r="O193" s="869"/>
      <c r="P193" s="869"/>
      <c r="Q193" s="869"/>
      <c r="R193" s="869"/>
      <c r="S193" s="869"/>
      <c r="T193" s="642"/>
      <c r="W193" s="627"/>
      <c r="X193" s="627"/>
      <c r="Y193" s="627"/>
      <c r="Z193" s="627"/>
      <c r="AG193" s="642"/>
    </row>
    <row r="194" spans="4:33">
      <c r="D194" s="869"/>
      <c r="E194" s="869"/>
      <c r="F194" s="869"/>
      <c r="G194" s="869"/>
      <c r="H194" s="869"/>
      <c r="I194" s="869"/>
      <c r="J194" s="869"/>
      <c r="K194" s="869"/>
      <c r="L194" s="869"/>
      <c r="M194" s="869"/>
      <c r="N194" s="869"/>
      <c r="O194" s="869"/>
      <c r="P194" s="869"/>
      <c r="Q194" s="869"/>
      <c r="R194" s="869"/>
      <c r="S194" s="869"/>
      <c r="T194" s="642"/>
      <c r="W194" s="627"/>
      <c r="X194" s="627"/>
      <c r="Y194" s="627"/>
      <c r="Z194" s="627"/>
      <c r="AG194" s="642"/>
    </row>
    <row r="195" spans="4:33">
      <c r="D195" s="869"/>
      <c r="E195" s="869"/>
      <c r="F195" s="869"/>
      <c r="G195" s="869"/>
      <c r="H195" s="869"/>
      <c r="I195" s="869"/>
      <c r="J195" s="869"/>
      <c r="K195" s="869"/>
      <c r="L195" s="869"/>
      <c r="M195" s="869"/>
      <c r="N195" s="869"/>
      <c r="O195" s="869"/>
      <c r="P195" s="869"/>
      <c r="Q195" s="869"/>
      <c r="R195" s="869"/>
      <c r="S195" s="869"/>
      <c r="T195" s="642"/>
      <c r="W195" s="627"/>
      <c r="X195" s="627"/>
      <c r="Y195" s="627"/>
      <c r="Z195" s="627"/>
      <c r="AG195" s="642"/>
    </row>
    <row r="196" spans="4:33">
      <c r="D196" s="869"/>
      <c r="E196" s="869"/>
      <c r="F196" s="869"/>
      <c r="G196" s="869"/>
      <c r="H196" s="869"/>
      <c r="I196" s="869"/>
      <c r="J196" s="869"/>
      <c r="K196" s="869"/>
      <c r="L196" s="869"/>
      <c r="M196" s="869"/>
      <c r="N196" s="869"/>
      <c r="O196" s="869"/>
      <c r="P196" s="869"/>
      <c r="Q196" s="869"/>
      <c r="R196" s="869"/>
      <c r="S196" s="869"/>
      <c r="T196" s="642"/>
      <c r="W196" s="627"/>
      <c r="X196" s="627"/>
      <c r="Y196" s="627"/>
      <c r="Z196" s="627"/>
      <c r="AG196" s="642"/>
    </row>
    <row r="197" spans="4:33">
      <c r="D197" s="869"/>
      <c r="E197" s="869"/>
      <c r="F197" s="869"/>
      <c r="G197" s="869"/>
      <c r="H197" s="869"/>
      <c r="I197" s="869"/>
      <c r="J197" s="869"/>
      <c r="K197" s="869"/>
      <c r="L197" s="869"/>
      <c r="M197" s="869"/>
      <c r="N197" s="869"/>
      <c r="O197" s="869"/>
      <c r="P197" s="869"/>
      <c r="Q197" s="869"/>
      <c r="R197" s="869"/>
      <c r="S197" s="869"/>
      <c r="T197" s="642"/>
      <c r="W197" s="627"/>
      <c r="X197" s="627"/>
      <c r="Y197" s="627"/>
      <c r="Z197" s="627"/>
      <c r="AG197" s="642"/>
    </row>
    <row r="198" spans="4:33">
      <c r="D198" s="869"/>
      <c r="E198" s="869"/>
      <c r="F198" s="869"/>
      <c r="G198" s="869"/>
      <c r="H198" s="869"/>
      <c r="I198" s="869"/>
      <c r="J198" s="869"/>
      <c r="K198" s="869"/>
      <c r="L198" s="869"/>
      <c r="M198" s="869"/>
      <c r="N198" s="869"/>
      <c r="O198" s="869"/>
      <c r="P198" s="869"/>
      <c r="Q198" s="869"/>
      <c r="R198" s="869"/>
      <c r="S198" s="869"/>
      <c r="T198" s="642"/>
      <c r="W198" s="627"/>
      <c r="X198" s="627"/>
      <c r="Y198" s="627"/>
      <c r="Z198" s="627"/>
      <c r="AG198" s="642"/>
    </row>
    <row r="199" spans="4:33">
      <c r="D199" s="869"/>
      <c r="E199" s="869"/>
      <c r="F199" s="869"/>
      <c r="G199" s="869"/>
      <c r="H199" s="869"/>
      <c r="I199" s="869"/>
      <c r="J199" s="869"/>
      <c r="K199" s="869"/>
      <c r="L199" s="869"/>
      <c r="M199" s="869"/>
      <c r="N199" s="869"/>
      <c r="O199" s="869"/>
      <c r="P199" s="869"/>
      <c r="Q199" s="869"/>
      <c r="R199" s="869"/>
      <c r="S199" s="869"/>
      <c r="T199" s="642"/>
      <c r="W199" s="627"/>
      <c r="X199" s="627"/>
      <c r="Y199" s="627"/>
      <c r="Z199" s="627"/>
      <c r="AG199" s="642"/>
    </row>
    <row r="200" spans="4:33">
      <c r="D200" s="869"/>
      <c r="E200" s="869"/>
      <c r="F200" s="869"/>
      <c r="G200" s="869"/>
      <c r="H200" s="869"/>
      <c r="I200" s="869"/>
      <c r="J200" s="869"/>
      <c r="K200" s="869"/>
      <c r="L200" s="869"/>
      <c r="M200" s="869"/>
      <c r="N200" s="869"/>
      <c r="O200" s="869"/>
      <c r="P200" s="869"/>
      <c r="Q200" s="869"/>
      <c r="R200" s="869"/>
      <c r="S200" s="869"/>
      <c r="T200" s="642"/>
      <c r="W200" s="627"/>
      <c r="X200" s="627"/>
      <c r="Y200" s="627"/>
      <c r="Z200" s="627"/>
      <c r="AG200" s="642"/>
    </row>
    <row r="201" spans="4:33">
      <c r="D201" s="869"/>
      <c r="E201" s="869"/>
      <c r="F201" s="869"/>
      <c r="G201" s="869"/>
      <c r="H201" s="869"/>
      <c r="I201" s="869"/>
      <c r="J201" s="869"/>
      <c r="K201" s="869"/>
      <c r="L201" s="869"/>
      <c r="M201" s="869"/>
      <c r="N201" s="869"/>
      <c r="O201" s="869"/>
      <c r="P201" s="869"/>
      <c r="Q201" s="869"/>
      <c r="R201" s="869"/>
      <c r="S201" s="869"/>
      <c r="T201" s="642"/>
      <c r="W201" s="627"/>
      <c r="X201" s="627"/>
      <c r="Y201" s="627"/>
      <c r="Z201" s="627"/>
      <c r="AG201" s="642"/>
    </row>
    <row r="202" spans="4:33">
      <c r="D202" s="869"/>
      <c r="E202" s="869"/>
      <c r="F202" s="869"/>
      <c r="G202" s="869"/>
      <c r="H202" s="869"/>
      <c r="I202" s="869"/>
      <c r="J202" s="869"/>
      <c r="K202" s="869"/>
      <c r="L202" s="869"/>
      <c r="M202" s="869"/>
      <c r="N202" s="869"/>
      <c r="O202" s="869"/>
      <c r="P202" s="869"/>
      <c r="Q202" s="869"/>
      <c r="R202" s="869"/>
      <c r="S202" s="869"/>
      <c r="T202" s="642"/>
      <c r="W202" s="627"/>
      <c r="X202" s="627"/>
      <c r="Y202" s="627"/>
      <c r="Z202" s="627"/>
      <c r="AG202" s="642"/>
    </row>
    <row r="203" spans="4:33">
      <c r="D203" s="869"/>
      <c r="E203" s="869"/>
      <c r="F203" s="869"/>
      <c r="G203" s="869"/>
      <c r="H203" s="869"/>
      <c r="I203" s="869"/>
      <c r="J203" s="869"/>
      <c r="K203" s="869"/>
      <c r="L203" s="869"/>
      <c r="M203" s="869"/>
      <c r="N203" s="869"/>
      <c r="O203" s="869"/>
      <c r="P203" s="869"/>
      <c r="Q203" s="869"/>
      <c r="R203" s="869"/>
      <c r="S203" s="869"/>
      <c r="T203" s="642"/>
      <c r="W203" s="627"/>
      <c r="X203" s="627"/>
      <c r="Y203" s="627"/>
      <c r="Z203" s="627"/>
      <c r="AG203" s="642"/>
    </row>
    <row r="204" spans="4:33">
      <c r="D204" s="869"/>
      <c r="E204" s="869"/>
      <c r="F204" s="869"/>
      <c r="G204" s="869"/>
      <c r="H204" s="869"/>
      <c r="I204" s="869"/>
      <c r="J204" s="869"/>
      <c r="K204" s="869"/>
      <c r="L204" s="869"/>
      <c r="M204" s="869"/>
      <c r="N204" s="869"/>
      <c r="O204" s="869"/>
      <c r="P204" s="869"/>
      <c r="Q204" s="869"/>
      <c r="R204" s="869"/>
      <c r="S204" s="869"/>
      <c r="T204" s="642"/>
      <c r="W204" s="627"/>
      <c r="X204" s="627"/>
      <c r="Y204" s="627"/>
      <c r="Z204" s="627"/>
      <c r="AG204" s="642"/>
    </row>
    <row r="205" spans="4:33">
      <c r="D205" s="869"/>
      <c r="E205" s="869"/>
      <c r="F205" s="869"/>
      <c r="G205" s="869"/>
      <c r="H205" s="869"/>
      <c r="I205" s="869"/>
      <c r="J205" s="869"/>
      <c r="K205" s="869"/>
      <c r="L205" s="869"/>
      <c r="M205" s="869"/>
      <c r="N205" s="869"/>
      <c r="O205" s="869"/>
      <c r="P205" s="869"/>
      <c r="Q205" s="869"/>
      <c r="R205" s="869"/>
      <c r="S205" s="869"/>
      <c r="T205" s="642"/>
      <c r="W205" s="627"/>
      <c r="X205" s="627"/>
      <c r="Y205" s="627"/>
      <c r="Z205" s="627"/>
      <c r="AG205" s="642"/>
    </row>
    <row r="206" spans="4:33">
      <c r="D206" s="869"/>
      <c r="E206" s="869"/>
      <c r="F206" s="869"/>
      <c r="G206" s="869"/>
      <c r="H206" s="869"/>
      <c r="I206" s="869"/>
      <c r="J206" s="869"/>
      <c r="K206" s="869"/>
      <c r="L206" s="869"/>
      <c r="M206" s="869"/>
      <c r="N206" s="869"/>
      <c r="O206" s="869"/>
      <c r="P206" s="869"/>
      <c r="Q206" s="869"/>
      <c r="R206" s="869"/>
      <c r="S206" s="869"/>
      <c r="T206" s="642"/>
      <c r="W206" s="627"/>
      <c r="X206" s="627"/>
      <c r="Y206" s="627"/>
      <c r="Z206" s="627"/>
      <c r="AG206" s="642"/>
    </row>
    <row r="207" spans="4:33">
      <c r="D207" s="869"/>
      <c r="E207" s="869"/>
      <c r="F207" s="869"/>
      <c r="G207" s="869"/>
      <c r="H207" s="869"/>
      <c r="I207" s="869"/>
      <c r="J207" s="869"/>
      <c r="K207" s="869"/>
      <c r="L207" s="869"/>
      <c r="M207" s="869"/>
      <c r="N207" s="869"/>
      <c r="O207" s="869"/>
      <c r="P207" s="869"/>
      <c r="Q207" s="869"/>
      <c r="R207" s="869"/>
      <c r="S207" s="869"/>
      <c r="T207" s="642"/>
      <c r="W207" s="627"/>
      <c r="X207" s="627"/>
      <c r="Y207" s="627"/>
      <c r="Z207" s="627"/>
      <c r="AG207" s="642"/>
    </row>
    <row r="208" spans="4:33">
      <c r="D208" s="869"/>
      <c r="E208" s="869"/>
      <c r="F208" s="869"/>
      <c r="G208" s="869"/>
      <c r="H208" s="869"/>
      <c r="I208" s="869"/>
      <c r="J208" s="869"/>
      <c r="K208" s="869"/>
      <c r="L208" s="869"/>
      <c r="M208" s="869"/>
      <c r="N208" s="869"/>
      <c r="O208" s="869"/>
      <c r="P208" s="869"/>
      <c r="Q208" s="869"/>
      <c r="R208" s="869"/>
      <c r="S208" s="869"/>
      <c r="T208" s="642"/>
      <c r="W208" s="627"/>
      <c r="X208" s="627"/>
      <c r="Y208" s="627"/>
      <c r="Z208" s="627"/>
      <c r="AG208" s="642"/>
    </row>
    <row r="209" spans="4:33">
      <c r="D209" s="869"/>
      <c r="E209" s="869"/>
      <c r="F209" s="869"/>
      <c r="G209" s="869"/>
      <c r="H209" s="869"/>
      <c r="I209" s="869"/>
      <c r="J209" s="869"/>
      <c r="K209" s="869"/>
      <c r="L209" s="869"/>
      <c r="M209" s="869"/>
      <c r="N209" s="869"/>
      <c r="O209" s="869"/>
      <c r="P209" s="869"/>
      <c r="Q209" s="869"/>
      <c r="R209" s="869"/>
      <c r="S209" s="869"/>
      <c r="T209" s="642"/>
      <c r="W209" s="627"/>
      <c r="X209" s="627"/>
      <c r="Y209" s="627"/>
      <c r="Z209" s="627"/>
      <c r="AG209" s="642"/>
    </row>
    <row r="210" spans="4:33">
      <c r="D210" s="869"/>
      <c r="E210" s="869"/>
      <c r="F210" s="869"/>
      <c r="G210" s="869"/>
      <c r="H210" s="869"/>
      <c r="I210" s="869"/>
      <c r="J210" s="869"/>
      <c r="K210" s="869"/>
      <c r="L210" s="869"/>
      <c r="M210" s="869"/>
      <c r="N210" s="869"/>
      <c r="O210" s="869"/>
      <c r="P210" s="869"/>
      <c r="Q210" s="869"/>
      <c r="R210" s="869"/>
      <c r="S210" s="869"/>
      <c r="T210" s="642"/>
      <c r="W210" s="627"/>
      <c r="X210" s="627"/>
      <c r="Y210" s="627"/>
      <c r="Z210" s="627"/>
      <c r="AG210" s="642"/>
    </row>
    <row r="211" spans="4:33">
      <c r="D211" s="869"/>
      <c r="E211" s="869"/>
      <c r="F211" s="869"/>
      <c r="G211" s="869"/>
      <c r="H211" s="869"/>
      <c r="I211" s="869"/>
      <c r="J211" s="869"/>
      <c r="K211" s="869"/>
      <c r="L211" s="869"/>
      <c r="M211" s="869"/>
      <c r="N211" s="869"/>
      <c r="O211" s="869"/>
      <c r="P211" s="869"/>
      <c r="Q211" s="869"/>
      <c r="R211" s="869"/>
      <c r="S211" s="869"/>
      <c r="T211" s="642"/>
      <c r="W211" s="627"/>
      <c r="X211" s="627"/>
      <c r="Y211" s="627"/>
      <c r="Z211" s="627"/>
      <c r="AG211" s="642"/>
    </row>
    <row r="212" spans="4:33">
      <c r="D212" s="869"/>
      <c r="E212" s="869"/>
      <c r="F212" s="869"/>
      <c r="G212" s="869"/>
      <c r="H212" s="869"/>
      <c r="I212" s="869"/>
      <c r="J212" s="869"/>
      <c r="K212" s="869"/>
      <c r="L212" s="869"/>
      <c r="M212" s="869"/>
      <c r="N212" s="869"/>
      <c r="O212" s="869"/>
      <c r="P212" s="869"/>
      <c r="Q212" s="869"/>
      <c r="R212" s="869"/>
      <c r="S212" s="869"/>
      <c r="T212" s="642"/>
      <c r="W212" s="627"/>
      <c r="X212" s="627"/>
      <c r="Y212" s="627"/>
      <c r="Z212" s="627"/>
      <c r="AG212" s="642"/>
    </row>
    <row r="213" spans="4:33">
      <c r="D213" s="869"/>
      <c r="E213" s="869"/>
      <c r="F213" s="869"/>
      <c r="G213" s="869"/>
      <c r="H213" s="869"/>
      <c r="I213" s="869"/>
      <c r="J213" s="869"/>
      <c r="K213" s="869"/>
      <c r="L213" s="869"/>
      <c r="M213" s="869"/>
      <c r="N213" s="869"/>
      <c r="O213" s="869"/>
      <c r="P213" s="869"/>
      <c r="Q213" s="869"/>
      <c r="R213" s="869"/>
      <c r="S213" s="869"/>
      <c r="T213" s="642"/>
      <c r="W213" s="627"/>
      <c r="X213" s="627"/>
      <c r="Y213" s="627"/>
      <c r="Z213" s="627"/>
      <c r="AG213" s="642"/>
    </row>
    <row r="214" spans="4:33">
      <c r="D214" s="869"/>
      <c r="E214" s="869"/>
      <c r="F214" s="869"/>
      <c r="G214" s="869"/>
      <c r="H214" s="869"/>
      <c r="I214" s="869"/>
      <c r="J214" s="869"/>
      <c r="K214" s="869"/>
      <c r="L214" s="869"/>
      <c r="M214" s="869"/>
      <c r="N214" s="869"/>
      <c r="O214" s="869"/>
      <c r="P214" s="869"/>
      <c r="Q214" s="869"/>
      <c r="R214" s="869"/>
      <c r="S214" s="869"/>
      <c r="T214" s="642"/>
      <c r="W214" s="627"/>
      <c r="X214" s="627"/>
      <c r="Y214" s="627"/>
      <c r="Z214" s="627"/>
      <c r="AG214" s="642"/>
    </row>
    <row r="215" spans="4:33">
      <c r="D215" s="869"/>
      <c r="E215" s="869"/>
      <c r="F215" s="869"/>
      <c r="G215" s="869"/>
      <c r="H215" s="869"/>
      <c r="I215" s="869"/>
      <c r="J215" s="869"/>
      <c r="K215" s="869"/>
      <c r="L215" s="869"/>
      <c r="M215" s="869"/>
      <c r="N215" s="869"/>
      <c r="O215" s="869"/>
      <c r="P215" s="869"/>
      <c r="Q215" s="869"/>
      <c r="R215" s="869"/>
      <c r="S215" s="869"/>
      <c r="T215" s="642"/>
      <c r="W215" s="627"/>
      <c r="X215" s="627"/>
      <c r="Y215" s="627"/>
      <c r="Z215" s="627"/>
      <c r="AG215" s="642"/>
    </row>
    <row r="216" spans="4:33">
      <c r="D216" s="869"/>
      <c r="E216" s="869"/>
      <c r="F216" s="869"/>
      <c r="G216" s="869"/>
      <c r="H216" s="869"/>
      <c r="I216" s="869"/>
      <c r="J216" s="869"/>
      <c r="K216" s="869"/>
      <c r="L216" s="869"/>
      <c r="M216" s="869"/>
      <c r="N216" s="869"/>
      <c r="O216" s="869"/>
      <c r="P216" s="869"/>
      <c r="Q216" s="869"/>
      <c r="R216" s="869"/>
      <c r="S216" s="869"/>
      <c r="T216" s="642"/>
      <c r="W216" s="627"/>
      <c r="X216" s="627"/>
      <c r="Y216" s="627"/>
      <c r="Z216" s="627"/>
      <c r="AG216" s="642"/>
    </row>
    <row r="217" spans="4:33">
      <c r="D217" s="869"/>
      <c r="E217" s="869"/>
      <c r="F217" s="869"/>
      <c r="G217" s="869"/>
      <c r="H217" s="869"/>
      <c r="I217" s="869"/>
      <c r="J217" s="869"/>
      <c r="K217" s="869"/>
      <c r="L217" s="869"/>
      <c r="M217" s="869"/>
      <c r="N217" s="869"/>
      <c r="O217" s="869"/>
      <c r="P217" s="869"/>
      <c r="Q217" s="869"/>
      <c r="R217" s="869"/>
      <c r="S217" s="869"/>
      <c r="T217" s="642"/>
      <c r="W217" s="627"/>
      <c r="X217" s="627"/>
      <c r="Y217" s="627"/>
      <c r="Z217" s="627"/>
      <c r="AG217" s="642"/>
    </row>
    <row r="218" spans="4:33">
      <c r="D218" s="869"/>
      <c r="E218" s="869"/>
      <c r="F218" s="869"/>
      <c r="G218" s="869"/>
      <c r="H218" s="869"/>
      <c r="I218" s="869"/>
      <c r="J218" s="869"/>
      <c r="K218" s="869"/>
      <c r="L218" s="869"/>
      <c r="M218" s="869"/>
      <c r="N218" s="869"/>
      <c r="O218" s="869"/>
      <c r="P218" s="869"/>
      <c r="Q218" s="869"/>
      <c r="R218" s="869"/>
      <c r="S218" s="869"/>
      <c r="T218" s="642"/>
      <c r="W218" s="627"/>
      <c r="X218" s="627"/>
      <c r="Y218" s="627"/>
      <c r="Z218" s="627"/>
      <c r="AG218" s="642"/>
    </row>
    <row r="219" spans="4:33">
      <c r="D219" s="869"/>
      <c r="E219" s="869"/>
      <c r="F219" s="869"/>
      <c r="G219" s="869"/>
      <c r="H219" s="869"/>
      <c r="I219" s="869"/>
      <c r="J219" s="869"/>
      <c r="K219" s="869"/>
      <c r="L219" s="869"/>
      <c r="M219" s="869"/>
      <c r="N219" s="869"/>
      <c r="O219" s="869"/>
      <c r="P219" s="869"/>
      <c r="Q219" s="869"/>
      <c r="R219" s="869"/>
      <c r="S219" s="869"/>
      <c r="T219" s="642"/>
      <c r="W219" s="627"/>
      <c r="X219" s="627"/>
      <c r="Y219" s="627"/>
      <c r="Z219" s="627"/>
      <c r="AG219" s="642"/>
    </row>
    <row r="220" spans="4:33">
      <c r="D220" s="869"/>
      <c r="E220" s="869"/>
      <c r="F220" s="869"/>
      <c r="G220" s="869"/>
      <c r="H220" s="869"/>
      <c r="I220" s="869"/>
      <c r="J220" s="869"/>
      <c r="K220" s="869"/>
      <c r="L220" s="869"/>
      <c r="M220" s="869"/>
      <c r="N220" s="869"/>
      <c r="O220" s="869"/>
      <c r="P220" s="869"/>
      <c r="Q220" s="869"/>
      <c r="R220" s="869"/>
      <c r="S220" s="869"/>
      <c r="T220" s="642"/>
      <c r="W220" s="627"/>
      <c r="X220" s="627"/>
      <c r="Y220" s="627"/>
      <c r="Z220" s="627"/>
      <c r="AG220" s="642"/>
    </row>
    <row r="221" spans="4:33">
      <c r="D221" s="869"/>
      <c r="E221" s="869"/>
      <c r="F221" s="869"/>
      <c r="G221" s="869"/>
      <c r="H221" s="869"/>
      <c r="I221" s="869"/>
      <c r="J221" s="869"/>
      <c r="K221" s="869"/>
      <c r="L221" s="869"/>
      <c r="M221" s="869"/>
      <c r="N221" s="869"/>
      <c r="O221" s="869"/>
      <c r="P221" s="869"/>
      <c r="Q221" s="869"/>
      <c r="R221" s="869"/>
      <c r="S221" s="869"/>
      <c r="T221" s="642"/>
      <c r="W221" s="627"/>
      <c r="X221" s="627"/>
      <c r="Y221" s="627"/>
      <c r="Z221" s="627"/>
      <c r="AG221" s="642"/>
    </row>
    <row r="222" spans="4:33">
      <c r="D222" s="869"/>
      <c r="E222" s="869"/>
      <c r="F222" s="869"/>
      <c r="G222" s="869"/>
      <c r="H222" s="869"/>
      <c r="I222" s="869"/>
      <c r="J222" s="869"/>
      <c r="K222" s="869"/>
      <c r="L222" s="869"/>
      <c r="M222" s="869"/>
      <c r="N222" s="869"/>
      <c r="O222" s="869"/>
      <c r="P222" s="869"/>
      <c r="Q222" s="869"/>
      <c r="R222" s="869"/>
      <c r="S222" s="869"/>
      <c r="T222" s="642"/>
      <c r="W222" s="627"/>
      <c r="X222" s="627"/>
      <c r="Y222" s="627"/>
      <c r="Z222" s="627"/>
      <c r="AG222" s="642"/>
    </row>
    <row r="223" spans="4:33">
      <c r="D223" s="869"/>
      <c r="E223" s="869"/>
      <c r="F223" s="869"/>
      <c r="G223" s="869"/>
      <c r="H223" s="869"/>
      <c r="I223" s="869"/>
      <c r="J223" s="869"/>
      <c r="K223" s="869"/>
      <c r="L223" s="869"/>
      <c r="M223" s="869"/>
      <c r="N223" s="869"/>
      <c r="O223" s="869"/>
      <c r="P223" s="869"/>
      <c r="Q223" s="869"/>
      <c r="R223" s="869"/>
      <c r="S223" s="869"/>
      <c r="T223" s="642"/>
      <c r="W223" s="627"/>
      <c r="X223" s="627"/>
      <c r="Y223" s="627"/>
      <c r="Z223" s="627"/>
      <c r="AG223" s="642"/>
    </row>
    <row r="224" spans="4:33">
      <c r="D224" s="869"/>
      <c r="E224" s="869"/>
      <c r="F224" s="869"/>
      <c r="G224" s="869"/>
      <c r="H224" s="869"/>
      <c r="I224" s="869"/>
      <c r="J224" s="869"/>
      <c r="K224" s="869"/>
      <c r="L224" s="869"/>
      <c r="M224" s="869"/>
      <c r="N224" s="869"/>
      <c r="O224" s="869"/>
      <c r="P224" s="869"/>
      <c r="Q224" s="869"/>
      <c r="R224" s="869"/>
      <c r="S224" s="869"/>
      <c r="T224" s="642"/>
      <c r="W224" s="627"/>
      <c r="X224" s="627"/>
      <c r="Y224" s="627"/>
      <c r="Z224" s="627"/>
      <c r="AG224" s="642"/>
    </row>
    <row r="225" spans="4:33">
      <c r="D225" s="869"/>
      <c r="E225" s="869"/>
      <c r="F225" s="869"/>
      <c r="G225" s="869"/>
      <c r="H225" s="869"/>
      <c r="I225" s="869"/>
      <c r="J225" s="869"/>
      <c r="K225" s="869"/>
      <c r="L225" s="869"/>
      <c r="M225" s="869"/>
      <c r="N225" s="869"/>
      <c r="O225" s="869"/>
      <c r="P225" s="869"/>
      <c r="Q225" s="869"/>
      <c r="R225" s="869"/>
      <c r="S225" s="869"/>
      <c r="T225" s="642"/>
      <c r="W225" s="627"/>
      <c r="X225" s="627"/>
      <c r="Y225" s="627"/>
      <c r="Z225" s="627"/>
      <c r="AG225" s="642"/>
    </row>
    <row r="226" spans="4:33">
      <c r="D226" s="869"/>
      <c r="E226" s="869"/>
      <c r="F226" s="869"/>
      <c r="G226" s="869"/>
      <c r="H226" s="869"/>
      <c r="I226" s="869"/>
      <c r="J226" s="869"/>
      <c r="K226" s="869"/>
      <c r="L226" s="869"/>
      <c r="M226" s="869"/>
      <c r="N226" s="869"/>
      <c r="O226" s="869"/>
      <c r="P226" s="869"/>
      <c r="Q226" s="869"/>
      <c r="R226" s="869"/>
      <c r="S226" s="869"/>
      <c r="T226" s="642"/>
      <c r="W226" s="627"/>
      <c r="X226" s="627"/>
      <c r="Y226" s="627"/>
      <c r="Z226" s="627"/>
      <c r="AG226" s="642"/>
    </row>
    <row r="227" spans="4:33">
      <c r="D227" s="869"/>
      <c r="E227" s="869"/>
      <c r="F227" s="869"/>
      <c r="G227" s="869"/>
      <c r="H227" s="869"/>
      <c r="I227" s="869"/>
      <c r="J227" s="869"/>
      <c r="K227" s="869"/>
      <c r="L227" s="869"/>
      <c r="M227" s="869"/>
      <c r="N227" s="869"/>
      <c r="O227" s="869"/>
      <c r="P227" s="869"/>
      <c r="Q227" s="869"/>
      <c r="R227" s="869"/>
      <c r="S227" s="869"/>
      <c r="T227" s="642"/>
      <c r="W227" s="627"/>
      <c r="X227" s="627"/>
      <c r="Y227" s="627"/>
      <c r="Z227" s="627"/>
      <c r="AG227" s="642"/>
    </row>
    <row r="228" spans="4:33">
      <c r="D228" s="869"/>
      <c r="E228" s="869"/>
      <c r="F228" s="869"/>
      <c r="G228" s="869"/>
      <c r="H228" s="869"/>
      <c r="I228" s="869"/>
      <c r="J228" s="869"/>
      <c r="K228" s="869"/>
      <c r="L228" s="869"/>
      <c r="M228" s="869"/>
      <c r="N228" s="869"/>
      <c r="O228" s="869"/>
      <c r="P228" s="869"/>
      <c r="Q228" s="869"/>
      <c r="R228" s="869"/>
      <c r="S228" s="869"/>
      <c r="T228" s="642"/>
      <c r="W228" s="627"/>
      <c r="X228" s="627"/>
      <c r="Y228" s="627"/>
      <c r="Z228" s="627"/>
      <c r="AG228" s="642"/>
    </row>
    <row r="229" spans="4:33">
      <c r="D229" s="869"/>
      <c r="E229" s="869"/>
      <c r="F229" s="869"/>
      <c r="G229" s="869"/>
      <c r="H229" s="869"/>
      <c r="I229" s="869"/>
      <c r="J229" s="869"/>
      <c r="K229" s="869"/>
      <c r="L229" s="869"/>
      <c r="M229" s="869"/>
      <c r="N229" s="869"/>
      <c r="O229" s="869"/>
      <c r="P229" s="869"/>
      <c r="Q229" s="869"/>
      <c r="R229" s="869"/>
      <c r="S229" s="869"/>
      <c r="T229" s="642"/>
      <c r="W229" s="627"/>
      <c r="X229" s="627"/>
      <c r="Y229" s="627"/>
      <c r="Z229" s="627"/>
      <c r="AG229" s="642"/>
    </row>
    <row r="230" spans="4:33">
      <c r="D230" s="869"/>
      <c r="E230" s="869"/>
      <c r="F230" s="869"/>
      <c r="G230" s="869"/>
      <c r="H230" s="869"/>
      <c r="I230" s="869"/>
      <c r="J230" s="869"/>
      <c r="K230" s="869"/>
      <c r="L230" s="869"/>
      <c r="M230" s="869"/>
      <c r="N230" s="869"/>
      <c r="O230" s="869"/>
      <c r="P230" s="869"/>
      <c r="Q230" s="869"/>
      <c r="R230" s="869"/>
      <c r="S230" s="869"/>
      <c r="T230" s="642"/>
      <c r="W230" s="627"/>
      <c r="X230" s="627"/>
      <c r="Y230" s="627"/>
      <c r="Z230" s="627"/>
      <c r="AG230" s="642"/>
    </row>
    <row r="231" spans="4:33">
      <c r="D231" s="869"/>
      <c r="E231" s="869"/>
      <c r="F231" s="869"/>
      <c r="G231" s="869"/>
      <c r="H231" s="869"/>
      <c r="I231" s="869"/>
      <c r="J231" s="869"/>
      <c r="K231" s="869"/>
      <c r="L231" s="869"/>
      <c r="M231" s="869"/>
      <c r="N231" s="869"/>
      <c r="O231" s="869"/>
      <c r="P231" s="869"/>
      <c r="Q231" s="869"/>
      <c r="R231" s="869"/>
      <c r="S231" s="869"/>
      <c r="T231" s="642"/>
      <c r="W231" s="627"/>
      <c r="X231" s="627"/>
      <c r="Y231" s="627"/>
      <c r="Z231" s="627"/>
      <c r="AG231" s="642"/>
    </row>
    <row r="232" spans="4:33">
      <c r="D232" s="869"/>
      <c r="E232" s="869"/>
      <c r="F232" s="869"/>
      <c r="G232" s="869"/>
      <c r="H232" s="869"/>
      <c r="I232" s="869"/>
      <c r="J232" s="869"/>
      <c r="K232" s="869"/>
      <c r="L232" s="869"/>
      <c r="M232" s="869"/>
      <c r="N232" s="869"/>
      <c r="O232" s="869"/>
      <c r="P232" s="869"/>
      <c r="Q232" s="869"/>
      <c r="R232" s="869"/>
      <c r="S232" s="869"/>
      <c r="T232" s="642"/>
      <c r="W232" s="627"/>
      <c r="X232" s="627"/>
      <c r="Y232" s="627"/>
      <c r="Z232" s="627"/>
      <c r="AG232" s="642"/>
    </row>
    <row r="233" spans="4:33">
      <c r="D233" s="869"/>
      <c r="E233" s="869"/>
      <c r="F233" s="869"/>
      <c r="G233" s="869"/>
      <c r="H233" s="869"/>
      <c r="I233" s="869"/>
      <c r="J233" s="869"/>
      <c r="K233" s="869"/>
      <c r="L233" s="869"/>
      <c r="M233" s="869"/>
      <c r="N233" s="869"/>
      <c r="O233" s="869"/>
      <c r="P233" s="869"/>
      <c r="Q233" s="869"/>
      <c r="R233" s="869"/>
      <c r="S233" s="869"/>
      <c r="T233" s="642"/>
      <c r="W233" s="627"/>
      <c r="X233" s="627"/>
      <c r="Y233" s="627"/>
      <c r="Z233" s="627"/>
      <c r="AG233" s="642"/>
    </row>
    <row r="234" spans="4:33">
      <c r="D234" s="869"/>
      <c r="E234" s="869"/>
      <c r="F234" s="869"/>
      <c r="G234" s="869"/>
      <c r="H234" s="869"/>
      <c r="I234" s="869"/>
      <c r="J234" s="869"/>
      <c r="K234" s="869"/>
      <c r="L234" s="869"/>
      <c r="M234" s="869"/>
      <c r="N234" s="869"/>
      <c r="O234" s="869"/>
      <c r="P234" s="869"/>
      <c r="Q234" s="869"/>
      <c r="R234" s="869"/>
      <c r="S234" s="869"/>
      <c r="T234" s="642"/>
      <c r="W234" s="627"/>
      <c r="X234" s="627"/>
      <c r="Y234" s="627"/>
      <c r="Z234" s="627"/>
      <c r="AG234" s="642"/>
    </row>
    <row r="235" spans="4:33">
      <c r="D235" s="869"/>
      <c r="E235" s="869"/>
      <c r="F235" s="869"/>
      <c r="G235" s="869"/>
      <c r="H235" s="869"/>
      <c r="I235" s="869"/>
      <c r="J235" s="869"/>
      <c r="K235" s="869"/>
      <c r="L235" s="869"/>
      <c r="M235" s="869"/>
      <c r="N235" s="869"/>
      <c r="O235" s="869"/>
      <c r="P235" s="869"/>
      <c r="Q235" s="869"/>
      <c r="R235" s="869"/>
      <c r="S235" s="869"/>
      <c r="T235" s="642"/>
      <c r="W235" s="627"/>
      <c r="X235" s="627"/>
      <c r="Y235" s="627"/>
      <c r="Z235" s="627"/>
      <c r="AG235" s="642"/>
    </row>
    <row r="236" spans="4:33">
      <c r="D236" s="869"/>
      <c r="E236" s="869"/>
      <c r="F236" s="869"/>
      <c r="G236" s="869"/>
      <c r="H236" s="869"/>
      <c r="I236" s="869"/>
      <c r="J236" s="869"/>
      <c r="K236" s="869"/>
      <c r="L236" s="869"/>
      <c r="M236" s="869"/>
      <c r="N236" s="869"/>
      <c r="O236" s="869"/>
      <c r="P236" s="869"/>
      <c r="Q236" s="869"/>
      <c r="R236" s="869"/>
      <c r="S236" s="869"/>
      <c r="T236" s="642"/>
      <c r="W236" s="627"/>
      <c r="X236" s="627"/>
      <c r="Y236" s="627"/>
      <c r="Z236" s="627"/>
      <c r="AG236" s="642"/>
    </row>
    <row r="237" spans="4:33">
      <c r="D237" s="869"/>
      <c r="E237" s="869"/>
      <c r="F237" s="869"/>
      <c r="G237" s="869"/>
      <c r="H237" s="869"/>
      <c r="I237" s="869"/>
      <c r="J237" s="869"/>
      <c r="K237" s="869"/>
      <c r="L237" s="869"/>
      <c r="M237" s="869"/>
      <c r="N237" s="869"/>
      <c r="O237" s="869"/>
      <c r="P237" s="869"/>
      <c r="Q237" s="869"/>
      <c r="R237" s="869"/>
      <c r="S237" s="869"/>
      <c r="T237" s="642"/>
      <c r="W237" s="627"/>
      <c r="X237" s="627"/>
      <c r="Y237" s="627"/>
      <c r="Z237" s="627"/>
      <c r="AG237" s="642"/>
    </row>
    <row r="238" spans="4:33">
      <c r="D238" s="869"/>
      <c r="E238" s="869"/>
      <c r="F238" s="869"/>
      <c r="G238" s="869"/>
      <c r="H238" s="869"/>
      <c r="I238" s="869"/>
      <c r="J238" s="869"/>
      <c r="K238" s="869"/>
      <c r="L238" s="869"/>
      <c r="M238" s="869"/>
      <c r="N238" s="869"/>
      <c r="O238" s="869"/>
      <c r="P238" s="869"/>
      <c r="Q238" s="869"/>
      <c r="R238" s="869"/>
      <c r="S238" s="869"/>
      <c r="T238" s="642"/>
      <c r="W238" s="627"/>
      <c r="X238" s="627"/>
      <c r="Y238" s="627"/>
      <c r="Z238" s="627"/>
      <c r="AG238" s="642"/>
    </row>
    <row r="239" spans="4:33">
      <c r="D239" s="869"/>
      <c r="E239" s="869"/>
      <c r="F239" s="869"/>
      <c r="G239" s="869"/>
      <c r="H239" s="869"/>
      <c r="I239" s="869"/>
      <c r="J239" s="869"/>
      <c r="K239" s="869"/>
      <c r="L239" s="869"/>
      <c r="M239" s="869"/>
      <c r="N239" s="869"/>
      <c r="O239" s="869"/>
      <c r="P239" s="869"/>
      <c r="Q239" s="869"/>
      <c r="R239" s="869"/>
      <c r="S239" s="869"/>
      <c r="T239" s="642"/>
      <c r="W239" s="627"/>
      <c r="X239" s="627"/>
      <c r="Y239" s="627"/>
      <c r="Z239" s="627"/>
      <c r="AG239" s="642"/>
    </row>
    <row r="240" spans="4:33">
      <c r="D240" s="869"/>
      <c r="E240" s="869"/>
      <c r="F240" s="869"/>
      <c r="G240" s="869"/>
      <c r="H240" s="869"/>
      <c r="I240" s="869"/>
      <c r="J240" s="869"/>
      <c r="K240" s="869"/>
      <c r="L240" s="869"/>
      <c r="M240" s="869"/>
      <c r="N240" s="869"/>
      <c r="O240" s="869"/>
      <c r="P240" s="869"/>
      <c r="Q240" s="869"/>
      <c r="R240" s="869"/>
      <c r="S240" s="869"/>
      <c r="T240" s="642"/>
      <c r="W240" s="627"/>
      <c r="X240" s="627"/>
      <c r="Y240" s="627"/>
      <c r="Z240" s="627"/>
      <c r="AG240" s="642"/>
    </row>
    <row r="241" spans="4:33">
      <c r="D241" s="869"/>
      <c r="E241" s="869"/>
      <c r="F241" s="869"/>
      <c r="G241" s="869"/>
      <c r="H241" s="869"/>
      <c r="I241" s="869"/>
      <c r="J241" s="869"/>
      <c r="K241" s="869"/>
      <c r="L241" s="869"/>
      <c r="M241" s="869"/>
      <c r="N241" s="869"/>
      <c r="O241" s="869"/>
      <c r="P241" s="869"/>
      <c r="Q241" s="869"/>
      <c r="R241" s="869"/>
      <c r="S241" s="869"/>
      <c r="T241" s="642"/>
      <c r="W241" s="627"/>
      <c r="X241" s="627"/>
      <c r="Y241" s="627"/>
      <c r="Z241" s="627"/>
      <c r="AG241" s="642"/>
    </row>
    <row r="242" spans="4:33">
      <c r="D242" s="869"/>
      <c r="E242" s="869"/>
      <c r="F242" s="869"/>
      <c r="G242" s="869"/>
      <c r="H242" s="869"/>
      <c r="I242" s="869"/>
      <c r="J242" s="869"/>
      <c r="K242" s="869"/>
      <c r="L242" s="869"/>
      <c r="M242" s="869"/>
      <c r="N242" s="869"/>
      <c r="O242" s="869"/>
      <c r="P242" s="869"/>
      <c r="Q242" s="869"/>
      <c r="R242" s="869"/>
      <c r="S242" s="869"/>
      <c r="T242" s="642"/>
      <c r="W242" s="627"/>
      <c r="X242" s="627"/>
      <c r="Y242" s="627"/>
      <c r="Z242" s="627"/>
      <c r="AG242" s="642"/>
    </row>
    <row r="243" spans="4:33">
      <c r="D243" s="869"/>
      <c r="E243" s="869"/>
      <c r="F243" s="869"/>
      <c r="G243" s="869"/>
      <c r="H243" s="869"/>
      <c r="I243" s="869"/>
      <c r="J243" s="869"/>
      <c r="K243" s="869"/>
      <c r="L243" s="869"/>
      <c r="M243" s="869"/>
      <c r="N243" s="869"/>
      <c r="O243" s="869"/>
      <c r="P243" s="869"/>
      <c r="Q243" s="869"/>
      <c r="R243" s="869"/>
      <c r="S243" s="869"/>
      <c r="T243" s="642"/>
      <c r="W243" s="627"/>
      <c r="X243" s="627"/>
      <c r="Y243" s="627"/>
      <c r="Z243" s="627"/>
      <c r="AG243" s="642"/>
    </row>
    <row r="244" spans="4:33">
      <c r="D244" s="869"/>
      <c r="E244" s="869"/>
      <c r="F244" s="869"/>
      <c r="G244" s="869"/>
      <c r="H244" s="869"/>
      <c r="I244" s="869"/>
      <c r="J244" s="869"/>
      <c r="K244" s="869"/>
      <c r="L244" s="869"/>
      <c r="M244" s="869"/>
      <c r="N244" s="869"/>
      <c r="O244" s="869"/>
      <c r="P244" s="869"/>
      <c r="Q244" s="869"/>
      <c r="R244" s="869"/>
      <c r="S244" s="869"/>
      <c r="T244" s="642"/>
      <c r="W244" s="627"/>
      <c r="X244" s="627"/>
      <c r="Y244" s="627"/>
      <c r="Z244" s="627"/>
      <c r="AG244" s="642"/>
    </row>
    <row r="245" spans="4:33">
      <c r="D245" s="869"/>
      <c r="E245" s="869"/>
      <c r="F245" s="869"/>
      <c r="G245" s="869"/>
      <c r="H245" s="869"/>
      <c r="I245" s="869"/>
      <c r="J245" s="869"/>
      <c r="K245" s="869"/>
      <c r="L245" s="869"/>
      <c r="M245" s="869"/>
      <c r="N245" s="869"/>
      <c r="O245" s="869"/>
      <c r="P245" s="869"/>
      <c r="Q245" s="869"/>
      <c r="R245" s="869"/>
      <c r="S245" s="869"/>
      <c r="T245" s="642"/>
      <c r="W245" s="627"/>
      <c r="X245" s="627"/>
      <c r="Y245" s="627"/>
      <c r="Z245" s="627"/>
      <c r="AG245" s="642"/>
    </row>
    <row r="246" spans="4:33">
      <c r="D246" s="869"/>
      <c r="E246" s="869"/>
      <c r="F246" s="869"/>
      <c r="G246" s="869"/>
      <c r="H246" s="869"/>
      <c r="I246" s="869"/>
      <c r="J246" s="869"/>
      <c r="K246" s="869"/>
      <c r="L246" s="869"/>
      <c r="M246" s="869"/>
      <c r="N246" s="869"/>
      <c r="O246" s="869"/>
      <c r="P246" s="869"/>
      <c r="Q246" s="869"/>
      <c r="R246" s="869"/>
      <c r="S246" s="869"/>
      <c r="T246" s="642"/>
      <c r="W246" s="627"/>
      <c r="X246" s="627"/>
      <c r="Y246" s="627"/>
      <c r="Z246" s="627"/>
      <c r="AG246" s="642"/>
    </row>
    <row r="247" spans="4:33">
      <c r="D247" s="869"/>
      <c r="E247" s="869"/>
      <c r="F247" s="869"/>
      <c r="G247" s="869"/>
      <c r="H247" s="869"/>
      <c r="I247" s="869"/>
      <c r="J247" s="869"/>
      <c r="K247" s="869"/>
      <c r="L247" s="869"/>
      <c r="M247" s="869"/>
      <c r="N247" s="869"/>
      <c r="O247" s="869"/>
      <c r="P247" s="869"/>
      <c r="Q247" s="869"/>
      <c r="R247" s="869"/>
      <c r="S247" s="869"/>
      <c r="T247" s="642"/>
      <c r="W247" s="627"/>
      <c r="X247" s="627"/>
      <c r="Y247" s="627"/>
      <c r="Z247" s="627"/>
      <c r="AG247" s="642"/>
    </row>
    <row r="248" spans="4:33">
      <c r="D248" s="869"/>
      <c r="E248" s="869"/>
      <c r="F248" s="869"/>
      <c r="G248" s="869"/>
      <c r="H248" s="869"/>
      <c r="I248" s="869"/>
      <c r="J248" s="869"/>
      <c r="K248" s="869"/>
      <c r="L248" s="869"/>
      <c r="M248" s="869"/>
      <c r="N248" s="869"/>
      <c r="O248" s="869"/>
      <c r="P248" s="869"/>
      <c r="Q248" s="869"/>
      <c r="R248" s="869"/>
      <c r="S248" s="869"/>
      <c r="T248" s="642"/>
      <c r="W248" s="627"/>
      <c r="X248" s="627"/>
      <c r="Y248" s="627"/>
      <c r="Z248" s="627"/>
      <c r="AG248" s="642"/>
    </row>
    <row r="249" spans="4:33">
      <c r="D249" s="869"/>
      <c r="E249" s="869"/>
      <c r="F249" s="869"/>
      <c r="G249" s="869"/>
      <c r="H249" s="869"/>
      <c r="I249" s="869"/>
      <c r="J249" s="869"/>
      <c r="K249" s="869"/>
      <c r="L249" s="869"/>
      <c r="M249" s="869"/>
      <c r="N249" s="869"/>
      <c r="O249" s="869"/>
      <c r="P249" s="869"/>
      <c r="Q249" s="869"/>
      <c r="R249" s="869"/>
      <c r="S249" s="869"/>
      <c r="T249" s="642"/>
      <c r="W249" s="627"/>
      <c r="X249" s="627"/>
      <c r="Y249" s="627"/>
      <c r="Z249" s="627"/>
      <c r="AG249" s="642"/>
    </row>
    <row r="250" spans="4:33">
      <c r="D250" s="869"/>
      <c r="E250" s="869"/>
      <c r="F250" s="869"/>
      <c r="G250" s="869"/>
      <c r="H250" s="869"/>
      <c r="I250" s="869"/>
      <c r="J250" s="869"/>
      <c r="K250" s="869"/>
      <c r="L250" s="869"/>
      <c r="M250" s="869"/>
      <c r="N250" s="869"/>
      <c r="O250" s="869"/>
      <c r="P250" s="869"/>
      <c r="Q250" s="869"/>
      <c r="R250" s="869"/>
      <c r="S250" s="869"/>
      <c r="T250" s="642"/>
      <c r="W250" s="627"/>
      <c r="X250" s="627"/>
      <c r="Y250" s="627"/>
      <c r="Z250" s="627"/>
      <c r="AG250" s="642"/>
    </row>
    <row r="251" spans="4:33">
      <c r="D251" s="869"/>
      <c r="E251" s="869"/>
      <c r="F251" s="869"/>
      <c r="G251" s="869"/>
      <c r="H251" s="869"/>
      <c r="I251" s="869"/>
      <c r="J251" s="869"/>
      <c r="K251" s="869"/>
      <c r="L251" s="869"/>
      <c r="M251" s="869"/>
      <c r="N251" s="869"/>
      <c r="O251" s="869"/>
      <c r="P251" s="869"/>
      <c r="Q251" s="869"/>
      <c r="R251" s="869"/>
      <c r="S251" s="869"/>
      <c r="T251" s="642"/>
      <c r="W251" s="627"/>
      <c r="X251" s="627"/>
      <c r="Y251" s="627"/>
      <c r="Z251" s="627"/>
      <c r="AG251" s="642"/>
    </row>
    <row r="252" spans="4:33">
      <c r="D252" s="869"/>
      <c r="E252" s="869"/>
      <c r="F252" s="869"/>
      <c r="G252" s="869"/>
      <c r="H252" s="869"/>
      <c r="I252" s="869"/>
      <c r="J252" s="869"/>
      <c r="K252" s="869"/>
      <c r="L252" s="869"/>
      <c r="M252" s="869"/>
      <c r="N252" s="869"/>
      <c r="O252" s="869"/>
      <c r="P252" s="869"/>
      <c r="Q252" s="869"/>
      <c r="R252" s="869"/>
      <c r="S252" s="869"/>
      <c r="T252" s="642"/>
      <c r="W252" s="627"/>
      <c r="X252" s="627"/>
      <c r="Y252" s="627"/>
      <c r="Z252" s="627"/>
      <c r="AG252" s="642"/>
    </row>
    <row r="253" spans="4:33">
      <c r="D253" s="869"/>
      <c r="E253" s="869"/>
      <c r="F253" s="869"/>
      <c r="G253" s="869"/>
      <c r="H253" s="869"/>
      <c r="I253" s="869"/>
      <c r="J253" s="869"/>
      <c r="K253" s="869"/>
      <c r="L253" s="869"/>
      <c r="M253" s="869"/>
      <c r="N253" s="869"/>
      <c r="O253" s="869"/>
      <c r="P253" s="869"/>
      <c r="Q253" s="869"/>
      <c r="R253" s="869"/>
      <c r="S253" s="869"/>
      <c r="T253" s="642"/>
      <c r="W253" s="627"/>
      <c r="X253" s="627"/>
      <c r="Y253" s="627"/>
      <c r="Z253" s="627"/>
      <c r="AG253" s="642"/>
    </row>
    <row r="254" spans="4:33">
      <c r="D254" s="869"/>
      <c r="E254" s="869"/>
      <c r="F254" s="869"/>
      <c r="G254" s="869"/>
      <c r="H254" s="869"/>
      <c r="I254" s="869"/>
      <c r="J254" s="869"/>
      <c r="K254" s="869"/>
      <c r="L254" s="869"/>
      <c r="M254" s="869"/>
      <c r="N254" s="869"/>
      <c r="O254" s="869"/>
      <c r="P254" s="869"/>
      <c r="Q254" s="869"/>
      <c r="R254" s="869"/>
      <c r="S254" s="869"/>
      <c r="T254" s="642"/>
      <c r="W254" s="627"/>
      <c r="X254" s="627"/>
      <c r="Y254" s="627"/>
      <c r="Z254" s="627"/>
      <c r="AG254" s="642"/>
    </row>
    <row r="255" spans="4:33">
      <c r="D255" s="869"/>
      <c r="E255" s="869"/>
      <c r="F255" s="869"/>
      <c r="G255" s="869"/>
      <c r="H255" s="869"/>
      <c r="I255" s="869"/>
      <c r="J255" s="869"/>
      <c r="K255" s="869"/>
      <c r="L255" s="869"/>
      <c r="M255" s="869"/>
      <c r="N255" s="869"/>
      <c r="O255" s="869"/>
      <c r="P255" s="869"/>
      <c r="Q255" s="869"/>
      <c r="R255" s="869"/>
      <c r="S255" s="869"/>
      <c r="T255" s="642"/>
      <c r="W255" s="627"/>
      <c r="X255" s="627"/>
      <c r="Y255" s="627"/>
      <c r="Z255" s="627"/>
      <c r="AG255" s="642"/>
    </row>
    <row r="256" spans="4:33">
      <c r="D256" s="869"/>
      <c r="E256" s="869"/>
      <c r="F256" s="869"/>
      <c r="G256" s="869"/>
      <c r="H256" s="869"/>
      <c r="I256" s="869"/>
      <c r="J256" s="869"/>
      <c r="K256" s="869"/>
      <c r="L256" s="869"/>
      <c r="M256" s="869"/>
      <c r="N256" s="869"/>
      <c r="O256" s="869"/>
      <c r="P256" s="869"/>
      <c r="Q256" s="869"/>
      <c r="R256" s="869"/>
      <c r="S256" s="869"/>
      <c r="T256" s="642"/>
      <c r="W256" s="627"/>
      <c r="X256" s="627"/>
      <c r="Y256" s="627"/>
      <c r="Z256" s="627"/>
      <c r="AG256" s="642"/>
    </row>
    <row r="257" spans="4:33">
      <c r="D257" s="869"/>
      <c r="E257" s="869"/>
      <c r="F257" s="869"/>
      <c r="G257" s="869"/>
      <c r="H257" s="869"/>
      <c r="I257" s="869"/>
      <c r="J257" s="869"/>
      <c r="K257" s="869"/>
      <c r="L257" s="869"/>
      <c r="M257" s="869"/>
      <c r="N257" s="869"/>
      <c r="O257" s="869"/>
      <c r="P257" s="869"/>
      <c r="Q257" s="869"/>
      <c r="R257" s="869"/>
      <c r="S257" s="869"/>
      <c r="T257" s="642"/>
      <c r="W257" s="627"/>
      <c r="X257" s="627"/>
      <c r="Y257" s="627"/>
      <c r="Z257" s="627"/>
      <c r="AG257" s="642"/>
    </row>
    <row r="258" spans="4:33">
      <c r="D258" s="869"/>
      <c r="E258" s="869"/>
      <c r="F258" s="869"/>
      <c r="G258" s="869"/>
      <c r="H258" s="869"/>
      <c r="I258" s="869"/>
      <c r="J258" s="869"/>
      <c r="K258" s="869"/>
      <c r="L258" s="869"/>
      <c r="M258" s="869"/>
      <c r="N258" s="869"/>
      <c r="O258" s="869"/>
      <c r="P258" s="869"/>
      <c r="Q258" s="869"/>
      <c r="R258" s="869"/>
      <c r="S258" s="869"/>
      <c r="T258" s="642"/>
      <c r="W258" s="627"/>
      <c r="X258" s="627"/>
      <c r="Y258" s="627"/>
      <c r="Z258" s="627"/>
      <c r="AG258" s="642"/>
    </row>
    <row r="259" spans="4:33">
      <c r="D259" s="869"/>
      <c r="E259" s="869"/>
      <c r="F259" s="869"/>
      <c r="G259" s="869"/>
      <c r="H259" s="869"/>
      <c r="I259" s="869"/>
      <c r="J259" s="869"/>
      <c r="K259" s="869"/>
      <c r="L259" s="869"/>
      <c r="M259" s="869"/>
      <c r="N259" s="869"/>
      <c r="O259" s="869"/>
      <c r="P259" s="869"/>
      <c r="Q259" s="869"/>
      <c r="R259" s="869"/>
      <c r="S259" s="869"/>
      <c r="T259" s="642"/>
      <c r="W259" s="627"/>
      <c r="X259" s="627"/>
      <c r="Y259" s="627"/>
      <c r="Z259" s="627"/>
      <c r="AG259" s="642"/>
    </row>
    <row r="260" spans="4:33">
      <c r="D260" s="869"/>
      <c r="E260" s="869"/>
      <c r="F260" s="869"/>
      <c r="G260" s="869"/>
      <c r="H260" s="869"/>
      <c r="I260" s="869"/>
      <c r="J260" s="869"/>
      <c r="K260" s="869"/>
      <c r="L260" s="869"/>
      <c r="M260" s="869"/>
      <c r="N260" s="869"/>
      <c r="O260" s="869"/>
      <c r="P260" s="869"/>
      <c r="Q260" s="869"/>
      <c r="R260" s="869"/>
      <c r="S260" s="869"/>
      <c r="T260" s="642"/>
      <c r="W260" s="627"/>
      <c r="X260" s="627"/>
      <c r="Y260" s="627"/>
      <c r="Z260" s="627"/>
      <c r="AG260" s="642"/>
    </row>
    <row r="261" spans="4:33">
      <c r="D261" s="869"/>
      <c r="E261" s="869"/>
      <c r="F261" s="869"/>
      <c r="G261" s="869"/>
      <c r="H261" s="869"/>
      <c r="I261" s="869"/>
      <c r="J261" s="869"/>
      <c r="K261" s="869"/>
      <c r="L261" s="869"/>
      <c r="M261" s="869"/>
      <c r="N261" s="869"/>
      <c r="O261" s="869"/>
      <c r="P261" s="869"/>
      <c r="Q261" s="869"/>
      <c r="R261" s="869"/>
      <c r="S261" s="869"/>
      <c r="T261" s="642"/>
      <c r="W261" s="627"/>
      <c r="X261" s="627"/>
      <c r="Y261" s="627"/>
      <c r="Z261" s="627"/>
      <c r="AG261" s="642"/>
    </row>
    <row r="262" spans="4:33">
      <c r="D262" s="869"/>
      <c r="E262" s="869"/>
      <c r="F262" s="869"/>
      <c r="G262" s="869"/>
      <c r="H262" s="869"/>
      <c r="I262" s="869"/>
      <c r="J262" s="869"/>
      <c r="K262" s="869"/>
      <c r="L262" s="869"/>
      <c r="M262" s="869"/>
      <c r="N262" s="869"/>
      <c r="O262" s="869"/>
      <c r="P262" s="869"/>
      <c r="Q262" s="869"/>
      <c r="R262" s="869"/>
      <c r="S262" s="869"/>
      <c r="T262" s="642"/>
      <c r="W262" s="627"/>
      <c r="X262" s="627"/>
      <c r="Y262" s="627"/>
      <c r="Z262" s="627"/>
      <c r="AG262" s="642"/>
    </row>
    <row r="263" spans="4:33">
      <c r="D263" s="869"/>
      <c r="E263" s="869"/>
      <c r="F263" s="869"/>
      <c r="G263" s="869"/>
      <c r="H263" s="869"/>
      <c r="I263" s="869"/>
      <c r="J263" s="869"/>
      <c r="K263" s="869"/>
      <c r="L263" s="869"/>
      <c r="M263" s="869"/>
      <c r="N263" s="869"/>
      <c r="O263" s="869"/>
      <c r="P263" s="869"/>
      <c r="Q263" s="869"/>
      <c r="R263" s="869"/>
      <c r="S263" s="869"/>
      <c r="T263" s="642"/>
      <c r="W263" s="627"/>
      <c r="X263" s="627"/>
      <c r="Y263" s="627"/>
      <c r="Z263" s="627"/>
      <c r="AG263" s="642"/>
    </row>
    <row r="264" spans="4:33">
      <c r="D264" s="869"/>
      <c r="E264" s="869"/>
      <c r="F264" s="869"/>
      <c r="G264" s="869"/>
      <c r="H264" s="869"/>
      <c r="I264" s="869"/>
      <c r="J264" s="869"/>
      <c r="K264" s="869"/>
      <c r="L264" s="869"/>
      <c r="M264" s="869"/>
      <c r="N264" s="869"/>
      <c r="O264" s="869"/>
      <c r="P264" s="869"/>
      <c r="Q264" s="869"/>
      <c r="R264" s="869"/>
      <c r="S264" s="869"/>
      <c r="T264" s="642"/>
      <c r="W264" s="627"/>
      <c r="X264" s="627"/>
      <c r="Y264" s="627"/>
      <c r="Z264" s="627"/>
      <c r="AG264" s="642"/>
    </row>
    <row r="265" spans="4:33">
      <c r="D265" s="869"/>
      <c r="E265" s="869"/>
      <c r="F265" s="869"/>
      <c r="G265" s="869"/>
      <c r="H265" s="869"/>
      <c r="I265" s="869"/>
      <c r="J265" s="869"/>
      <c r="K265" s="869"/>
      <c r="L265" s="869"/>
      <c r="M265" s="869"/>
      <c r="N265" s="869"/>
      <c r="O265" s="869"/>
      <c r="P265" s="869"/>
      <c r="Q265" s="869"/>
      <c r="R265" s="869"/>
      <c r="S265" s="869"/>
      <c r="T265" s="642"/>
      <c r="W265" s="627"/>
      <c r="X265" s="627"/>
      <c r="Y265" s="627"/>
      <c r="Z265" s="627"/>
      <c r="AG265" s="642"/>
    </row>
    <row r="266" spans="4:33">
      <c r="D266" s="869"/>
      <c r="E266" s="869"/>
      <c r="F266" s="869"/>
      <c r="G266" s="869"/>
      <c r="H266" s="869"/>
      <c r="I266" s="869"/>
      <c r="J266" s="869"/>
      <c r="K266" s="869"/>
      <c r="L266" s="869"/>
      <c r="M266" s="869"/>
      <c r="N266" s="869"/>
      <c r="O266" s="869"/>
      <c r="P266" s="869"/>
      <c r="Q266" s="869"/>
      <c r="R266" s="869"/>
      <c r="S266" s="869"/>
      <c r="T266" s="642"/>
      <c r="W266" s="627"/>
      <c r="X266" s="627"/>
      <c r="Y266" s="627"/>
      <c r="Z266" s="627"/>
      <c r="AG266" s="642"/>
    </row>
    <row r="267" spans="4:33">
      <c r="D267" s="869"/>
      <c r="E267" s="869"/>
      <c r="F267" s="869"/>
      <c r="G267" s="869"/>
      <c r="H267" s="869"/>
      <c r="I267" s="869"/>
      <c r="J267" s="869"/>
      <c r="K267" s="869"/>
      <c r="L267" s="869"/>
      <c r="M267" s="869"/>
      <c r="N267" s="869"/>
      <c r="O267" s="869"/>
      <c r="P267" s="869"/>
      <c r="Q267" s="869"/>
      <c r="R267" s="869"/>
      <c r="S267" s="869"/>
      <c r="T267" s="642"/>
      <c r="W267" s="627"/>
      <c r="X267" s="627"/>
      <c r="Y267" s="627"/>
      <c r="Z267" s="627"/>
      <c r="AG267" s="642"/>
    </row>
    <row r="268" spans="4:33">
      <c r="D268" s="869"/>
      <c r="E268" s="869"/>
      <c r="F268" s="869"/>
      <c r="G268" s="869"/>
      <c r="H268" s="869"/>
      <c r="I268" s="869"/>
      <c r="J268" s="869"/>
      <c r="K268" s="869"/>
      <c r="L268" s="869"/>
      <c r="M268" s="869"/>
      <c r="N268" s="869"/>
      <c r="O268" s="869"/>
      <c r="P268" s="869"/>
      <c r="Q268" s="869"/>
      <c r="R268" s="869"/>
      <c r="S268" s="869"/>
      <c r="T268" s="642"/>
      <c r="W268" s="627"/>
      <c r="X268" s="627"/>
      <c r="Y268" s="627"/>
      <c r="Z268" s="627"/>
      <c r="AG268" s="642"/>
    </row>
    <row r="269" spans="4:33">
      <c r="D269" s="869"/>
      <c r="E269" s="869"/>
      <c r="F269" s="869"/>
      <c r="G269" s="869"/>
      <c r="H269" s="869"/>
      <c r="I269" s="869"/>
      <c r="J269" s="869"/>
      <c r="K269" s="869"/>
      <c r="L269" s="869"/>
      <c r="M269" s="869"/>
      <c r="N269" s="869"/>
      <c r="O269" s="869"/>
      <c r="P269" s="869"/>
      <c r="Q269" s="869"/>
      <c r="R269" s="869"/>
      <c r="S269" s="869"/>
      <c r="T269" s="642"/>
      <c r="W269" s="627"/>
      <c r="X269" s="627"/>
      <c r="Y269" s="627"/>
      <c r="Z269" s="627"/>
      <c r="AG269" s="642"/>
    </row>
    <row r="270" spans="4:33">
      <c r="D270" s="869"/>
      <c r="E270" s="869"/>
      <c r="F270" s="869"/>
      <c r="G270" s="869"/>
      <c r="H270" s="869"/>
      <c r="I270" s="869"/>
      <c r="J270" s="869"/>
      <c r="K270" s="869"/>
      <c r="L270" s="869"/>
      <c r="M270" s="869"/>
      <c r="N270" s="869"/>
      <c r="O270" s="869"/>
      <c r="P270" s="869"/>
      <c r="Q270" s="869"/>
      <c r="R270" s="869"/>
      <c r="S270" s="869"/>
      <c r="T270" s="642"/>
      <c r="W270" s="627"/>
      <c r="X270" s="627"/>
      <c r="Y270" s="627"/>
      <c r="Z270" s="627"/>
      <c r="AG270" s="642"/>
    </row>
    <row r="271" spans="4:33">
      <c r="D271" s="869"/>
      <c r="E271" s="869"/>
      <c r="F271" s="869"/>
      <c r="G271" s="869"/>
      <c r="H271" s="869"/>
      <c r="I271" s="869"/>
      <c r="J271" s="869"/>
      <c r="K271" s="869"/>
      <c r="L271" s="869"/>
      <c r="M271" s="869"/>
      <c r="N271" s="869"/>
      <c r="O271" s="869"/>
      <c r="P271" s="869"/>
      <c r="Q271" s="869"/>
      <c r="R271" s="869"/>
      <c r="S271" s="869"/>
      <c r="T271" s="642"/>
      <c r="W271" s="627"/>
      <c r="X271" s="627"/>
      <c r="Y271" s="627"/>
      <c r="Z271" s="627"/>
      <c r="AG271" s="642"/>
    </row>
    <row r="272" spans="4:33">
      <c r="D272" s="869"/>
      <c r="E272" s="869"/>
      <c r="F272" s="869"/>
      <c r="G272" s="869"/>
      <c r="H272" s="869"/>
      <c r="I272" s="869"/>
      <c r="J272" s="869"/>
      <c r="K272" s="869"/>
      <c r="L272" s="869"/>
      <c r="M272" s="869"/>
      <c r="N272" s="869"/>
      <c r="O272" s="869"/>
      <c r="P272" s="869"/>
      <c r="Q272" s="869"/>
      <c r="R272" s="869"/>
      <c r="S272" s="869"/>
      <c r="T272" s="642"/>
      <c r="W272" s="627"/>
      <c r="X272" s="627"/>
      <c r="Y272" s="627"/>
      <c r="Z272" s="627"/>
      <c r="AG272" s="642"/>
    </row>
    <row r="273" spans="4:33">
      <c r="D273" s="869"/>
      <c r="E273" s="869"/>
      <c r="F273" s="869"/>
      <c r="G273" s="869"/>
      <c r="H273" s="869"/>
      <c r="I273" s="869"/>
      <c r="J273" s="869"/>
      <c r="K273" s="869"/>
      <c r="L273" s="869"/>
      <c r="M273" s="869"/>
      <c r="N273" s="869"/>
      <c r="O273" s="869"/>
      <c r="P273" s="869"/>
      <c r="Q273" s="869"/>
      <c r="R273" s="869"/>
      <c r="S273" s="869"/>
      <c r="T273" s="642"/>
      <c r="W273" s="627"/>
      <c r="X273" s="627"/>
      <c r="Y273" s="627"/>
      <c r="Z273" s="627"/>
      <c r="AG273" s="642"/>
    </row>
    <row r="274" spans="4:33">
      <c r="D274" s="869"/>
      <c r="E274" s="869"/>
      <c r="F274" s="869"/>
      <c r="G274" s="869"/>
      <c r="H274" s="869"/>
      <c r="I274" s="869"/>
      <c r="J274" s="869"/>
      <c r="K274" s="869"/>
      <c r="L274" s="869"/>
      <c r="M274" s="869"/>
      <c r="N274" s="869"/>
      <c r="O274" s="869"/>
      <c r="P274" s="869"/>
      <c r="Q274" s="869"/>
      <c r="R274" s="869"/>
      <c r="S274" s="869"/>
      <c r="T274" s="642"/>
      <c r="W274" s="627"/>
      <c r="X274" s="627"/>
      <c r="Y274" s="627"/>
      <c r="Z274" s="627"/>
      <c r="AG274" s="642"/>
    </row>
    <row r="275" spans="4:33">
      <c r="D275" s="869"/>
      <c r="E275" s="869"/>
      <c r="F275" s="869"/>
      <c r="G275" s="869"/>
      <c r="H275" s="869"/>
      <c r="I275" s="869"/>
      <c r="J275" s="869"/>
      <c r="K275" s="869"/>
      <c r="L275" s="869"/>
      <c r="M275" s="869"/>
      <c r="N275" s="869"/>
      <c r="O275" s="869"/>
      <c r="P275" s="869"/>
      <c r="Q275" s="869"/>
      <c r="R275" s="869"/>
      <c r="S275" s="869"/>
      <c r="T275" s="642"/>
      <c r="W275" s="627"/>
      <c r="X275" s="627"/>
      <c r="Y275" s="627"/>
      <c r="Z275" s="627"/>
      <c r="AG275" s="642"/>
    </row>
    <row r="276" spans="4:33">
      <c r="D276" s="869"/>
      <c r="E276" s="869"/>
      <c r="F276" s="869"/>
      <c r="G276" s="869"/>
      <c r="H276" s="869"/>
      <c r="I276" s="869"/>
      <c r="J276" s="869"/>
      <c r="K276" s="869"/>
      <c r="L276" s="869"/>
      <c r="M276" s="869"/>
      <c r="N276" s="869"/>
      <c r="O276" s="869"/>
      <c r="P276" s="869"/>
      <c r="Q276" s="869"/>
      <c r="R276" s="869"/>
      <c r="S276" s="869"/>
      <c r="T276" s="642"/>
      <c r="W276" s="627"/>
      <c r="X276" s="627"/>
      <c r="Y276" s="627"/>
      <c r="Z276" s="627"/>
      <c r="AG276" s="642"/>
    </row>
    <row r="277" spans="4:33">
      <c r="D277" s="869"/>
      <c r="E277" s="869"/>
      <c r="F277" s="869"/>
      <c r="G277" s="869"/>
      <c r="H277" s="869"/>
      <c r="I277" s="869"/>
      <c r="J277" s="869"/>
      <c r="K277" s="869"/>
      <c r="L277" s="869"/>
      <c r="M277" s="869"/>
      <c r="N277" s="869"/>
      <c r="O277" s="869"/>
      <c r="P277" s="869"/>
      <c r="Q277" s="869"/>
      <c r="R277" s="869"/>
      <c r="S277" s="869"/>
      <c r="T277" s="642"/>
      <c r="W277" s="627"/>
      <c r="X277" s="627"/>
      <c r="Y277" s="627"/>
      <c r="Z277" s="627"/>
      <c r="AG277" s="642"/>
    </row>
    <row r="278" spans="4:33">
      <c r="D278" s="869"/>
      <c r="E278" s="869"/>
      <c r="F278" s="869"/>
      <c r="G278" s="869"/>
      <c r="H278" s="869"/>
      <c r="I278" s="869"/>
      <c r="J278" s="869"/>
      <c r="K278" s="869"/>
      <c r="L278" s="869"/>
      <c r="M278" s="869"/>
      <c r="N278" s="869"/>
      <c r="O278" s="869"/>
      <c r="P278" s="869"/>
      <c r="Q278" s="869"/>
      <c r="R278" s="869"/>
      <c r="S278" s="869"/>
      <c r="T278" s="642"/>
      <c r="W278" s="627"/>
      <c r="X278" s="627"/>
      <c r="Y278" s="627"/>
      <c r="Z278" s="627"/>
      <c r="AG278" s="642"/>
    </row>
    <row r="279" spans="4:33">
      <c r="D279" s="869"/>
      <c r="E279" s="869"/>
      <c r="F279" s="869"/>
      <c r="G279" s="869"/>
      <c r="H279" s="869"/>
      <c r="I279" s="869"/>
      <c r="J279" s="869"/>
      <c r="K279" s="869"/>
      <c r="L279" s="869"/>
      <c r="M279" s="869"/>
      <c r="N279" s="869"/>
      <c r="O279" s="869"/>
      <c r="P279" s="869"/>
      <c r="Q279" s="869"/>
      <c r="R279" s="869"/>
      <c r="S279" s="869"/>
      <c r="T279" s="642"/>
      <c r="W279" s="627"/>
      <c r="X279" s="627"/>
      <c r="Y279" s="627"/>
      <c r="Z279" s="627"/>
      <c r="AG279" s="642"/>
    </row>
    <row r="280" spans="4:33">
      <c r="D280" s="869"/>
      <c r="E280" s="869"/>
      <c r="F280" s="869"/>
      <c r="G280" s="869"/>
      <c r="H280" s="869"/>
      <c r="I280" s="869"/>
      <c r="J280" s="869"/>
      <c r="K280" s="869"/>
      <c r="L280" s="869"/>
      <c r="M280" s="869"/>
      <c r="N280" s="869"/>
      <c r="O280" s="869"/>
      <c r="P280" s="869"/>
      <c r="Q280" s="869"/>
      <c r="R280" s="869"/>
      <c r="S280" s="869"/>
      <c r="T280" s="642"/>
      <c r="W280" s="627"/>
      <c r="X280" s="627"/>
      <c r="Y280" s="627"/>
      <c r="Z280" s="627"/>
      <c r="AG280" s="642"/>
    </row>
    <row r="281" spans="4:33">
      <c r="D281" s="869"/>
      <c r="E281" s="869"/>
      <c r="F281" s="869"/>
      <c r="G281" s="869"/>
      <c r="H281" s="869"/>
      <c r="I281" s="869"/>
      <c r="J281" s="869"/>
      <c r="K281" s="869"/>
      <c r="L281" s="869"/>
      <c r="M281" s="869"/>
      <c r="N281" s="869"/>
      <c r="O281" s="869"/>
      <c r="P281" s="869"/>
      <c r="Q281" s="869"/>
      <c r="R281" s="869"/>
      <c r="S281" s="869"/>
      <c r="T281" s="642"/>
      <c r="W281" s="627"/>
      <c r="X281" s="627"/>
      <c r="Y281" s="627"/>
      <c r="Z281" s="627"/>
      <c r="AG281" s="642"/>
    </row>
    <row r="282" spans="4:33">
      <c r="D282" s="869"/>
      <c r="E282" s="869"/>
      <c r="F282" s="869"/>
      <c r="G282" s="869"/>
      <c r="H282" s="869"/>
      <c r="I282" s="869"/>
      <c r="J282" s="869"/>
      <c r="K282" s="869"/>
      <c r="L282" s="869"/>
      <c r="M282" s="869"/>
      <c r="N282" s="869"/>
      <c r="O282" s="869"/>
      <c r="P282" s="869"/>
      <c r="Q282" s="869"/>
      <c r="R282" s="869"/>
      <c r="S282" s="869"/>
      <c r="T282" s="642"/>
      <c r="W282" s="627"/>
      <c r="X282" s="627"/>
      <c r="Y282" s="627"/>
      <c r="Z282" s="627"/>
      <c r="AG282" s="642"/>
    </row>
    <row r="283" spans="4:33">
      <c r="D283" s="869"/>
      <c r="E283" s="869"/>
      <c r="F283" s="869"/>
      <c r="G283" s="869"/>
      <c r="H283" s="869"/>
      <c r="I283" s="869"/>
      <c r="J283" s="869"/>
      <c r="K283" s="869"/>
      <c r="L283" s="869"/>
      <c r="M283" s="869"/>
      <c r="N283" s="869"/>
      <c r="O283" s="869"/>
      <c r="P283" s="869"/>
      <c r="Q283" s="869"/>
      <c r="R283" s="869"/>
      <c r="S283" s="869"/>
      <c r="T283" s="642"/>
      <c r="W283" s="627"/>
      <c r="X283" s="627"/>
      <c r="Y283" s="627"/>
      <c r="Z283" s="627"/>
      <c r="AG283" s="642"/>
    </row>
    <row r="284" spans="4:33">
      <c r="D284" s="869"/>
      <c r="E284" s="869"/>
      <c r="F284" s="869"/>
      <c r="G284" s="869"/>
      <c r="H284" s="869"/>
      <c r="I284" s="869"/>
      <c r="J284" s="869"/>
      <c r="K284" s="869"/>
      <c r="L284" s="869"/>
      <c r="M284" s="869"/>
      <c r="N284" s="869"/>
      <c r="O284" s="869"/>
      <c r="P284" s="869"/>
      <c r="Q284" s="869"/>
      <c r="R284" s="869"/>
      <c r="S284" s="869"/>
      <c r="T284" s="642"/>
      <c r="W284" s="627"/>
      <c r="X284" s="627"/>
      <c r="Y284" s="627"/>
      <c r="Z284" s="627"/>
      <c r="AG284" s="642"/>
    </row>
    <row r="285" spans="4:33">
      <c r="D285" s="869"/>
      <c r="E285" s="869"/>
      <c r="F285" s="869"/>
      <c r="G285" s="869"/>
      <c r="H285" s="869"/>
      <c r="I285" s="869"/>
      <c r="J285" s="869"/>
      <c r="K285" s="869"/>
      <c r="L285" s="869"/>
      <c r="M285" s="869"/>
      <c r="N285" s="869"/>
      <c r="O285" s="869"/>
      <c r="P285" s="869"/>
      <c r="Q285" s="869"/>
      <c r="R285" s="869"/>
      <c r="S285" s="869"/>
      <c r="T285" s="642"/>
      <c r="W285" s="627"/>
      <c r="X285" s="627"/>
      <c r="Y285" s="627"/>
      <c r="Z285" s="627"/>
      <c r="AG285" s="642"/>
    </row>
    <row r="286" spans="4:33">
      <c r="D286" s="869"/>
      <c r="E286" s="869"/>
      <c r="F286" s="869"/>
      <c r="G286" s="869"/>
      <c r="H286" s="869"/>
      <c r="I286" s="869"/>
      <c r="J286" s="869"/>
      <c r="K286" s="869"/>
      <c r="L286" s="869"/>
      <c r="M286" s="869"/>
      <c r="N286" s="869"/>
      <c r="O286" s="869"/>
      <c r="P286" s="869"/>
      <c r="Q286" s="869"/>
      <c r="R286" s="869"/>
      <c r="S286" s="869"/>
      <c r="T286" s="642"/>
      <c r="W286" s="627"/>
      <c r="X286" s="627"/>
      <c r="Y286" s="627"/>
      <c r="Z286" s="627"/>
      <c r="AG286" s="642"/>
    </row>
    <row r="287" spans="4:33">
      <c r="D287" s="869"/>
      <c r="E287" s="869"/>
      <c r="F287" s="869"/>
      <c r="G287" s="869"/>
      <c r="H287" s="869"/>
      <c r="I287" s="869"/>
      <c r="J287" s="869"/>
      <c r="K287" s="869"/>
      <c r="L287" s="869"/>
      <c r="M287" s="869"/>
      <c r="N287" s="869"/>
      <c r="O287" s="869"/>
      <c r="P287" s="869"/>
      <c r="Q287" s="869"/>
      <c r="R287" s="869"/>
      <c r="S287" s="869"/>
      <c r="T287" s="642"/>
      <c r="W287" s="627"/>
      <c r="X287" s="627"/>
      <c r="Y287" s="627"/>
      <c r="Z287" s="627"/>
      <c r="AG287" s="642"/>
    </row>
    <row r="288" spans="4:33">
      <c r="D288" s="869"/>
      <c r="E288" s="869"/>
      <c r="F288" s="869"/>
      <c r="G288" s="869"/>
      <c r="H288" s="869"/>
      <c r="I288" s="869"/>
      <c r="J288" s="869"/>
      <c r="K288" s="869"/>
      <c r="L288" s="869"/>
      <c r="M288" s="869"/>
      <c r="N288" s="869"/>
      <c r="O288" s="869"/>
      <c r="P288" s="869"/>
      <c r="Q288" s="869"/>
      <c r="R288" s="869"/>
      <c r="S288" s="869"/>
      <c r="T288" s="642"/>
      <c r="W288" s="627"/>
      <c r="X288" s="627"/>
      <c r="Y288" s="627"/>
      <c r="Z288" s="627"/>
      <c r="AG288" s="642"/>
    </row>
    <row r="289" spans="4:33">
      <c r="D289" s="869"/>
      <c r="E289" s="869"/>
      <c r="F289" s="869"/>
      <c r="G289" s="869"/>
      <c r="H289" s="869"/>
      <c r="I289" s="869"/>
      <c r="J289" s="869"/>
      <c r="K289" s="869"/>
      <c r="L289" s="869"/>
      <c r="M289" s="869"/>
      <c r="N289" s="869"/>
      <c r="O289" s="869"/>
      <c r="P289" s="869"/>
      <c r="Q289" s="869"/>
      <c r="R289" s="869"/>
      <c r="S289" s="869"/>
      <c r="T289" s="642"/>
      <c r="W289" s="627"/>
      <c r="X289" s="627"/>
      <c r="Y289" s="627"/>
      <c r="Z289" s="627"/>
      <c r="AG289" s="642"/>
    </row>
    <row r="290" spans="4:33">
      <c r="D290" s="869"/>
      <c r="E290" s="869"/>
      <c r="F290" s="869"/>
      <c r="G290" s="869"/>
      <c r="H290" s="869"/>
      <c r="I290" s="869"/>
      <c r="J290" s="869"/>
      <c r="K290" s="869"/>
      <c r="L290" s="869"/>
      <c r="M290" s="869"/>
      <c r="N290" s="869"/>
      <c r="O290" s="869"/>
      <c r="P290" s="869"/>
      <c r="Q290" s="869"/>
      <c r="R290" s="869"/>
      <c r="S290" s="869"/>
      <c r="T290" s="642"/>
      <c r="W290" s="627"/>
      <c r="X290" s="627"/>
      <c r="Y290" s="627"/>
      <c r="Z290" s="627"/>
      <c r="AG290" s="642"/>
    </row>
    <row r="291" spans="4:33">
      <c r="D291" s="869"/>
      <c r="E291" s="869"/>
      <c r="F291" s="869"/>
      <c r="G291" s="869"/>
      <c r="H291" s="869"/>
      <c r="I291" s="869"/>
      <c r="J291" s="869"/>
      <c r="K291" s="869"/>
      <c r="L291" s="869"/>
      <c r="M291" s="869"/>
      <c r="N291" s="869"/>
      <c r="O291" s="869"/>
      <c r="P291" s="869"/>
      <c r="Q291" s="869"/>
      <c r="R291" s="869"/>
      <c r="S291" s="869"/>
      <c r="T291" s="642"/>
      <c r="W291" s="627"/>
      <c r="X291" s="627"/>
      <c r="Y291" s="627"/>
      <c r="Z291" s="627"/>
      <c r="AG291" s="642"/>
    </row>
    <row r="292" spans="4:33">
      <c r="D292" s="869"/>
      <c r="E292" s="869"/>
      <c r="F292" s="869"/>
      <c r="G292" s="869"/>
      <c r="H292" s="869"/>
      <c r="I292" s="869"/>
      <c r="J292" s="869"/>
      <c r="K292" s="869"/>
      <c r="L292" s="869"/>
      <c r="M292" s="869"/>
      <c r="N292" s="869"/>
      <c r="O292" s="869"/>
      <c r="P292" s="869"/>
      <c r="Q292" s="869"/>
      <c r="R292" s="869"/>
      <c r="S292" s="869"/>
      <c r="T292" s="642"/>
      <c r="W292" s="627"/>
      <c r="X292" s="627"/>
      <c r="Y292" s="627"/>
      <c r="Z292" s="627"/>
      <c r="AG292" s="642"/>
    </row>
    <row r="293" spans="4:33">
      <c r="D293" s="869"/>
      <c r="E293" s="869"/>
      <c r="F293" s="869"/>
      <c r="G293" s="869"/>
      <c r="H293" s="869"/>
      <c r="I293" s="869"/>
      <c r="J293" s="869"/>
      <c r="K293" s="869"/>
      <c r="L293" s="869"/>
      <c r="M293" s="869"/>
      <c r="N293" s="869"/>
      <c r="O293" s="869"/>
      <c r="P293" s="869"/>
      <c r="Q293" s="869"/>
      <c r="R293" s="869"/>
      <c r="S293" s="869"/>
      <c r="T293" s="642"/>
      <c r="W293" s="627"/>
      <c r="X293" s="627"/>
      <c r="Y293" s="627"/>
      <c r="Z293" s="627"/>
      <c r="AG293" s="642"/>
    </row>
    <row r="294" spans="4:33">
      <c r="D294" s="869"/>
      <c r="E294" s="869"/>
      <c r="F294" s="869"/>
      <c r="G294" s="869"/>
      <c r="H294" s="869"/>
      <c r="I294" s="869"/>
      <c r="J294" s="869"/>
      <c r="K294" s="869"/>
      <c r="L294" s="869"/>
      <c r="M294" s="869"/>
      <c r="N294" s="869"/>
      <c r="O294" s="869"/>
      <c r="P294" s="869"/>
      <c r="Q294" s="869"/>
      <c r="R294" s="869"/>
      <c r="S294" s="869"/>
      <c r="T294" s="642"/>
      <c r="W294" s="627"/>
      <c r="X294" s="627"/>
      <c r="Y294" s="627"/>
      <c r="Z294" s="627"/>
      <c r="AG294" s="642"/>
    </row>
    <row r="295" spans="4:33">
      <c r="D295" s="869"/>
      <c r="E295" s="869"/>
      <c r="F295" s="869"/>
      <c r="G295" s="869"/>
      <c r="H295" s="869"/>
      <c r="I295" s="869"/>
      <c r="J295" s="869"/>
      <c r="K295" s="869"/>
      <c r="L295" s="869"/>
      <c r="M295" s="869"/>
      <c r="N295" s="869"/>
      <c r="O295" s="869"/>
      <c r="P295" s="869"/>
      <c r="Q295" s="869"/>
      <c r="R295" s="869"/>
      <c r="S295" s="869"/>
      <c r="T295" s="642"/>
      <c r="W295" s="627"/>
      <c r="X295" s="627"/>
      <c r="Y295" s="627"/>
      <c r="Z295" s="627"/>
      <c r="AG295" s="642"/>
    </row>
    <row r="296" spans="4:33">
      <c r="D296" s="869"/>
      <c r="E296" s="869"/>
      <c r="F296" s="869"/>
      <c r="G296" s="869"/>
      <c r="H296" s="869"/>
      <c r="I296" s="869"/>
      <c r="J296" s="869"/>
      <c r="K296" s="869"/>
      <c r="L296" s="869"/>
      <c r="M296" s="869"/>
      <c r="N296" s="869"/>
      <c r="O296" s="869"/>
      <c r="P296" s="869"/>
      <c r="Q296" s="869"/>
      <c r="R296" s="869"/>
      <c r="S296" s="869"/>
      <c r="T296" s="642"/>
      <c r="W296" s="627"/>
      <c r="X296" s="627"/>
      <c r="Y296" s="627"/>
      <c r="Z296" s="627"/>
      <c r="AG296" s="642"/>
    </row>
    <row r="297" spans="4:33">
      <c r="D297" s="869"/>
      <c r="E297" s="869"/>
      <c r="F297" s="869"/>
      <c r="G297" s="869"/>
      <c r="H297" s="869"/>
      <c r="I297" s="869"/>
      <c r="J297" s="869"/>
      <c r="K297" s="869"/>
      <c r="L297" s="869"/>
      <c r="M297" s="869"/>
      <c r="N297" s="869"/>
      <c r="O297" s="869"/>
      <c r="P297" s="869"/>
      <c r="Q297" s="869"/>
      <c r="R297" s="869"/>
      <c r="S297" s="869"/>
      <c r="T297" s="642"/>
      <c r="W297" s="627"/>
      <c r="X297" s="627"/>
      <c r="Y297" s="627"/>
      <c r="Z297" s="627"/>
      <c r="AG297" s="642"/>
    </row>
    <row r="298" spans="4:33">
      <c r="D298" s="869"/>
      <c r="E298" s="869"/>
      <c r="F298" s="869"/>
      <c r="G298" s="869"/>
      <c r="H298" s="869"/>
      <c r="I298" s="869"/>
      <c r="J298" s="869"/>
      <c r="K298" s="869"/>
      <c r="L298" s="869"/>
      <c r="M298" s="869"/>
      <c r="N298" s="869"/>
      <c r="O298" s="869"/>
      <c r="P298" s="869"/>
      <c r="Q298" s="869"/>
      <c r="R298" s="869"/>
      <c r="S298" s="869"/>
      <c r="T298" s="642"/>
      <c r="W298" s="627"/>
      <c r="X298" s="627"/>
      <c r="Y298" s="627"/>
      <c r="Z298" s="627"/>
      <c r="AG298" s="642"/>
    </row>
    <row r="299" spans="4:33">
      <c r="D299" s="869"/>
      <c r="E299" s="869"/>
      <c r="F299" s="869"/>
      <c r="G299" s="869"/>
      <c r="H299" s="869"/>
      <c r="I299" s="869"/>
      <c r="J299" s="869"/>
      <c r="K299" s="869"/>
      <c r="L299" s="869"/>
      <c r="M299" s="869"/>
      <c r="N299" s="869"/>
      <c r="O299" s="869"/>
      <c r="P299" s="869"/>
      <c r="Q299" s="869"/>
      <c r="R299" s="869"/>
      <c r="S299" s="869"/>
      <c r="T299" s="642"/>
      <c r="W299" s="627"/>
      <c r="X299" s="627"/>
      <c r="Y299" s="627"/>
      <c r="Z299" s="627"/>
      <c r="AG299" s="642"/>
    </row>
    <row r="300" spans="4:33">
      <c r="D300" s="869"/>
      <c r="E300" s="869"/>
      <c r="F300" s="869"/>
      <c r="G300" s="869"/>
      <c r="H300" s="869"/>
      <c r="I300" s="869"/>
      <c r="J300" s="869"/>
      <c r="K300" s="869"/>
      <c r="L300" s="869"/>
      <c r="M300" s="869"/>
      <c r="N300" s="869"/>
      <c r="O300" s="869"/>
      <c r="P300" s="869"/>
      <c r="Q300" s="869"/>
      <c r="R300" s="869"/>
      <c r="S300" s="869"/>
      <c r="T300" s="642"/>
      <c r="W300" s="627"/>
      <c r="X300" s="627"/>
      <c r="Y300" s="627"/>
      <c r="Z300" s="627"/>
      <c r="AG300" s="642"/>
    </row>
    <row r="301" spans="4:33">
      <c r="D301" s="869"/>
      <c r="E301" s="869"/>
      <c r="F301" s="869"/>
      <c r="G301" s="869"/>
      <c r="H301" s="869"/>
      <c r="I301" s="869"/>
      <c r="J301" s="869"/>
      <c r="K301" s="869"/>
      <c r="L301" s="869"/>
      <c r="M301" s="869"/>
      <c r="N301" s="869"/>
      <c r="O301" s="869"/>
      <c r="P301" s="869"/>
      <c r="Q301" s="869"/>
      <c r="R301" s="869"/>
      <c r="S301" s="869"/>
      <c r="T301" s="642"/>
      <c r="W301" s="627"/>
      <c r="X301" s="627"/>
      <c r="Y301" s="627"/>
      <c r="Z301" s="627"/>
      <c r="AG301" s="642"/>
    </row>
    <row r="302" spans="4:33">
      <c r="D302" s="869"/>
      <c r="E302" s="869"/>
      <c r="F302" s="869"/>
      <c r="G302" s="869"/>
      <c r="H302" s="869"/>
      <c r="I302" s="869"/>
      <c r="J302" s="869"/>
      <c r="K302" s="869"/>
      <c r="L302" s="869"/>
      <c r="M302" s="869"/>
      <c r="N302" s="869"/>
      <c r="O302" s="869"/>
      <c r="P302" s="869"/>
      <c r="Q302" s="869"/>
      <c r="R302" s="869"/>
      <c r="S302" s="869"/>
      <c r="T302" s="642"/>
      <c r="W302" s="627"/>
      <c r="X302" s="627"/>
      <c r="Y302" s="627"/>
      <c r="Z302" s="627"/>
      <c r="AG302" s="642"/>
    </row>
    <row r="303" spans="4:33">
      <c r="D303" s="869"/>
      <c r="E303" s="869"/>
      <c r="F303" s="869"/>
      <c r="G303" s="869"/>
      <c r="H303" s="869"/>
      <c r="I303" s="869"/>
      <c r="J303" s="869"/>
      <c r="K303" s="869"/>
      <c r="L303" s="869"/>
      <c r="M303" s="869"/>
      <c r="N303" s="869"/>
      <c r="O303" s="869"/>
      <c r="P303" s="869"/>
      <c r="Q303" s="869"/>
      <c r="R303" s="869"/>
      <c r="S303" s="869"/>
      <c r="T303" s="642"/>
      <c r="W303" s="627"/>
      <c r="X303" s="627"/>
      <c r="Y303" s="627"/>
      <c r="Z303" s="627"/>
      <c r="AG303" s="642"/>
    </row>
    <row r="304" spans="4:33">
      <c r="D304" s="869"/>
      <c r="E304" s="869"/>
      <c r="F304" s="869"/>
      <c r="G304" s="869"/>
      <c r="H304" s="869"/>
      <c r="I304" s="869"/>
      <c r="J304" s="869"/>
      <c r="K304" s="869"/>
      <c r="L304" s="869"/>
      <c r="M304" s="869"/>
      <c r="N304" s="869"/>
      <c r="O304" s="869"/>
      <c r="P304" s="869"/>
      <c r="Q304" s="869"/>
      <c r="R304" s="869"/>
      <c r="S304" s="869"/>
      <c r="T304" s="642"/>
      <c r="W304" s="627"/>
      <c r="X304" s="627"/>
      <c r="Y304" s="627"/>
      <c r="Z304" s="627"/>
      <c r="AG304" s="642"/>
    </row>
    <row r="305" spans="4:33">
      <c r="D305" s="869"/>
      <c r="E305" s="869"/>
      <c r="F305" s="869"/>
      <c r="G305" s="869"/>
      <c r="H305" s="869"/>
      <c r="I305" s="869"/>
      <c r="J305" s="869"/>
      <c r="K305" s="869"/>
      <c r="L305" s="869"/>
      <c r="M305" s="869"/>
      <c r="N305" s="869"/>
      <c r="O305" s="869"/>
      <c r="P305" s="869"/>
      <c r="Q305" s="869"/>
      <c r="R305" s="869"/>
      <c r="S305" s="869"/>
      <c r="T305" s="642"/>
      <c r="W305" s="627"/>
      <c r="X305" s="627"/>
      <c r="Y305" s="627"/>
      <c r="Z305" s="627"/>
      <c r="AG305" s="642"/>
    </row>
    <row r="306" spans="4:33">
      <c r="D306" s="869"/>
      <c r="E306" s="869"/>
      <c r="F306" s="869"/>
      <c r="G306" s="869"/>
      <c r="H306" s="869"/>
      <c r="I306" s="869"/>
      <c r="J306" s="869"/>
      <c r="K306" s="869"/>
      <c r="L306" s="869"/>
      <c r="M306" s="869"/>
      <c r="N306" s="869"/>
      <c r="O306" s="869"/>
      <c r="P306" s="869"/>
      <c r="Q306" s="869"/>
      <c r="R306" s="869"/>
      <c r="S306" s="869"/>
      <c r="T306" s="642"/>
      <c r="W306" s="627"/>
      <c r="X306" s="627"/>
      <c r="Y306" s="627"/>
      <c r="Z306" s="627"/>
      <c r="AG306" s="642"/>
    </row>
    <row r="307" spans="4:33">
      <c r="D307" s="869"/>
      <c r="E307" s="869"/>
      <c r="F307" s="869"/>
      <c r="G307" s="869"/>
      <c r="H307" s="869"/>
      <c r="I307" s="869"/>
      <c r="J307" s="869"/>
      <c r="K307" s="869"/>
      <c r="L307" s="869"/>
      <c r="M307" s="869"/>
      <c r="N307" s="869"/>
      <c r="O307" s="869"/>
      <c r="P307" s="869"/>
      <c r="Q307" s="869"/>
      <c r="R307" s="869"/>
      <c r="S307" s="869"/>
      <c r="T307" s="642"/>
      <c r="W307" s="627"/>
      <c r="X307" s="627"/>
      <c r="Y307" s="627"/>
      <c r="Z307" s="627"/>
      <c r="AG307" s="642"/>
    </row>
    <row r="308" spans="4:33">
      <c r="D308" s="869"/>
      <c r="E308" s="869"/>
      <c r="F308" s="869"/>
      <c r="G308" s="869"/>
      <c r="H308" s="869"/>
      <c r="I308" s="869"/>
      <c r="J308" s="869"/>
      <c r="K308" s="869"/>
      <c r="L308" s="869"/>
      <c r="M308" s="869"/>
      <c r="N308" s="869"/>
      <c r="O308" s="869"/>
      <c r="P308" s="869"/>
      <c r="Q308" s="869"/>
      <c r="R308" s="869"/>
      <c r="S308" s="869"/>
      <c r="T308" s="642"/>
      <c r="W308" s="627"/>
      <c r="X308" s="627"/>
      <c r="Y308" s="627"/>
      <c r="Z308" s="627"/>
      <c r="AG308" s="642"/>
    </row>
    <row r="309" spans="4:33">
      <c r="D309" s="869"/>
      <c r="E309" s="869"/>
      <c r="F309" s="869"/>
      <c r="G309" s="869"/>
      <c r="H309" s="869"/>
      <c r="I309" s="869"/>
      <c r="J309" s="869"/>
      <c r="K309" s="869"/>
      <c r="L309" s="869"/>
      <c r="M309" s="869"/>
      <c r="N309" s="869"/>
      <c r="O309" s="869"/>
      <c r="P309" s="869"/>
      <c r="Q309" s="869"/>
      <c r="R309" s="869"/>
      <c r="S309" s="869"/>
      <c r="T309" s="642"/>
      <c r="W309" s="627"/>
      <c r="X309" s="627"/>
      <c r="Y309" s="627"/>
      <c r="Z309" s="627"/>
      <c r="AG309" s="642"/>
    </row>
    <row r="310" spans="4:33">
      <c r="D310" s="869"/>
      <c r="E310" s="869"/>
      <c r="F310" s="869"/>
      <c r="G310" s="869"/>
      <c r="H310" s="869"/>
      <c r="I310" s="869"/>
      <c r="J310" s="869"/>
      <c r="K310" s="869"/>
      <c r="L310" s="869"/>
      <c r="M310" s="869"/>
      <c r="N310" s="869"/>
      <c r="O310" s="869"/>
      <c r="P310" s="869"/>
      <c r="Q310" s="869"/>
      <c r="R310" s="869"/>
      <c r="S310" s="869"/>
      <c r="T310" s="642"/>
      <c r="W310" s="627"/>
      <c r="X310" s="627"/>
      <c r="Y310" s="627"/>
      <c r="Z310" s="627"/>
      <c r="AG310" s="642"/>
    </row>
    <row r="311" spans="4:33">
      <c r="D311" s="869"/>
      <c r="E311" s="869"/>
      <c r="F311" s="869"/>
      <c r="G311" s="869"/>
      <c r="H311" s="869"/>
      <c r="I311" s="869"/>
      <c r="J311" s="869"/>
      <c r="K311" s="869"/>
      <c r="L311" s="869"/>
      <c r="M311" s="869"/>
      <c r="N311" s="869"/>
      <c r="O311" s="869"/>
      <c r="P311" s="869"/>
      <c r="Q311" s="869"/>
      <c r="R311" s="869"/>
      <c r="S311" s="869"/>
      <c r="T311" s="642"/>
      <c r="W311" s="627"/>
      <c r="X311" s="627"/>
      <c r="Y311" s="627"/>
      <c r="Z311" s="627"/>
      <c r="AG311" s="642"/>
    </row>
    <row r="312" spans="4:33">
      <c r="D312" s="869"/>
      <c r="E312" s="869"/>
      <c r="F312" s="869"/>
      <c r="G312" s="869"/>
      <c r="H312" s="869"/>
      <c r="I312" s="869"/>
      <c r="J312" s="869"/>
      <c r="K312" s="869"/>
      <c r="L312" s="869"/>
      <c r="M312" s="869"/>
      <c r="N312" s="869"/>
      <c r="O312" s="869"/>
      <c r="P312" s="869"/>
      <c r="Q312" s="869"/>
      <c r="R312" s="869"/>
      <c r="S312" s="869"/>
      <c r="T312" s="642"/>
      <c r="W312" s="627"/>
      <c r="X312" s="627"/>
      <c r="Y312" s="627"/>
      <c r="Z312" s="627"/>
      <c r="AG312" s="642"/>
    </row>
    <row r="313" spans="4:33">
      <c r="D313" s="869"/>
      <c r="E313" s="869"/>
      <c r="F313" s="869"/>
      <c r="G313" s="869"/>
      <c r="H313" s="869"/>
      <c r="I313" s="869"/>
      <c r="J313" s="869"/>
      <c r="K313" s="869"/>
      <c r="L313" s="869"/>
      <c r="M313" s="869"/>
      <c r="N313" s="869"/>
      <c r="O313" s="869"/>
      <c r="P313" s="869"/>
      <c r="Q313" s="869"/>
      <c r="R313" s="869"/>
      <c r="S313" s="869"/>
      <c r="T313" s="642"/>
      <c r="W313" s="627"/>
      <c r="X313" s="627"/>
      <c r="Y313" s="627"/>
      <c r="Z313" s="627"/>
      <c r="AG313" s="642"/>
    </row>
    <row r="314" spans="4:33">
      <c r="D314" s="869"/>
      <c r="E314" s="869"/>
      <c r="F314" s="869"/>
      <c r="G314" s="869"/>
      <c r="H314" s="869"/>
      <c r="I314" s="869"/>
      <c r="J314" s="869"/>
      <c r="K314" s="869"/>
      <c r="L314" s="869"/>
      <c r="M314" s="869"/>
      <c r="N314" s="869"/>
      <c r="O314" s="869"/>
      <c r="P314" s="869"/>
      <c r="Q314" s="869"/>
      <c r="R314" s="869"/>
      <c r="S314" s="869"/>
      <c r="T314" s="642"/>
      <c r="W314" s="627"/>
      <c r="X314" s="627"/>
      <c r="Y314" s="627"/>
      <c r="Z314" s="627"/>
      <c r="AG314" s="642"/>
    </row>
    <row r="315" spans="4:33">
      <c r="D315" s="869"/>
      <c r="E315" s="869"/>
      <c r="F315" s="869"/>
      <c r="G315" s="869"/>
      <c r="H315" s="869"/>
      <c r="I315" s="869"/>
      <c r="J315" s="869"/>
      <c r="K315" s="869"/>
      <c r="L315" s="869"/>
      <c r="M315" s="869"/>
      <c r="N315" s="869"/>
      <c r="O315" s="869"/>
      <c r="P315" s="869"/>
      <c r="Q315" s="869"/>
      <c r="R315" s="869"/>
      <c r="S315" s="869"/>
      <c r="T315" s="642"/>
      <c r="W315" s="627"/>
      <c r="X315" s="627"/>
      <c r="Y315" s="627"/>
      <c r="Z315" s="627"/>
      <c r="AG315" s="642"/>
    </row>
    <row r="316" spans="4:33">
      <c r="D316" s="869"/>
      <c r="E316" s="869"/>
      <c r="F316" s="869"/>
      <c r="G316" s="869"/>
      <c r="H316" s="869"/>
      <c r="I316" s="869"/>
      <c r="J316" s="869"/>
      <c r="K316" s="869"/>
      <c r="L316" s="869"/>
      <c r="M316" s="869"/>
      <c r="N316" s="869"/>
      <c r="O316" s="869"/>
      <c r="P316" s="869"/>
      <c r="Q316" s="869"/>
      <c r="R316" s="869"/>
      <c r="S316" s="869"/>
      <c r="T316" s="642"/>
      <c r="W316" s="627"/>
      <c r="X316" s="627"/>
      <c r="Y316" s="627"/>
      <c r="Z316" s="627"/>
      <c r="AG316" s="642"/>
    </row>
    <row r="317" spans="4:33">
      <c r="D317" s="869"/>
      <c r="E317" s="869"/>
      <c r="F317" s="869"/>
      <c r="G317" s="869"/>
      <c r="H317" s="869"/>
      <c r="I317" s="869"/>
      <c r="J317" s="869"/>
      <c r="K317" s="869"/>
      <c r="L317" s="869"/>
      <c r="M317" s="869"/>
      <c r="N317" s="869"/>
      <c r="O317" s="869"/>
      <c r="P317" s="869"/>
      <c r="Q317" s="869"/>
      <c r="R317" s="869"/>
      <c r="S317" s="869"/>
      <c r="T317" s="642"/>
      <c r="W317" s="627"/>
      <c r="X317" s="627"/>
      <c r="Y317" s="627"/>
      <c r="Z317" s="627"/>
      <c r="AG317" s="642"/>
    </row>
    <row r="318" spans="4:33">
      <c r="D318" s="869"/>
      <c r="E318" s="869"/>
      <c r="F318" s="869"/>
      <c r="G318" s="869"/>
      <c r="H318" s="869"/>
      <c r="I318" s="869"/>
      <c r="J318" s="869"/>
      <c r="K318" s="869"/>
      <c r="L318" s="869"/>
      <c r="M318" s="869"/>
      <c r="N318" s="869"/>
      <c r="O318" s="869"/>
      <c r="P318" s="869"/>
      <c r="Q318" s="869"/>
      <c r="R318" s="869"/>
      <c r="S318" s="869"/>
      <c r="T318" s="642"/>
      <c r="W318" s="627"/>
      <c r="X318" s="627"/>
      <c r="Y318" s="627"/>
      <c r="Z318" s="627"/>
      <c r="AG318" s="642"/>
    </row>
    <row r="319" spans="4:33">
      <c r="D319" s="869"/>
      <c r="E319" s="869"/>
      <c r="F319" s="869"/>
      <c r="G319" s="869"/>
      <c r="H319" s="869"/>
      <c r="I319" s="869"/>
      <c r="J319" s="869"/>
      <c r="K319" s="869"/>
      <c r="L319" s="869"/>
      <c r="M319" s="869"/>
      <c r="N319" s="869"/>
      <c r="O319" s="869"/>
      <c r="P319" s="869"/>
      <c r="Q319" s="869"/>
      <c r="R319" s="869"/>
      <c r="S319" s="869"/>
      <c r="T319" s="642"/>
      <c r="W319" s="627"/>
      <c r="X319" s="627"/>
      <c r="Y319" s="627"/>
      <c r="Z319" s="627"/>
      <c r="AG319" s="642"/>
    </row>
    <row r="320" spans="4:33">
      <c r="D320" s="869"/>
      <c r="E320" s="869"/>
      <c r="F320" s="869"/>
      <c r="G320" s="869"/>
      <c r="H320" s="869"/>
      <c r="I320" s="869"/>
      <c r="J320" s="869"/>
      <c r="K320" s="869"/>
      <c r="L320" s="869"/>
      <c r="M320" s="869"/>
      <c r="N320" s="869"/>
      <c r="O320" s="869"/>
      <c r="P320" s="869"/>
      <c r="Q320" s="869"/>
      <c r="R320" s="869"/>
      <c r="S320" s="869"/>
      <c r="T320" s="642"/>
      <c r="W320" s="627"/>
      <c r="X320" s="627"/>
      <c r="Y320" s="627"/>
      <c r="Z320" s="627"/>
      <c r="AG320" s="642"/>
    </row>
    <row r="321" spans="4:33">
      <c r="D321" s="869"/>
      <c r="E321" s="869"/>
      <c r="F321" s="869"/>
      <c r="G321" s="869"/>
      <c r="H321" s="869"/>
      <c r="I321" s="869"/>
      <c r="J321" s="869"/>
      <c r="K321" s="869"/>
      <c r="L321" s="869"/>
      <c r="M321" s="869"/>
      <c r="N321" s="869"/>
      <c r="O321" s="869"/>
      <c r="P321" s="869"/>
      <c r="Q321" s="869"/>
      <c r="R321" s="869"/>
      <c r="S321" s="869"/>
      <c r="T321" s="642"/>
      <c r="W321" s="627"/>
      <c r="X321" s="627"/>
      <c r="Y321" s="627"/>
      <c r="Z321" s="627"/>
      <c r="AG321" s="642"/>
    </row>
    <row r="322" spans="4:33">
      <c r="D322" s="869"/>
      <c r="E322" s="869"/>
      <c r="F322" s="869"/>
      <c r="G322" s="869"/>
      <c r="H322" s="869"/>
      <c r="I322" s="869"/>
      <c r="J322" s="869"/>
      <c r="K322" s="869"/>
      <c r="L322" s="869"/>
      <c r="M322" s="869"/>
      <c r="N322" s="869"/>
      <c r="O322" s="869"/>
      <c r="P322" s="869"/>
      <c r="Q322" s="869"/>
      <c r="R322" s="869"/>
      <c r="S322" s="869"/>
      <c r="T322" s="642"/>
      <c r="W322" s="627"/>
      <c r="X322" s="627"/>
      <c r="Y322" s="627"/>
      <c r="Z322" s="627"/>
      <c r="AG322" s="642"/>
    </row>
    <row r="323" spans="4:33">
      <c r="D323" s="869"/>
      <c r="E323" s="869"/>
      <c r="F323" s="869"/>
      <c r="G323" s="869"/>
      <c r="H323" s="869"/>
      <c r="I323" s="869"/>
      <c r="J323" s="869"/>
      <c r="K323" s="869"/>
      <c r="L323" s="869"/>
      <c r="M323" s="869"/>
      <c r="N323" s="869"/>
      <c r="O323" s="869"/>
      <c r="P323" s="869"/>
      <c r="Q323" s="869"/>
      <c r="R323" s="869"/>
      <c r="S323" s="869"/>
      <c r="T323" s="642"/>
      <c r="W323" s="627"/>
      <c r="X323" s="627"/>
      <c r="Y323" s="627"/>
      <c r="Z323" s="627"/>
      <c r="AG323" s="642"/>
    </row>
    <row r="324" spans="4:33">
      <c r="D324" s="869"/>
      <c r="E324" s="869"/>
      <c r="F324" s="869"/>
      <c r="G324" s="869"/>
      <c r="H324" s="869"/>
      <c r="I324" s="869"/>
      <c r="J324" s="869"/>
      <c r="K324" s="869"/>
      <c r="L324" s="869"/>
      <c r="M324" s="869"/>
      <c r="N324" s="869"/>
      <c r="O324" s="869"/>
      <c r="P324" s="869"/>
      <c r="Q324" s="869"/>
      <c r="R324" s="869"/>
      <c r="S324" s="869"/>
      <c r="T324" s="642"/>
      <c r="W324" s="627"/>
      <c r="X324" s="627"/>
      <c r="Y324" s="627"/>
      <c r="Z324" s="627"/>
      <c r="AG324" s="642"/>
    </row>
    <row r="325" spans="4:33">
      <c r="D325" s="869"/>
      <c r="E325" s="869"/>
      <c r="F325" s="869"/>
      <c r="G325" s="869"/>
      <c r="H325" s="869"/>
      <c r="I325" s="869"/>
      <c r="J325" s="869"/>
      <c r="K325" s="869"/>
      <c r="L325" s="869"/>
      <c r="M325" s="869"/>
      <c r="N325" s="869"/>
      <c r="O325" s="869"/>
      <c r="P325" s="869"/>
      <c r="Q325" s="869"/>
      <c r="R325" s="869"/>
      <c r="S325" s="869"/>
      <c r="T325" s="642"/>
      <c r="W325" s="627"/>
      <c r="X325" s="627"/>
      <c r="Y325" s="627"/>
      <c r="Z325" s="627"/>
      <c r="AG325" s="642"/>
    </row>
    <row r="326" spans="4:33">
      <c r="D326" s="869"/>
      <c r="E326" s="869"/>
      <c r="F326" s="869"/>
      <c r="G326" s="869"/>
      <c r="H326" s="869"/>
      <c r="I326" s="869"/>
      <c r="J326" s="869"/>
      <c r="K326" s="869"/>
      <c r="L326" s="869"/>
      <c r="M326" s="869"/>
      <c r="N326" s="869"/>
      <c r="O326" s="869"/>
      <c r="P326" s="869"/>
      <c r="Q326" s="869"/>
      <c r="R326" s="869"/>
      <c r="S326" s="869"/>
      <c r="T326" s="642"/>
      <c r="W326" s="627"/>
      <c r="X326" s="627"/>
      <c r="Y326" s="627"/>
      <c r="Z326" s="627"/>
      <c r="AG326" s="642"/>
    </row>
    <row r="327" spans="4:33">
      <c r="D327" s="869"/>
      <c r="E327" s="869"/>
      <c r="F327" s="869"/>
      <c r="G327" s="869"/>
      <c r="H327" s="869"/>
      <c r="I327" s="869"/>
      <c r="J327" s="869"/>
      <c r="K327" s="869"/>
      <c r="L327" s="869"/>
      <c r="M327" s="869"/>
      <c r="N327" s="869"/>
      <c r="O327" s="869"/>
      <c r="P327" s="869"/>
      <c r="Q327" s="869"/>
      <c r="R327" s="869"/>
      <c r="S327" s="869"/>
      <c r="T327" s="642"/>
      <c r="W327" s="627"/>
      <c r="X327" s="627"/>
      <c r="Y327" s="627"/>
      <c r="Z327" s="627"/>
      <c r="AG327" s="642"/>
    </row>
    <row r="328" spans="4:33">
      <c r="D328" s="869"/>
      <c r="E328" s="869"/>
      <c r="F328" s="869"/>
      <c r="G328" s="869"/>
      <c r="H328" s="869"/>
      <c r="I328" s="869"/>
      <c r="J328" s="869"/>
      <c r="K328" s="869"/>
      <c r="L328" s="869"/>
      <c r="M328" s="869"/>
      <c r="N328" s="869"/>
      <c r="O328" s="869"/>
      <c r="P328" s="869"/>
      <c r="Q328" s="869"/>
      <c r="R328" s="869"/>
      <c r="S328" s="869"/>
      <c r="T328" s="642"/>
      <c r="W328" s="627"/>
      <c r="X328" s="627"/>
      <c r="Y328" s="627"/>
      <c r="Z328" s="627"/>
      <c r="AG328" s="642"/>
    </row>
    <row r="329" spans="4:33">
      <c r="D329" s="869"/>
      <c r="E329" s="869"/>
      <c r="F329" s="869"/>
      <c r="G329" s="869"/>
      <c r="H329" s="869"/>
      <c r="I329" s="869"/>
      <c r="J329" s="869"/>
      <c r="K329" s="869"/>
      <c r="L329" s="869"/>
      <c r="M329" s="869"/>
      <c r="N329" s="869"/>
      <c r="O329" s="869"/>
      <c r="P329" s="869"/>
      <c r="Q329" s="869"/>
      <c r="R329" s="869"/>
      <c r="S329" s="869"/>
      <c r="T329" s="642"/>
      <c r="W329" s="627"/>
      <c r="X329" s="627"/>
      <c r="Y329" s="627"/>
      <c r="Z329" s="627"/>
      <c r="AG329" s="642"/>
    </row>
    <row r="330" spans="4:33">
      <c r="D330" s="869"/>
      <c r="E330" s="869"/>
      <c r="F330" s="869"/>
      <c r="G330" s="869"/>
      <c r="H330" s="869"/>
      <c r="I330" s="869"/>
      <c r="J330" s="869"/>
      <c r="K330" s="869"/>
      <c r="L330" s="869"/>
      <c r="M330" s="869"/>
      <c r="N330" s="869"/>
      <c r="O330" s="869"/>
      <c r="P330" s="869"/>
      <c r="Q330" s="869"/>
      <c r="R330" s="869"/>
      <c r="S330" s="869"/>
      <c r="T330" s="642"/>
      <c r="W330" s="627"/>
      <c r="X330" s="627"/>
      <c r="Y330" s="627"/>
      <c r="Z330" s="627"/>
      <c r="AG330" s="642"/>
    </row>
    <row r="331" spans="4:33">
      <c r="D331" s="869"/>
      <c r="E331" s="869"/>
      <c r="F331" s="869"/>
      <c r="G331" s="869"/>
      <c r="H331" s="869"/>
      <c r="I331" s="869"/>
      <c r="J331" s="869"/>
      <c r="K331" s="869"/>
      <c r="L331" s="869"/>
      <c r="M331" s="869"/>
      <c r="N331" s="869"/>
      <c r="O331" s="869"/>
      <c r="P331" s="869"/>
      <c r="Q331" s="869"/>
      <c r="R331" s="869"/>
      <c r="S331" s="869"/>
      <c r="T331" s="642"/>
      <c r="W331" s="627"/>
      <c r="X331" s="627"/>
      <c r="Y331" s="627"/>
      <c r="Z331" s="627"/>
      <c r="AG331" s="642"/>
    </row>
    <row r="332" spans="4:33">
      <c r="D332" s="869"/>
      <c r="E332" s="869"/>
      <c r="F332" s="869"/>
      <c r="G332" s="869"/>
      <c r="H332" s="869"/>
      <c r="I332" s="869"/>
      <c r="J332" s="869"/>
      <c r="K332" s="869"/>
      <c r="L332" s="869"/>
      <c r="M332" s="869"/>
      <c r="N332" s="869"/>
      <c r="O332" s="869"/>
      <c r="P332" s="869"/>
      <c r="Q332" s="869"/>
      <c r="R332" s="869"/>
      <c r="S332" s="869"/>
      <c r="T332" s="642"/>
      <c r="W332" s="627"/>
      <c r="X332" s="627"/>
      <c r="Y332" s="627"/>
      <c r="Z332" s="627"/>
      <c r="AG332" s="642"/>
    </row>
    <row r="333" spans="4:33">
      <c r="D333" s="869"/>
      <c r="E333" s="869"/>
      <c r="F333" s="869"/>
      <c r="G333" s="869"/>
      <c r="H333" s="869"/>
      <c r="I333" s="869"/>
      <c r="J333" s="869"/>
      <c r="K333" s="869"/>
      <c r="L333" s="869"/>
      <c r="M333" s="869"/>
      <c r="N333" s="869"/>
      <c r="O333" s="869"/>
      <c r="P333" s="869"/>
      <c r="Q333" s="869"/>
      <c r="R333" s="869"/>
      <c r="S333" s="869"/>
      <c r="T333" s="642"/>
      <c r="W333" s="627"/>
      <c r="X333" s="627"/>
      <c r="Y333" s="627"/>
      <c r="Z333" s="627"/>
      <c r="AG333" s="642"/>
    </row>
    <row r="334" spans="4:33">
      <c r="D334" s="869"/>
      <c r="E334" s="869"/>
      <c r="F334" s="869"/>
      <c r="G334" s="869"/>
      <c r="H334" s="869"/>
      <c r="I334" s="869"/>
      <c r="J334" s="869"/>
      <c r="K334" s="869"/>
      <c r="L334" s="869"/>
      <c r="M334" s="869"/>
      <c r="N334" s="869"/>
      <c r="O334" s="869"/>
      <c r="P334" s="869"/>
      <c r="Q334" s="869"/>
      <c r="R334" s="869"/>
      <c r="S334" s="869"/>
      <c r="T334" s="642"/>
      <c r="W334" s="627"/>
      <c r="X334" s="627"/>
      <c r="Y334" s="627"/>
      <c r="Z334" s="627"/>
      <c r="AG334" s="642"/>
    </row>
    <row r="335" spans="4:33">
      <c r="D335" s="869"/>
      <c r="E335" s="869"/>
      <c r="F335" s="869"/>
      <c r="G335" s="869"/>
      <c r="H335" s="869"/>
      <c r="I335" s="869"/>
      <c r="J335" s="869"/>
      <c r="K335" s="869"/>
      <c r="L335" s="869"/>
      <c r="M335" s="869"/>
      <c r="N335" s="869"/>
      <c r="O335" s="869"/>
      <c r="P335" s="869"/>
      <c r="Q335" s="869"/>
      <c r="R335" s="869"/>
      <c r="S335" s="869"/>
      <c r="T335" s="642"/>
      <c r="W335" s="627"/>
      <c r="X335" s="627"/>
      <c r="Y335" s="627"/>
      <c r="Z335" s="627"/>
      <c r="AG335" s="642"/>
    </row>
    <row r="336" spans="4:33">
      <c r="D336" s="869"/>
      <c r="E336" s="869"/>
      <c r="F336" s="869"/>
      <c r="G336" s="869"/>
      <c r="H336" s="869"/>
      <c r="I336" s="869"/>
      <c r="J336" s="869"/>
      <c r="K336" s="869"/>
      <c r="L336" s="869"/>
      <c r="M336" s="869"/>
      <c r="N336" s="869"/>
      <c r="O336" s="869"/>
      <c r="P336" s="869"/>
      <c r="Q336" s="869"/>
      <c r="R336" s="869"/>
      <c r="S336" s="869"/>
      <c r="T336" s="642"/>
      <c r="W336" s="627"/>
      <c r="X336" s="627"/>
      <c r="Y336" s="627"/>
      <c r="Z336" s="627"/>
      <c r="AG336" s="642"/>
    </row>
    <row r="337" spans="4:33">
      <c r="D337" s="869"/>
      <c r="E337" s="869"/>
      <c r="F337" s="869"/>
      <c r="G337" s="869"/>
      <c r="H337" s="869"/>
      <c r="I337" s="869"/>
      <c r="J337" s="869"/>
      <c r="K337" s="869"/>
      <c r="L337" s="869"/>
      <c r="M337" s="869"/>
      <c r="N337" s="869"/>
      <c r="O337" s="869"/>
      <c r="P337" s="869"/>
      <c r="Q337" s="869"/>
      <c r="R337" s="869"/>
      <c r="S337" s="869"/>
      <c r="T337" s="642"/>
      <c r="W337" s="627"/>
      <c r="X337" s="627"/>
      <c r="Y337" s="627"/>
      <c r="Z337" s="627"/>
      <c r="AG337" s="642"/>
    </row>
    <row r="338" spans="4:33">
      <c r="D338" s="869"/>
      <c r="E338" s="869"/>
      <c r="F338" s="869"/>
      <c r="G338" s="869"/>
      <c r="H338" s="869"/>
      <c r="I338" s="869"/>
      <c r="J338" s="869"/>
      <c r="K338" s="869"/>
      <c r="L338" s="869"/>
      <c r="M338" s="869"/>
      <c r="N338" s="869"/>
      <c r="O338" s="869"/>
      <c r="P338" s="869"/>
      <c r="Q338" s="869"/>
      <c r="R338" s="869"/>
      <c r="S338" s="869"/>
      <c r="T338" s="642"/>
      <c r="W338" s="627"/>
      <c r="X338" s="627"/>
      <c r="Y338" s="627"/>
      <c r="Z338" s="627"/>
      <c r="AG338" s="642"/>
    </row>
    <row r="339" spans="4:33">
      <c r="D339" s="869"/>
      <c r="E339" s="869"/>
      <c r="F339" s="869"/>
      <c r="G339" s="869"/>
      <c r="H339" s="869"/>
      <c r="I339" s="869"/>
      <c r="J339" s="869"/>
      <c r="K339" s="869"/>
      <c r="L339" s="869"/>
      <c r="M339" s="869"/>
      <c r="N339" s="869"/>
      <c r="O339" s="869"/>
      <c r="P339" s="869"/>
      <c r="Q339" s="869"/>
      <c r="R339" s="869"/>
      <c r="S339" s="869"/>
      <c r="T339" s="642"/>
      <c r="W339" s="627"/>
      <c r="X339" s="627"/>
      <c r="Y339" s="627"/>
      <c r="Z339" s="627"/>
      <c r="AG339" s="642"/>
    </row>
    <row r="340" spans="4:33">
      <c r="D340" s="869"/>
      <c r="E340" s="869"/>
      <c r="F340" s="869"/>
      <c r="G340" s="869"/>
      <c r="H340" s="869"/>
      <c r="I340" s="869"/>
      <c r="J340" s="869"/>
      <c r="K340" s="869"/>
      <c r="L340" s="869"/>
      <c r="M340" s="869"/>
      <c r="N340" s="869"/>
      <c r="O340" s="869"/>
      <c r="P340" s="869"/>
      <c r="Q340" s="869"/>
      <c r="R340" s="869"/>
      <c r="S340" s="869"/>
      <c r="T340" s="642"/>
      <c r="W340" s="627"/>
      <c r="X340" s="627"/>
      <c r="Y340" s="627"/>
      <c r="Z340" s="627"/>
      <c r="AG340" s="642"/>
    </row>
    <row r="341" spans="4:33">
      <c r="D341" s="869"/>
      <c r="E341" s="869"/>
      <c r="F341" s="869"/>
      <c r="G341" s="869"/>
      <c r="H341" s="869"/>
      <c r="I341" s="869"/>
      <c r="J341" s="869"/>
      <c r="K341" s="869"/>
      <c r="L341" s="869"/>
      <c r="M341" s="869"/>
      <c r="N341" s="869"/>
      <c r="O341" s="869"/>
      <c r="P341" s="869"/>
      <c r="Q341" s="869"/>
      <c r="R341" s="869"/>
      <c r="S341" s="869"/>
      <c r="T341" s="642"/>
      <c r="W341" s="627"/>
      <c r="X341" s="627"/>
      <c r="Y341" s="627"/>
      <c r="Z341" s="627"/>
      <c r="AG341" s="642"/>
    </row>
    <row r="342" spans="4:33">
      <c r="D342" s="869"/>
      <c r="E342" s="869"/>
      <c r="F342" s="869"/>
      <c r="G342" s="869"/>
      <c r="H342" s="869"/>
      <c r="I342" s="869"/>
      <c r="J342" s="869"/>
      <c r="K342" s="869"/>
      <c r="L342" s="869"/>
      <c r="M342" s="869"/>
      <c r="N342" s="869"/>
      <c r="O342" s="869"/>
      <c r="P342" s="869"/>
      <c r="Q342" s="869"/>
      <c r="R342" s="869"/>
      <c r="S342" s="869"/>
      <c r="T342" s="642"/>
      <c r="W342" s="627"/>
      <c r="X342" s="627"/>
      <c r="Y342" s="627"/>
      <c r="Z342" s="627"/>
      <c r="AG342" s="642"/>
    </row>
    <row r="343" spans="4:33">
      <c r="D343" s="869"/>
      <c r="E343" s="869"/>
      <c r="F343" s="869"/>
      <c r="G343" s="869"/>
      <c r="H343" s="869"/>
      <c r="I343" s="869"/>
      <c r="J343" s="869"/>
      <c r="K343" s="869"/>
      <c r="L343" s="869"/>
      <c r="M343" s="869"/>
      <c r="N343" s="869"/>
      <c r="O343" s="869"/>
      <c r="P343" s="869"/>
      <c r="Q343" s="869"/>
      <c r="R343" s="869"/>
      <c r="S343" s="869"/>
      <c r="T343" s="642"/>
      <c r="W343" s="627"/>
      <c r="X343" s="627"/>
      <c r="Y343" s="627"/>
      <c r="Z343" s="627"/>
      <c r="AG343" s="642"/>
    </row>
    <row r="344" spans="4:33">
      <c r="D344" s="869"/>
      <c r="E344" s="869"/>
      <c r="F344" s="869"/>
      <c r="G344" s="869"/>
      <c r="H344" s="869"/>
      <c r="I344" s="869"/>
      <c r="J344" s="869"/>
      <c r="K344" s="869"/>
      <c r="L344" s="869"/>
      <c r="M344" s="869"/>
      <c r="N344" s="869"/>
      <c r="O344" s="869"/>
      <c r="P344" s="869"/>
      <c r="Q344" s="869"/>
      <c r="R344" s="869"/>
      <c r="S344" s="869"/>
      <c r="T344" s="642"/>
      <c r="W344" s="627"/>
      <c r="X344" s="627"/>
      <c r="Y344" s="627"/>
      <c r="Z344" s="627"/>
      <c r="AG344" s="642"/>
    </row>
    <row r="345" spans="4:33">
      <c r="D345" s="869"/>
      <c r="E345" s="869"/>
      <c r="F345" s="869"/>
      <c r="G345" s="869"/>
      <c r="H345" s="869"/>
      <c r="I345" s="869"/>
      <c r="J345" s="869"/>
      <c r="K345" s="869"/>
      <c r="L345" s="869"/>
      <c r="M345" s="869"/>
      <c r="N345" s="869"/>
      <c r="O345" s="869"/>
      <c r="P345" s="869"/>
      <c r="Q345" s="869"/>
      <c r="R345" s="869"/>
      <c r="S345" s="869"/>
      <c r="T345" s="642"/>
      <c r="W345" s="627"/>
      <c r="X345" s="627"/>
      <c r="Y345" s="627"/>
      <c r="Z345" s="627"/>
      <c r="AG345" s="642"/>
    </row>
    <row r="346" spans="4:33">
      <c r="D346" s="869"/>
      <c r="E346" s="869"/>
      <c r="F346" s="869"/>
      <c r="G346" s="869"/>
      <c r="H346" s="869"/>
      <c r="I346" s="869"/>
      <c r="J346" s="869"/>
      <c r="K346" s="869"/>
      <c r="L346" s="869"/>
      <c r="M346" s="869"/>
      <c r="N346" s="869"/>
      <c r="O346" s="869"/>
      <c r="P346" s="869"/>
      <c r="Q346" s="869"/>
      <c r="R346" s="869"/>
      <c r="S346" s="869"/>
      <c r="T346" s="642"/>
      <c r="W346" s="627"/>
      <c r="X346" s="627"/>
      <c r="Y346" s="627"/>
      <c r="Z346" s="627"/>
      <c r="AG346" s="642"/>
    </row>
    <row r="347" spans="4:33">
      <c r="D347" s="869"/>
      <c r="E347" s="869"/>
      <c r="F347" s="869"/>
      <c r="G347" s="869"/>
      <c r="H347" s="869"/>
      <c r="I347" s="869"/>
      <c r="J347" s="869"/>
      <c r="K347" s="869"/>
      <c r="L347" s="869"/>
      <c r="M347" s="869"/>
      <c r="N347" s="869"/>
      <c r="O347" s="869"/>
      <c r="P347" s="869"/>
      <c r="Q347" s="869"/>
      <c r="R347" s="869"/>
      <c r="S347" s="869"/>
      <c r="T347" s="642"/>
      <c r="W347" s="627"/>
      <c r="X347" s="627"/>
      <c r="Y347" s="627"/>
      <c r="Z347" s="627"/>
      <c r="AG347" s="642"/>
    </row>
    <row r="348" spans="4:33">
      <c r="D348" s="869"/>
      <c r="E348" s="869"/>
      <c r="F348" s="869"/>
      <c r="G348" s="869"/>
      <c r="H348" s="869"/>
      <c r="I348" s="869"/>
      <c r="J348" s="869"/>
      <c r="K348" s="869"/>
      <c r="L348" s="869"/>
      <c r="M348" s="869"/>
      <c r="N348" s="869"/>
      <c r="O348" s="869"/>
      <c r="P348" s="869"/>
      <c r="Q348" s="869"/>
      <c r="R348" s="869"/>
      <c r="S348" s="869"/>
      <c r="T348" s="642"/>
      <c r="W348" s="627"/>
      <c r="X348" s="627"/>
      <c r="Y348" s="627"/>
      <c r="Z348" s="627"/>
      <c r="AG348" s="642"/>
    </row>
    <row r="349" spans="4:33">
      <c r="D349" s="869"/>
      <c r="E349" s="869"/>
      <c r="F349" s="869"/>
      <c r="G349" s="869"/>
      <c r="H349" s="869"/>
      <c r="I349" s="869"/>
      <c r="J349" s="869"/>
      <c r="K349" s="869"/>
      <c r="L349" s="869"/>
      <c r="M349" s="869"/>
      <c r="N349" s="869"/>
      <c r="O349" s="869"/>
      <c r="P349" s="869"/>
      <c r="Q349" s="869"/>
      <c r="R349" s="869"/>
      <c r="S349" s="869"/>
      <c r="T349" s="642"/>
      <c r="W349" s="627"/>
      <c r="X349" s="627"/>
      <c r="Y349" s="627"/>
      <c r="Z349" s="627"/>
      <c r="AG349" s="642"/>
    </row>
    <row r="350" spans="4:33">
      <c r="D350" s="869"/>
      <c r="E350" s="869"/>
      <c r="F350" s="869"/>
      <c r="G350" s="869"/>
      <c r="H350" s="869"/>
      <c r="I350" s="869"/>
      <c r="J350" s="869"/>
      <c r="K350" s="869"/>
      <c r="L350" s="869"/>
      <c r="M350" s="869"/>
      <c r="N350" s="869"/>
      <c r="O350" s="869"/>
      <c r="P350" s="869"/>
      <c r="Q350" s="869"/>
      <c r="R350" s="869"/>
      <c r="S350" s="869"/>
      <c r="T350" s="642"/>
      <c r="W350" s="627"/>
      <c r="X350" s="627"/>
      <c r="Y350" s="627"/>
      <c r="Z350" s="627"/>
      <c r="AG350" s="642"/>
    </row>
    <row r="351" spans="4:33">
      <c r="D351" s="869"/>
      <c r="E351" s="869"/>
      <c r="F351" s="869"/>
      <c r="G351" s="869"/>
      <c r="H351" s="869"/>
      <c r="I351" s="869"/>
      <c r="J351" s="869"/>
      <c r="K351" s="869"/>
      <c r="L351" s="869"/>
      <c r="M351" s="869"/>
      <c r="N351" s="869"/>
      <c r="O351" s="869"/>
      <c r="P351" s="869"/>
      <c r="Q351" s="869"/>
      <c r="R351" s="869"/>
      <c r="S351" s="869"/>
      <c r="T351" s="642"/>
      <c r="W351" s="627"/>
      <c r="X351" s="627"/>
      <c r="Y351" s="627"/>
      <c r="Z351" s="627"/>
      <c r="AG351" s="642"/>
    </row>
    <row r="352" spans="4:33">
      <c r="D352" s="869"/>
      <c r="E352" s="869"/>
      <c r="F352" s="869"/>
      <c r="G352" s="869"/>
      <c r="H352" s="869"/>
      <c r="I352" s="869"/>
      <c r="J352" s="869"/>
      <c r="K352" s="869"/>
      <c r="L352" s="869"/>
      <c r="M352" s="869"/>
      <c r="N352" s="869"/>
      <c r="O352" s="869"/>
      <c r="P352" s="869"/>
      <c r="Q352" s="869"/>
      <c r="R352" s="869"/>
      <c r="S352" s="869"/>
      <c r="T352" s="642"/>
      <c r="W352" s="627"/>
      <c r="X352" s="627"/>
      <c r="Y352" s="627"/>
      <c r="Z352" s="627"/>
      <c r="AG352" s="642"/>
    </row>
    <row r="353" spans="4:33">
      <c r="D353" s="869"/>
      <c r="E353" s="869"/>
      <c r="F353" s="869"/>
      <c r="G353" s="869"/>
      <c r="H353" s="869"/>
      <c r="I353" s="869"/>
      <c r="J353" s="869"/>
      <c r="K353" s="869"/>
      <c r="L353" s="869"/>
      <c r="M353" s="869"/>
      <c r="N353" s="869"/>
      <c r="O353" s="869"/>
      <c r="P353" s="869"/>
      <c r="Q353" s="869"/>
      <c r="R353" s="869"/>
      <c r="S353" s="869"/>
      <c r="T353" s="642"/>
      <c r="W353" s="627"/>
      <c r="X353" s="627"/>
      <c r="Y353" s="627"/>
      <c r="Z353" s="627"/>
      <c r="AG353" s="642"/>
    </row>
    <row r="354" spans="4:33">
      <c r="D354" s="869"/>
      <c r="E354" s="869"/>
      <c r="F354" s="869"/>
      <c r="G354" s="869"/>
      <c r="H354" s="869"/>
      <c r="I354" s="869"/>
      <c r="J354" s="869"/>
      <c r="K354" s="869"/>
      <c r="L354" s="869"/>
      <c r="M354" s="869"/>
      <c r="N354" s="869"/>
      <c r="O354" s="869"/>
      <c r="P354" s="869"/>
      <c r="Q354" s="869"/>
      <c r="R354" s="869"/>
      <c r="S354" s="869"/>
      <c r="T354" s="642"/>
      <c r="W354" s="627"/>
      <c r="X354" s="627"/>
      <c r="Y354" s="627"/>
      <c r="Z354" s="627"/>
      <c r="AG354" s="642"/>
    </row>
    <row r="355" spans="4:33">
      <c r="D355" s="869"/>
      <c r="E355" s="869"/>
      <c r="F355" s="869"/>
      <c r="G355" s="869"/>
      <c r="H355" s="869"/>
      <c r="I355" s="869"/>
      <c r="J355" s="869"/>
      <c r="K355" s="869"/>
      <c r="L355" s="869"/>
      <c r="M355" s="869"/>
      <c r="N355" s="869"/>
      <c r="O355" s="869"/>
      <c r="P355" s="869"/>
      <c r="Q355" s="869"/>
      <c r="R355" s="869"/>
      <c r="S355" s="869"/>
      <c r="T355" s="642"/>
      <c r="W355" s="627"/>
      <c r="X355" s="627"/>
      <c r="Y355" s="627"/>
      <c r="Z355" s="627"/>
      <c r="AG355" s="642"/>
    </row>
    <row r="356" spans="4:33">
      <c r="D356" s="869"/>
      <c r="E356" s="869"/>
      <c r="F356" s="869"/>
      <c r="G356" s="869"/>
      <c r="H356" s="869"/>
      <c r="I356" s="869"/>
      <c r="J356" s="869"/>
      <c r="K356" s="869"/>
      <c r="L356" s="869"/>
      <c r="M356" s="869"/>
      <c r="N356" s="869"/>
      <c r="O356" s="869"/>
      <c r="P356" s="869"/>
      <c r="Q356" s="869"/>
      <c r="R356" s="869"/>
      <c r="S356" s="869"/>
      <c r="T356" s="642"/>
      <c r="W356" s="627"/>
      <c r="X356" s="627"/>
      <c r="Y356" s="627"/>
      <c r="Z356" s="627"/>
      <c r="AG356" s="642"/>
    </row>
    <row r="357" spans="4:33">
      <c r="D357" s="869"/>
      <c r="E357" s="869"/>
      <c r="F357" s="869"/>
      <c r="G357" s="869"/>
      <c r="H357" s="869"/>
      <c r="I357" s="869"/>
      <c r="J357" s="869"/>
      <c r="K357" s="869"/>
      <c r="L357" s="869"/>
      <c r="M357" s="869"/>
      <c r="N357" s="869"/>
      <c r="O357" s="869"/>
      <c r="P357" s="869"/>
      <c r="Q357" s="869"/>
      <c r="R357" s="869"/>
      <c r="S357" s="869"/>
      <c r="T357" s="642"/>
      <c r="W357" s="627"/>
      <c r="X357" s="627"/>
      <c r="Y357" s="627"/>
      <c r="Z357" s="627"/>
      <c r="AG357" s="642"/>
    </row>
    <row r="358" spans="4:33">
      <c r="D358" s="869"/>
      <c r="E358" s="869"/>
      <c r="F358" s="869"/>
      <c r="G358" s="869"/>
      <c r="H358" s="869"/>
      <c r="I358" s="869"/>
      <c r="J358" s="869"/>
      <c r="K358" s="869"/>
      <c r="L358" s="869"/>
      <c r="M358" s="869"/>
      <c r="N358" s="869"/>
      <c r="O358" s="869"/>
      <c r="P358" s="869"/>
      <c r="Q358" s="869"/>
      <c r="R358" s="869"/>
      <c r="S358" s="869"/>
      <c r="T358" s="642"/>
      <c r="W358" s="627"/>
      <c r="X358" s="627"/>
      <c r="Y358" s="627"/>
      <c r="Z358" s="627"/>
      <c r="AG358" s="642"/>
    </row>
    <row r="359" spans="4:33">
      <c r="D359" s="869"/>
      <c r="E359" s="869"/>
      <c r="F359" s="869"/>
      <c r="G359" s="869"/>
      <c r="H359" s="869"/>
      <c r="I359" s="869"/>
      <c r="J359" s="869"/>
      <c r="K359" s="869"/>
      <c r="L359" s="869"/>
      <c r="M359" s="869"/>
      <c r="N359" s="869"/>
      <c r="O359" s="869"/>
      <c r="P359" s="869"/>
      <c r="Q359" s="869"/>
      <c r="R359" s="869"/>
      <c r="S359" s="869"/>
      <c r="T359" s="642"/>
      <c r="W359" s="627"/>
      <c r="X359" s="627"/>
      <c r="Y359" s="627"/>
      <c r="Z359" s="627"/>
      <c r="AG359" s="642"/>
    </row>
    <row r="360" spans="4:33">
      <c r="D360" s="869"/>
      <c r="E360" s="869"/>
      <c r="F360" s="869"/>
      <c r="G360" s="869"/>
      <c r="H360" s="869"/>
      <c r="I360" s="869"/>
      <c r="J360" s="869"/>
      <c r="K360" s="869"/>
      <c r="L360" s="869"/>
      <c r="M360" s="869"/>
      <c r="N360" s="869"/>
      <c r="O360" s="869"/>
      <c r="P360" s="869"/>
      <c r="Q360" s="869"/>
      <c r="R360" s="869"/>
      <c r="S360" s="869"/>
      <c r="T360" s="642"/>
      <c r="W360" s="627"/>
      <c r="X360" s="627"/>
      <c r="Y360" s="627"/>
      <c r="Z360" s="627"/>
      <c r="AG360" s="642"/>
    </row>
    <row r="361" spans="4:33">
      <c r="D361" s="869"/>
      <c r="E361" s="869"/>
      <c r="F361" s="869"/>
      <c r="G361" s="869"/>
      <c r="H361" s="869"/>
      <c r="I361" s="869"/>
      <c r="J361" s="869"/>
      <c r="K361" s="869"/>
      <c r="L361" s="869"/>
      <c r="M361" s="869"/>
      <c r="N361" s="869"/>
      <c r="O361" s="869"/>
      <c r="P361" s="869"/>
      <c r="Q361" s="869"/>
      <c r="R361" s="869"/>
      <c r="S361" s="869"/>
      <c r="T361" s="642"/>
      <c r="W361" s="627"/>
      <c r="X361" s="627"/>
      <c r="Y361" s="627"/>
      <c r="Z361" s="627"/>
      <c r="AG361" s="642"/>
    </row>
    <row r="362" spans="4:33">
      <c r="D362" s="869"/>
      <c r="E362" s="869"/>
      <c r="F362" s="869"/>
      <c r="G362" s="869"/>
      <c r="H362" s="869"/>
      <c r="I362" s="869"/>
      <c r="J362" s="869"/>
      <c r="K362" s="869"/>
      <c r="L362" s="869"/>
      <c r="M362" s="869"/>
      <c r="N362" s="869"/>
      <c r="O362" s="869"/>
      <c r="P362" s="869"/>
      <c r="Q362" s="869"/>
      <c r="R362" s="869"/>
      <c r="S362" s="869"/>
      <c r="T362" s="642"/>
      <c r="W362" s="627"/>
      <c r="X362" s="627"/>
      <c r="Y362" s="627"/>
      <c r="Z362" s="627"/>
      <c r="AG362" s="642"/>
    </row>
    <row r="363" spans="4:33">
      <c r="D363" s="869"/>
      <c r="E363" s="869"/>
      <c r="F363" s="869"/>
      <c r="G363" s="869"/>
      <c r="H363" s="869"/>
      <c r="I363" s="869"/>
      <c r="J363" s="869"/>
      <c r="K363" s="869"/>
      <c r="L363" s="869"/>
      <c r="M363" s="869"/>
      <c r="N363" s="869"/>
      <c r="O363" s="869"/>
      <c r="P363" s="869"/>
      <c r="Q363" s="869"/>
      <c r="R363" s="869"/>
      <c r="S363" s="869"/>
      <c r="T363" s="642"/>
      <c r="W363" s="627"/>
      <c r="X363" s="627"/>
      <c r="Y363" s="627"/>
      <c r="Z363" s="627"/>
      <c r="AG363" s="642"/>
    </row>
    <row r="364" spans="4:33">
      <c r="D364" s="869"/>
      <c r="E364" s="869"/>
      <c r="F364" s="869"/>
      <c r="G364" s="869"/>
      <c r="H364" s="869"/>
      <c r="I364" s="869"/>
      <c r="J364" s="869"/>
      <c r="K364" s="869"/>
      <c r="L364" s="869"/>
      <c r="M364" s="869"/>
      <c r="N364" s="869"/>
      <c r="O364" s="869"/>
      <c r="P364" s="869"/>
      <c r="Q364" s="869"/>
      <c r="R364" s="869"/>
      <c r="S364" s="869"/>
      <c r="T364" s="642"/>
      <c r="W364" s="627"/>
      <c r="X364" s="627"/>
      <c r="Y364" s="627"/>
      <c r="Z364" s="627"/>
      <c r="AG364" s="642"/>
    </row>
    <row r="365" spans="4:33">
      <c r="D365" s="869"/>
      <c r="E365" s="869"/>
      <c r="F365" s="869"/>
      <c r="G365" s="869"/>
      <c r="H365" s="869"/>
      <c r="I365" s="869"/>
      <c r="J365" s="869"/>
      <c r="K365" s="869"/>
      <c r="L365" s="869"/>
      <c r="M365" s="869"/>
      <c r="N365" s="869"/>
      <c r="O365" s="869"/>
      <c r="P365" s="869"/>
      <c r="Q365" s="869"/>
      <c r="R365" s="869"/>
      <c r="S365" s="869"/>
      <c r="T365" s="642"/>
      <c r="W365" s="627"/>
      <c r="X365" s="627"/>
      <c r="Y365" s="627"/>
      <c r="Z365" s="627"/>
      <c r="AG365" s="642"/>
    </row>
    <row r="366" spans="4:33">
      <c r="D366" s="869"/>
      <c r="E366" s="869"/>
      <c r="F366" s="869"/>
      <c r="G366" s="869"/>
      <c r="H366" s="869"/>
      <c r="I366" s="869"/>
      <c r="J366" s="869"/>
      <c r="K366" s="869"/>
      <c r="L366" s="869"/>
      <c r="M366" s="869"/>
      <c r="N366" s="869"/>
      <c r="O366" s="869"/>
      <c r="P366" s="869"/>
      <c r="Q366" s="869"/>
      <c r="R366" s="869"/>
      <c r="S366" s="869"/>
      <c r="T366" s="642"/>
      <c r="W366" s="627"/>
      <c r="X366" s="627"/>
      <c r="Y366" s="627"/>
      <c r="Z366" s="627"/>
      <c r="AG366" s="642"/>
    </row>
    <row r="367" spans="4:33">
      <c r="D367" s="869"/>
      <c r="E367" s="869"/>
      <c r="F367" s="869"/>
      <c r="G367" s="869"/>
      <c r="H367" s="869"/>
      <c r="I367" s="869"/>
      <c r="J367" s="869"/>
      <c r="K367" s="869"/>
      <c r="L367" s="869"/>
      <c r="M367" s="869"/>
      <c r="N367" s="869"/>
      <c r="O367" s="869"/>
      <c r="P367" s="869"/>
      <c r="Q367" s="869"/>
      <c r="R367" s="869"/>
      <c r="S367" s="869"/>
      <c r="T367" s="642"/>
      <c r="W367" s="627"/>
      <c r="X367" s="627"/>
      <c r="Y367" s="627"/>
      <c r="Z367" s="627"/>
      <c r="AG367" s="642"/>
    </row>
    <row r="368" spans="4:33">
      <c r="D368" s="869"/>
      <c r="E368" s="869"/>
      <c r="F368" s="869"/>
      <c r="G368" s="869"/>
      <c r="H368" s="869"/>
      <c r="I368" s="869"/>
      <c r="J368" s="869"/>
      <c r="K368" s="869"/>
      <c r="L368" s="869"/>
      <c r="M368" s="869"/>
      <c r="N368" s="869"/>
      <c r="O368" s="869"/>
      <c r="P368" s="869"/>
      <c r="Q368" s="869"/>
      <c r="R368" s="869"/>
      <c r="S368" s="869"/>
      <c r="T368" s="642"/>
      <c r="W368" s="627"/>
      <c r="X368" s="627"/>
      <c r="Y368" s="627"/>
      <c r="Z368" s="627"/>
      <c r="AG368" s="642"/>
    </row>
    <row r="369" spans="4:33">
      <c r="D369" s="869"/>
      <c r="E369" s="869"/>
      <c r="F369" s="869"/>
      <c r="G369" s="869"/>
      <c r="H369" s="869"/>
      <c r="I369" s="869"/>
      <c r="J369" s="869"/>
      <c r="K369" s="869"/>
      <c r="L369" s="869"/>
      <c r="M369" s="869"/>
      <c r="N369" s="869"/>
      <c r="O369" s="869"/>
      <c r="P369" s="869"/>
      <c r="Q369" s="869"/>
      <c r="R369" s="869"/>
      <c r="S369" s="869"/>
      <c r="T369" s="642"/>
      <c r="W369" s="627"/>
      <c r="X369" s="627"/>
      <c r="Y369" s="627"/>
      <c r="Z369" s="627"/>
      <c r="AG369" s="642"/>
    </row>
    <row r="370" spans="4:33">
      <c r="D370" s="869"/>
      <c r="E370" s="869"/>
      <c r="F370" s="869"/>
      <c r="G370" s="869"/>
      <c r="H370" s="869"/>
      <c r="I370" s="869"/>
      <c r="J370" s="869"/>
      <c r="K370" s="869"/>
      <c r="L370" s="869"/>
      <c r="M370" s="869"/>
      <c r="N370" s="869"/>
      <c r="O370" s="869"/>
      <c r="P370" s="869"/>
      <c r="Q370" s="869"/>
      <c r="R370" s="869"/>
      <c r="S370" s="869"/>
      <c r="T370" s="642"/>
      <c r="W370" s="627"/>
      <c r="X370" s="627"/>
      <c r="Y370" s="627"/>
      <c r="Z370" s="627"/>
      <c r="AG370" s="642"/>
    </row>
    <row r="371" spans="4:33">
      <c r="D371" s="869"/>
      <c r="E371" s="869"/>
      <c r="F371" s="869"/>
      <c r="G371" s="869"/>
      <c r="H371" s="869"/>
      <c r="I371" s="869"/>
      <c r="J371" s="869"/>
      <c r="K371" s="869"/>
      <c r="L371" s="869"/>
      <c r="M371" s="869"/>
      <c r="N371" s="869"/>
      <c r="O371" s="869"/>
      <c r="P371" s="869"/>
      <c r="Q371" s="869"/>
      <c r="R371" s="869"/>
      <c r="S371" s="869"/>
      <c r="T371" s="642"/>
      <c r="W371" s="627"/>
      <c r="X371" s="627"/>
      <c r="Y371" s="627"/>
      <c r="Z371" s="627"/>
      <c r="AG371" s="642"/>
    </row>
    <row r="372" spans="4:33">
      <c r="D372" s="869"/>
      <c r="E372" s="869"/>
      <c r="F372" s="869"/>
      <c r="G372" s="869"/>
      <c r="H372" s="869"/>
      <c r="I372" s="869"/>
      <c r="J372" s="869"/>
      <c r="K372" s="869"/>
      <c r="L372" s="869"/>
      <c r="M372" s="869"/>
      <c r="N372" s="869"/>
      <c r="O372" s="869"/>
      <c r="P372" s="869"/>
      <c r="Q372" s="869"/>
      <c r="R372" s="869"/>
      <c r="S372" s="869"/>
      <c r="T372" s="642"/>
      <c r="W372" s="627"/>
      <c r="X372" s="627"/>
      <c r="Y372" s="627"/>
      <c r="Z372" s="627"/>
      <c r="AG372" s="642"/>
    </row>
    <row r="373" spans="4:33">
      <c r="D373" s="869"/>
      <c r="E373" s="869"/>
      <c r="F373" s="869"/>
      <c r="G373" s="869"/>
      <c r="H373" s="869"/>
      <c r="I373" s="869"/>
      <c r="J373" s="869"/>
      <c r="K373" s="869"/>
      <c r="L373" s="869"/>
      <c r="M373" s="869"/>
      <c r="N373" s="869"/>
      <c r="O373" s="869"/>
      <c r="P373" s="869"/>
      <c r="Q373" s="869"/>
      <c r="R373" s="869"/>
      <c r="S373" s="869"/>
      <c r="T373" s="642"/>
      <c r="W373" s="627"/>
      <c r="X373" s="627"/>
      <c r="Y373" s="627"/>
      <c r="Z373" s="627"/>
      <c r="AG373" s="642"/>
    </row>
    <row r="374" spans="4:33">
      <c r="D374" s="869"/>
      <c r="E374" s="869"/>
      <c r="F374" s="869"/>
      <c r="G374" s="869"/>
      <c r="H374" s="869"/>
      <c r="I374" s="869"/>
      <c r="J374" s="869"/>
      <c r="K374" s="869"/>
      <c r="L374" s="869"/>
      <c r="M374" s="869"/>
      <c r="N374" s="869"/>
      <c r="O374" s="869"/>
      <c r="P374" s="869"/>
      <c r="Q374" s="869"/>
      <c r="R374" s="869"/>
      <c r="S374" s="869"/>
      <c r="T374" s="642"/>
      <c r="W374" s="627"/>
      <c r="X374" s="627"/>
      <c r="Y374" s="627"/>
      <c r="Z374" s="627"/>
      <c r="AG374" s="642"/>
    </row>
    <row r="375" spans="4:33">
      <c r="D375" s="869"/>
      <c r="E375" s="869"/>
      <c r="F375" s="869"/>
      <c r="G375" s="869"/>
      <c r="H375" s="869"/>
      <c r="I375" s="869"/>
      <c r="J375" s="869"/>
      <c r="K375" s="869"/>
      <c r="L375" s="869"/>
      <c r="M375" s="869"/>
      <c r="N375" s="869"/>
      <c r="O375" s="869"/>
      <c r="P375" s="869"/>
      <c r="Q375" s="869"/>
      <c r="R375" s="869"/>
      <c r="S375" s="869"/>
      <c r="T375" s="642"/>
      <c r="W375" s="627"/>
      <c r="X375" s="627"/>
      <c r="Y375" s="627"/>
      <c r="Z375" s="627"/>
      <c r="AG375" s="642"/>
    </row>
    <row r="376" spans="4:33">
      <c r="D376" s="869"/>
      <c r="E376" s="869"/>
      <c r="F376" s="869"/>
      <c r="G376" s="869"/>
      <c r="H376" s="869"/>
      <c r="I376" s="869"/>
      <c r="J376" s="869"/>
      <c r="K376" s="869"/>
      <c r="L376" s="869"/>
      <c r="M376" s="869"/>
      <c r="N376" s="869"/>
      <c r="O376" s="869"/>
      <c r="P376" s="869"/>
      <c r="Q376" s="869"/>
      <c r="R376" s="869"/>
      <c r="S376" s="869"/>
      <c r="T376" s="642"/>
      <c r="W376" s="627"/>
      <c r="X376" s="627"/>
      <c r="Y376" s="627"/>
      <c r="Z376" s="627"/>
      <c r="AG376" s="642"/>
    </row>
    <row r="377" spans="4:33">
      <c r="D377" s="869"/>
      <c r="E377" s="869"/>
      <c r="F377" s="869"/>
      <c r="G377" s="869"/>
      <c r="H377" s="869"/>
      <c r="I377" s="869"/>
      <c r="J377" s="869"/>
      <c r="K377" s="869"/>
      <c r="L377" s="869"/>
      <c r="M377" s="869"/>
      <c r="N377" s="869"/>
      <c r="O377" s="869"/>
      <c r="P377" s="869"/>
      <c r="Q377" s="869"/>
      <c r="R377" s="869"/>
      <c r="S377" s="869"/>
      <c r="T377" s="642"/>
      <c r="W377" s="627"/>
      <c r="X377" s="627"/>
      <c r="Y377" s="627"/>
      <c r="Z377" s="627"/>
      <c r="AG377" s="642"/>
    </row>
    <row r="378" spans="4:33">
      <c r="D378" s="869"/>
      <c r="E378" s="869"/>
      <c r="F378" s="869"/>
      <c r="G378" s="869"/>
      <c r="H378" s="869"/>
      <c r="I378" s="869"/>
      <c r="J378" s="869"/>
      <c r="K378" s="869"/>
      <c r="L378" s="869"/>
      <c r="M378" s="869"/>
      <c r="N378" s="869"/>
      <c r="O378" s="869"/>
      <c r="P378" s="869"/>
      <c r="Q378" s="869"/>
      <c r="R378" s="869"/>
      <c r="S378" s="869"/>
      <c r="T378" s="642"/>
      <c r="W378" s="627"/>
      <c r="X378" s="627"/>
      <c r="Y378" s="627"/>
      <c r="Z378" s="627"/>
      <c r="AG378" s="642"/>
    </row>
    <row r="379" spans="4:33">
      <c r="D379" s="869"/>
      <c r="E379" s="869"/>
      <c r="F379" s="869"/>
      <c r="G379" s="869"/>
      <c r="H379" s="869"/>
      <c r="I379" s="869"/>
      <c r="J379" s="869"/>
      <c r="K379" s="869"/>
      <c r="L379" s="869"/>
      <c r="M379" s="869"/>
      <c r="N379" s="869"/>
      <c r="O379" s="869"/>
      <c r="P379" s="869"/>
      <c r="Q379" s="869"/>
      <c r="R379" s="869"/>
      <c r="S379" s="869"/>
      <c r="T379" s="642"/>
      <c r="W379" s="627"/>
      <c r="X379" s="627"/>
      <c r="Y379" s="627"/>
      <c r="Z379" s="627"/>
      <c r="AG379" s="642"/>
    </row>
    <row r="380" spans="4:33">
      <c r="D380" s="869"/>
      <c r="E380" s="869"/>
      <c r="F380" s="869"/>
      <c r="G380" s="869"/>
      <c r="H380" s="869"/>
      <c r="I380" s="869"/>
      <c r="J380" s="869"/>
      <c r="K380" s="869"/>
      <c r="L380" s="869"/>
      <c r="M380" s="869"/>
      <c r="N380" s="869"/>
      <c r="O380" s="869"/>
      <c r="P380" s="869"/>
      <c r="Q380" s="869"/>
      <c r="R380" s="869"/>
      <c r="S380" s="869"/>
      <c r="T380" s="642"/>
      <c r="W380" s="627"/>
      <c r="X380" s="627"/>
      <c r="Y380" s="627"/>
      <c r="Z380" s="627"/>
      <c r="AG380" s="642"/>
    </row>
    <row r="381" spans="4:33">
      <c r="D381" s="869"/>
      <c r="E381" s="869"/>
      <c r="F381" s="869"/>
      <c r="G381" s="869"/>
      <c r="H381" s="869"/>
      <c r="I381" s="869"/>
      <c r="J381" s="869"/>
      <c r="K381" s="869"/>
      <c r="L381" s="869"/>
      <c r="M381" s="869"/>
      <c r="N381" s="869"/>
      <c r="O381" s="869"/>
      <c r="P381" s="869"/>
      <c r="Q381" s="869"/>
      <c r="R381" s="869"/>
      <c r="S381" s="869"/>
      <c r="T381" s="642"/>
      <c r="W381" s="627"/>
      <c r="X381" s="627"/>
      <c r="Y381" s="627"/>
      <c r="Z381" s="627"/>
      <c r="AG381" s="642"/>
    </row>
    <row r="382" spans="4:33">
      <c r="D382" s="869"/>
      <c r="E382" s="869"/>
      <c r="F382" s="869"/>
      <c r="G382" s="869"/>
      <c r="H382" s="869"/>
      <c r="I382" s="869"/>
      <c r="J382" s="869"/>
      <c r="K382" s="869"/>
      <c r="L382" s="869"/>
      <c r="M382" s="869"/>
      <c r="N382" s="869"/>
      <c r="O382" s="869"/>
      <c r="P382" s="869"/>
      <c r="Q382" s="869"/>
      <c r="R382" s="869"/>
      <c r="S382" s="869"/>
      <c r="T382" s="642"/>
      <c r="W382" s="627"/>
      <c r="X382" s="627"/>
      <c r="Y382" s="627"/>
      <c r="Z382" s="627"/>
      <c r="AG382" s="642"/>
    </row>
    <row r="383" spans="4:33">
      <c r="D383" s="869"/>
      <c r="E383" s="869"/>
      <c r="F383" s="869"/>
      <c r="G383" s="869"/>
      <c r="H383" s="869"/>
      <c r="I383" s="869"/>
      <c r="J383" s="869"/>
      <c r="K383" s="869"/>
      <c r="L383" s="869"/>
      <c r="M383" s="869"/>
      <c r="N383" s="869"/>
      <c r="O383" s="869"/>
      <c r="P383" s="869"/>
      <c r="Q383" s="869"/>
      <c r="R383" s="869"/>
      <c r="S383" s="869"/>
      <c r="T383" s="642"/>
      <c r="W383" s="627"/>
      <c r="X383" s="627"/>
      <c r="Y383" s="627"/>
      <c r="Z383" s="627"/>
      <c r="AG383" s="642"/>
    </row>
    <row r="384" spans="4:33">
      <c r="D384" s="869"/>
      <c r="E384" s="869"/>
      <c r="F384" s="869"/>
      <c r="G384" s="869"/>
      <c r="H384" s="869"/>
      <c r="I384" s="869"/>
      <c r="J384" s="869"/>
      <c r="K384" s="869"/>
      <c r="L384" s="869"/>
      <c r="M384" s="869"/>
      <c r="N384" s="869"/>
      <c r="O384" s="869"/>
      <c r="P384" s="869"/>
      <c r="Q384" s="869"/>
      <c r="R384" s="869"/>
      <c r="S384" s="869"/>
      <c r="T384" s="642"/>
      <c r="W384" s="627"/>
      <c r="X384" s="627"/>
      <c r="Y384" s="627"/>
      <c r="Z384" s="627"/>
      <c r="AG384" s="642"/>
    </row>
    <row r="385" spans="4:33">
      <c r="D385" s="869"/>
      <c r="E385" s="869"/>
      <c r="F385" s="869"/>
      <c r="G385" s="869"/>
      <c r="H385" s="869"/>
      <c r="I385" s="869"/>
      <c r="J385" s="869"/>
      <c r="K385" s="869"/>
      <c r="L385" s="869"/>
      <c r="M385" s="869"/>
      <c r="N385" s="869"/>
      <c r="O385" s="869"/>
      <c r="P385" s="869"/>
      <c r="Q385" s="869"/>
      <c r="R385" s="869"/>
      <c r="S385" s="869"/>
      <c r="T385" s="642"/>
      <c r="W385" s="627"/>
      <c r="X385" s="627"/>
      <c r="Y385" s="627"/>
      <c r="Z385" s="627"/>
      <c r="AG385" s="642"/>
    </row>
    <row r="386" spans="4:33">
      <c r="D386" s="869"/>
      <c r="E386" s="869"/>
      <c r="F386" s="869"/>
      <c r="G386" s="869"/>
      <c r="H386" s="869"/>
      <c r="I386" s="869"/>
      <c r="J386" s="869"/>
      <c r="K386" s="869"/>
      <c r="L386" s="869"/>
      <c r="M386" s="869"/>
      <c r="N386" s="869"/>
      <c r="O386" s="869"/>
      <c r="P386" s="869"/>
      <c r="Q386" s="869"/>
      <c r="R386" s="869"/>
      <c r="S386" s="869"/>
      <c r="T386" s="642"/>
      <c r="W386" s="627"/>
      <c r="X386" s="627"/>
      <c r="Y386" s="627"/>
      <c r="Z386" s="627"/>
      <c r="AG386" s="642"/>
    </row>
    <row r="387" spans="4:33">
      <c r="D387" s="869"/>
      <c r="E387" s="869"/>
      <c r="F387" s="869"/>
      <c r="G387" s="869"/>
      <c r="H387" s="869"/>
      <c r="I387" s="869"/>
      <c r="J387" s="869"/>
      <c r="K387" s="869"/>
      <c r="L387" s="869"/>
      <c r="M387" s="869"/>
      <c r="N387" s="869"/>
      <c r="O387" s="869"/>
      <c r="P387" s="869"/>
      <c r="Q387" s="869"/>
      <c r="R387" s="869"/>
      <c r="S387" s="869"/>
      <c r="T387" s="642"/>
      <c r="W387" s="627"/>
      <c r="X387" s="627"/>
      <c r="Y387" s="627"/>
      <c r="Z387" s="627"/>
      <c r="AG387" s="642"/>
    </row>
    <row r="388" spans="4:33">
      <c r="D388" s="869"/>
      <c r="E388" s="869"/>
      <c r="F388" s="869"/>
      <c r="G388" s="869"/>
      <c r="H388" s="869"/>
      <c r="I388" s="869"/>
      <c r="J388" s="869"/>
      <c r="K388" s="869"/>
      <c r="L388" s="869"/>
      <c r="M388" s="869"/>
      <c r="N388" s="869"/>
      <c r="O388" s="869"/>
      <c r="P388" s="869"/>
      <c r="Q388" s="869"/>
      <c r="R388" s="869"/>
      <c r="S388" s="869"/>
      <c r="T388" s="642"/>
      <c r="W388" s="627"/>
      <c r="X388" s="627"/>
      <c r="Y388" s="627"/>
      <c r="Z388" s="627"/>
      <c r="AG388" s="642"/>
    </row>
    <row r="389" spans="4:33">
      <c r="D389" s="869"/>
      <c r="E389" s="869"/>
      <c r="F389" s="869"/>
      <c r="G389" s="869"/>
      <c r="H389" s="869"/>
      <c r="I389" s="869"/>
      <c r="J389" s="869"/>
      <c r="K389" s="869"/>
      <c r="L389" s="869"/>
      <c r="M389" s="869"/>
      <c r="N389" s="869"/>
      <c r="O389" s="869"/>
      <c r="P389" s="869"/>
      <c r="Q389" s="869"/>
      <c r="R389" s="869"/>
      <c r="S389" s="869"/>
      <c r="T389" s="642"/>
      <c r="W389" s="627"/>
      <c r="X389" s="627"/>
      <c r="Y389" s="627"/>
      <c r="Z389" s="627"/>
      <c r="AG389" s="642"/>
    </row>
    <row r="390" spans="4:33">
      <c r="D390" s="869"/>
      <c r="E390" s="869"/>
      <c r="F390" s="869"/>
      <c r="G390" s="869"/>
      <c r="H390" s="869"/>
      <c r="I390" s="869"/>
      <c r="J390" s="869"/>
      <c r="K390" s="869"/>
      <c r="L390" s="869"/>
      <c r="M390" s="869"/>
      <c r="N390" s="869"/>
      <c r="O390" s="869"/>
      <c r="P390" s="869"/>
      <c r="Q390" s="869"/>
      <c r="R390" s="869"/>
      <c r="S390" s="869"/>
      <c r="T390" s="642"/>
      <c r="W390" s="627"/>
      <c r="X390" s="627"/>
      <c r="Y390" s="627"/>
      <c r="Z390" s="627"/>
      <c r="AG390" s="642"/>
    </row>
    <row r="391" spans="4:33">
      <c r="D391" s="869"/>
      <c r="E391" s="869"/>
      <c r="F391" s="869"/>
      <c r="G391" s="869"/>
      <c r="H391" s="869"/>
      <c r="I391" s="869"/>
      <c r="J391" s="869"/>
      <c r="K391" s="869"/>
      <c r="L391" s="869"/>
      <c r="M391" s="869"/>
      <c r="N391" s="869"/>
      <c r="O391" s="869"/>
      <c r="P391" s="869"/>
      <c r="Q391" s="869"/>
      <c r="R391" s="869"/>
      <c r="S391" s="869"/>
      <c r="T391" s="642"/>
      <c r="W391" s="627"/>
      <c r="X391" s="627"/>
      <c r="Y391" s="627"/>
      <c r="Z391" s="627"/>
      <c r="AG391" s="642"/>
    </row>
    <row r="392" spans="4:33">
      <c r="D392" s="869"/>
      <c r="E392" s="869"/>
      <c r="F392" s="869"/>
      <c r="G392" s="869"/>
      <c r="H392" s="869"/>
      <c r="I392" s="869"/>
      <c r="J392" s="869"/>
      <c r="K392" s="869"/>
      <c r="L392" s="869"/>
      <c r="M392" s="869"/>
      <c r="N392" s="869"/>
      <c r="O392" s="869"/>
      <c r="P392" s="869"/>
      <c r="Q392" s="869"/>
      <c r="R392" s="869"/>
      <c r="S392" s="869"/>
      <c r="T392" s="642"/>
      <c r="W392" s="627"/>
      <c r="X392" s="627"/>
      <c r="Y392" s="627"/>
      <c r="Z392" s="627"/>
      <c r="AG392" s="642"/>
    </row>
    <row r="393" spans="4:33">
      <c r="D393" s="869"/>
      <c r="E393" s="869"/>
      <c r="F393" s="869"/>
      <c r="G393" s="869"/>
      <c r="H393" s="869"/>
      <c r="I393" s="869"/>
      <c r="J393" s="869"/>
      <c r="K393" s="869"/>
      <c r="L393" s="869"/>
      <c r="M393" s="869"/>
      <c r="N393" s="869"/>
      <c r="O393" s="869"/>
      <c r="P393" s="869"/>
      <c r="Q393" s="869"/>
      <c r="R393" s="869"/>
      <c r="S393" s="869"/>
      <c r="T393" s="642"/>
      <c r="W393" s="627"/>
      <c r="X393" s="627"/>
      <c r="Y393" s="627"/>
      <c r="Z393" s="627"/>
      <c r="AG393" s="642"/>
    </row>
    <row r="394" spans="4:33">
      <c r="D394" s="869"/>
      <c r="E394" s="869"/>
      <c r="F394" s="869"/>
      <c r="G394" s="869"/>
      <c r="H394" s="869"/>
      <c r="I394" s="869"/>
      <c r="J394" s="869"/>
      <c r="K394" s="869"/>
      <c r="L394" s="869"/>
      <c r="M394" s="869"/>
      <c r="N394" s="869"/>
      <c r="O394" s="869"/>
      <c r="P394" s="869"/>
      <c r="Q394" s="869"/>
      <c r="R394" s="869"/>
      <c r="S394" s="869"/>
      <c r="T394" s="642"/>
      <c r="W394" s="627"/>
      <c r="X394" s="627"/>
      <c r="Y394" s="627"/>
      <c r="Z394" s="627"/>
      <c r="AG394" s="642"/>
    </row>
    <row r="395" spans="4:33">
      <c r="D395" s="869"/>
      <c r="E395" s="869"/>
      <c r="F395" s="869"/>
      <c r="G395" s="869"/>
      <c r="H395" s="869"/>
      <c r="I395" s="869"/>
      <c r="J395" s="869"/>
      <c r="K395" s="869"/>
      <c r="L395" s="869"/>
      <c r="M395" s="869"/>
      <c r="N395" s="869"/>
      <c r="O395" s="869"/>
      <c r="P395" s="869"/>
      <c r="Q395" s="869"/>
      <c r="R395" s="869"/>
      <c r="S395" s="869"/>
      <c r="T395" s="642"/>
      <c r="W395" s="627"/>
      <c r="X395" s="627"/>
      <c r="Y395" s="627"/>
      <c r="Z395" s="627"/>
      <c r="AG395" s="642"/>
    </row>
    <row r="396" spans="4:33">
      <c r="D396" s="869"/>
      <c r="E396" s="869"/>
      <c r="F396" s="869"/>
      <c r="G396" s="869"/>
      <c r="H396" s="869"/>
      <c r="I396" s="869"/>
      <c r="J396" s="869"/>
      <c r="K396" s="869"/>
      <c r="L396" s="869"/>
      <c r="M396" s="869"/>
      <c r="N396" s="869"/>
      <c r="O396" s="869"/>
      <c r="P396" s="869"/>
      <c r="Q396" s="869"/>
      <c r="R396" s="869"/>
      <c r="S396" s="869"/>
      <c r="T396" s="642"/>
      <c r="W396" s="627"/>
      <c r="X396" s="627"/>
      <c r="Y396" s="627"/>
      <c r="Z396" s="627"/>
      <c r="AG396" s="642"/>
    </row>
    <row r="397" spans="4:33">
      <c r="D397" s="869"/>
      <c r="E397" s="869"/>
      <c r="F397" s="869"/>
      <c r="G397" s="869"/>
      <c r="H397" s="869"/>
      <c r="I397" s="869"/>
      <c r="J397" s="869"/>
      <c r="K397" s="869"/>
      <c r="L397" s="869"/>
      <c r="M397" s="869"/>
      <c r="N397" s="869"/>
      <c r="O397" s="869"/>
      <c r="P397" s="869"/>
      <c r="Q397" s="869"/>
      <c r="R397" s="869"/>
      <c r="S397" s="869"/>
      <c r="T397" s="642"/>
      <c r="W397" s="627"/>
      <c r="X397" s="627"/>
      <c r="Y397" s="627"/>
      <c r="Z397" s="627"/>
      <c r="AG397" s="642"/>
    </row>
    <row r="398" spans="4:33">
      <c r="D398" s="869"/>
      <c r="E398" s="869"/>
      <c r="F398" s="869"/>
      <c r="G398" s="869"/>
      <c r="H398" s="869"/>
      <c r="I398" s="869"/>
      <c r="J398" s="869"/>
      <c r="K398" s="869"/>
      <c r="L398" s="869"/>
      <c r="M398" s="869"/>
      <c r="N398" s="869"/>
      <c r="O398" s="869"/>
      <c r="P398" s="869"/>
      <c r="Q398" s="869"/>
      <c r="R398" s="869"/>
      <c r="S398" s="869"/>
      <c r="T398" s="642"/>
      <c r="W398" s="627"/>
      <c r="X398" s="627"/>
      <c r="Y398" s="627"/>
      <c r="Z398" s="627"/>
      <c r="AG398" s="642"/>
    </row>
    <row r="399" spans="4:33">
      <c r="D399" s="869"/>
      <c r="E399" s="869"/>
      <c r="F399" s="869"/>
      <c r="G399" s="869"/>
      <c r="H399" s="869"/>
      <c r="I399" s="869"/>
      <c r="J399" s="869"/>
      <c r="K399" s="869"/>
      <c r="L399" s="869"/>
      <c r="M399" s="869"/>
      <c r="N399" s="869"/>
      <c r="O399" s="869"/>
      <c r="P399" s="869"/>
      <c r="Q399" s="869"/>
      <c r="R399" s="869"/>
      <c r="S399" s="869"/>
      <c r="T399" s="642"/>
      <c r="W399" s="627"/>
      <c r="X399" s="627"/>
      <c r="Y399" s="627"/>
      <c r="Z399" s="627"/>
      <c r="AG399" s="642"/>
    </row>
    <row r="400" spans="4:33">
      <c r="D400" s="869"/>
      <c r="E400" s="869"/>
      <c r="F400" s="869"/>
      <c r="G400" s="869"/>
      <c r="H400" s="869"/>
      <c r="I400" s="869"/>
      <c r="J400" s="869"/>
      <c r="K400" s="869"/>
      <c r="L400" s="869"/>
      <c r="M400" s="869"/>
      <c r="N400" s="869"/>
      <c r="O400" s="869"/>
      <c r="P400" s="869"/>
      <c r="Q400" s="869"/>
      <c r="R400" s="869"/>
      <c r="S400" s="869"/>
      <c r="T400" s="642"/>
      <c r="W400" s="627"/>
      <c r="X400" s="627"/>
      <c r="Y400" s="627"/>
      <c r="Z400" s="627"/>
      <c r="AG400" s="642"/>
    </row>
    <row r="401" spans="4:33">
      <c r="D401" s="869"/>
      <c r="E401" s="869"/>
      <c r="F401" s="869"/>
      <c r="G401" s="869"/>
      <c r="H401" s="869"/>
      <c r="I401" s="869"/>
      <c r="J401" s="869"/>
      <c r="K401" s="869"/>
      <c r="L401" s="869"/>
      <c r="M401" s="869"/>
      <c r="N401" s="869"/>
      <c r="O401" s="869"/>
      <c r="P401" s="869"/>
      <c r="Q401" s="869"/>
      <c r="R401" s="869"/>
      <c r="S401" s="869"/>
      <c r="T401" s="642"/>
      <c r="W401" s="627"/>
      <c r="X401" s="627"/>
      <c r="Y401" s="627"/>
      <c r="Z401" s="627"/>
      <c r="AG401" s="642"/>
    </row>
    <row r="402" spans="4:33">
      <c r="D402" s="869"/>
      <c r="E402" s="869"/>
      <c r="F402" s="869"/>
      <c r="G402" s="869"/>
      <c r="H402" s="869"/>
      <c r="I402" s="869"/>
      <c r="J402" s="869"/>
      <c r="K402" s="869"/>
      <c r="L402" s="869"/>
      <c r="M402" s="869"/>
      <c r="N402" s="869"/>
      <c r="O402" s="869"/>
      <c r="P402" s="869"/>
      <c r="Q402" s="869"/>
      <c r="R402" s="869"/>
      <c r="S402" s="869"/>
      <c r="T402" s="642"/>
      <c r="W402" s="627"/>
      <c r="X402" s="627"/>
      <c r="Y402" s="627"/>
      <c r="Z402" s="627"/>
      <c r="AG402" s="642"/>
    </row>
    <row r="403" spans="4:33">
      <c r="D403" s="869"/>
      <c r="E403" s="869"/>
      <c r="F403" s="869"/>
      <c r="G403" s="869"/>
      <c r="H403" s="869"/>
      <c r="I403" s="869"/>
      <c r="J403" s="869"/>
      <c r="K403" s="869"/>
      <c r="L403" s="869"/>
      <c r="M403" s="869"/>
      <c r="N403" s="869"/>
      <c r="O403" s="869"/>
      <c r="P403" s="869"/>
      <c r="Q403" s="869"/>
      <c r="R403" s="869"/>
      <c r="S403" s="869"/>
      <c r="T403" s="642"/>
      <c r="W403" s="627"/>
      <c r="X403" s="627"/>
      <c r="Y403" s="627"/>
      <c r="Z403" s="627"/>
      <c r="AG403" s="642"/>
    </row>
    <row r="404" spans="4:33">
      <c r="D404" s="869"/>
      <c r="E404" s="869"/>
      <c r="F404" s="869"/>
      <c r="G404" s="869"/>
      <c r="H404" s="869"/>
      <c r="I404" s="869"/>
      <c r="J404" s="869"/>
      <c r="K404" s="869"/>
      <c r="L404" s="869"/>
      <c r="M404" s="869"/>
      <c r="N404" s="869"/>
      <c r="O404" s="869"/>
      <c r="P404" s="869"/>
      <c r="Q404" s="869"/>
      <c r="R404" s="869"/>
      <c r="S404" s="869"/>
      <c r="T404" s="642"/>
      <c r="W404" s="627"/>
      <c r="X404" s="627"/>
      <c r="Y404" s="627"/>
      <c r="Z404" s="627"/>
      <c r="AG404" s="642"/>
    </row>
    <row r="405" spans="4:33">
      <c r="D405" s="869"/>
      <c r="E405" s="869"/>
      <c r="F405" s="869"/>
      <c r="G405" s="869"/>
      <c r="H405" s="869"/>
      <c r="I405" s="869"/>
      <c r="J405" s="869"/>
      <c r="K405" s="869"/>
      <c r="L405" s="869"/>
      <c r="M405" s="869"/>
      <c r="N405" s="869"/>
      <c r="O405" s="869"/>
      <c r="P405" s="869"/>
      <c r="Q405" s="869"/>
      <c r="R405" s="869"/>
      <c r="S405" s="869"/>
      <c r="T405" s="642"/>
      <c r="W405" s="627"/>
      <c r="X405" s="627"/>
      <c r="Y405" s="627"/>
      <c r="Z405" s="627"/>
      <c r="AG405" s="642"/>
    </row>
    <row r="406" spans="4:33">
      <c r="D406" s="869"/>
      <c r="E406" s="869"/>
      <c r="F406" s="869"/>
      <c r="G406" s="869"/>
      <c r="H406" s="869"/>
      <c r="I406" s="869"/>
      <c r="J406" s="869"/>
      <c r="K406" s="869"/>
      <c r="L406" s="869"/>
      <c r="M406" s="869"/>
      <c r="N406" s="869"/>
      <c r="O406" s="869"/>
      <c r="P406" s="869"/>
      <c r="Q406" s="869"/>
      <c r="R406" s="869"/>
      <c r="S406" s="869"/>
      <c r="T406" s="642"/>
      <c r="W406" s="627"/>
      <c r="X406" s="627"/>
      <c r="Y406" s="627"/>
      <c r="Z406" s="627"/>
      <c r="AG406" s="642"/>
    </row>
    <row r="407" spans="4:33">
      <c r="D407" s="869"/>
      <c r="E407" s="869"/>
      <c r="F407" s="869"/>
      <c r="G407" s="869"/>
      <c r="H407" s="869"/>
      <c r="I407" s="869"/>
      <c r="J407" s="869"/>
      <c r="K407" s="869"/>
      <c r="L407" s="869"/>
      <c r="M407" s="869"/>
      <c r="N407" s="869"/>
      <c r="O407" s="869"/>
      <c r="P407" s="869"/>
      <c r="Q407" s="869"/>
      <c r="R407" s="869"/>
      <c r="S407" s="869"/>
      <c r="T407" s="642"/>
      <c r="W407" s="627"/>
      <c r="X407" s="627"/>
      <c r="Y407" s="627"/>
      <c r="Z407" s="627"/>
      <c r="AG407" s="642"/>
    </row>
    <row r="408" spans="4:33">
      <c r="D408" s="869"/>
      <c r="E408" s="869"/>
      <c r="F408" s="869"/>
      <c r="G408" s="869"/>
      <c r="H408" s="869"/>
      <c r="I408" s="869"/>
      <c r="J408" s="869"/>
      <c r="K408" s="869"/>
      <c r="L408" s="869"/>
      <c r="M408" s="869"/>
      <c r="N408" s="869"/>
      <c r="O408" s="869"/>
      <c r="P408" s="869"/>
      <c r="Q408" s="869"/>
      <c r="R408" s="869"/>
      <c r="S408" s="869"/>
      <c r="T408" s="642"/>
      <c r="W408" s="627"/>
      <c r="X408" s="627"/>
      <c r="Y408" s="627"/>
      <c r="Z408" s="627"/>
      <c r="AG408" s="642"/>
    </row>
    <row r="409" spans="4:33">
      <c r="D409" s="869"/>
      <c r="E409" s="869"/>
      <c r="F409" s="869"/>
      <c r="G409" s="869"/>
      <c r="H409" s="869"/>
      <c r="I409" s="869"/>
      <c r="J409" s="869"/>
      <c r="K409" s="869"/>
      <c r="L409" s="869"/>
      <c r="M409" s="869"/>
      <c r="N409" s="869"/>
      <c r="O409" s="869"/>
      <c r="P409" s="869"/>
      <c r="Q409" s="869"/>
      <c r="R409" s="869"/>
      <c r="S409" s="869"/>
      <c r="T409" s="642"/>
      <c r="W409" s="627"/>
      <c r="X409" s="627"/>
      <c r="Y409" s="627"/>
      <c r="Z409" s="627"/>
      <c r="AG409" s="642"/>
    </row>
    <row r="410" spans="4:33">
      <c r="D410" s="869"/>
      <c r="E410" s="869"/>
      <c r="F410" s="869"/>
      <c r="G410" s="869"/>
      <c r="H410" s="869"/>
      <c r="I410" s="869"/>
      <c r="J410" s="869"/>
      <c r="K410" s="869"/>
      <c r="L410" s="869"/>
      <c r="M410" s="869"/>
      <c r="N410" s="869"/>
      <c r="O410" s="869"/>
      <c r="P410" s="869"/>
      <c r="Q410" s="869"/>
      <c r="R410" s="869"/>
      <c r="S410" s="869"/>
      <c r="T410" s="642"/>
      <c r="W410" s="627"/>
      <c r="X410" s="627"/>
      <c r="Y410" s="627"/>
      <c r="Z410" s="627"/>
      <c r="AG410" s="642"/>
    </row>
    <row r="411" spans="4:33">
      <c r="D411" s="869"/>
      <c r="E411" s="869"/>
      <c r="F411" s="869"/>
      <c r="G411" s="869"/>
      <c r="H411" s="869"/>
      <c r="I411" s="869"/>
      <c r="J411" s="869"/>
      <c r="K411" s="869"/>
      <c r="L411" s="869"/>
      <c r="M411" s="869"/>
      <c r="N411" s="869"/>
      <c r="O411" s="869"/>
      <c r="P411" s="869"/>
      <c r="Q411" s="869"/>
      <c r="R411" s="869"/>
      <c r="S411" s="869"/>
      <c r="T411" s="642"/>
      <c r="W411" s="627"/>
      <c r="X411" s="627"/>
      <c r="Y411" s="627"/>
      <c r="Z411" s="627"/>
      <c r="AG411" s="642"/>
    </row>
    <row r="412" spans="4:33">
      <c r="D412" s="869"/>
      <c r="E412" s="869"/>
      <c r="F412" s="869"/>
      <c r="G412" s="869"/>
      <c r="H412" s="869"/>
      <c r="I412" s="869"/>
      <c r="J412" s="869"/>
      <c r="K412" s="869"/>
      <c r="L412" s="869"/>
      <c r="M412" s="869"/>
      <c r="N412" s="869"/>
      <c r="O412" s="869"/>
      <c r="P412" s="869"/>
      <c r="Q412" s="869"/>
      <c r="R412" s="869"/>
      <c r="S412" s="869"/>
      <c r="T412" s="642"/>
      <c r="W412" s="627"/>
      <c r="X412" s="627"/>
      <c r="Y412" s="627"/>
      <c r="Z412" s="627"/>
      <c r="AG412" s="642"/>
    </row>
    <row r="413" spans="4:33">
      <c r="D413" s="869"/>
      <c r="E413" s="869"/>
      <c r="F413" s="869"/>
      <c r="G413" s="869"/>
      <c r="H413" s="869"/>
      <c r="I413" s="869"/>
      <c r="J413" s="869"/>
      <c r="K413" s="869"/>
      <c r="L413" s="869"/>
      <c r="M413" s="869"/>
      <c r="N413" s="869"/>
      <c r="O413" s="869"/>
      <c r="P413" s="869"/>
      <c r="Q413" s="869"/>
      <c r="R413" s="869"/>
      <c r="S413" s="869"/>
      <c r="T413" s="642"/>
      <c r="W413" s="627"/>
      <c r="X413" s="627"/>
      <c r="Y413" s="627"/>
      <c r="Z413" s="627"/>
      <c r="AG413" s="642"/>
    </row>
    <row r="414" spans="4:33">
      <c r="D414" s="869"/>
      <c r="E414" s="869"/>
      <c r="F414" s="869"/>
      <c r="G414" s="869"/>
      <c r="H414" s="869"/>
      <c r="I414" s="869"/>
      <c r="J414" s="869"/>
      <c r="K414" s="869"/>
      <c r="L414" s="869"/>
      <c r="M414" s="869"/>
      <c r="N414" s="869"/>
      <c r="O414" s="869"/>
      <c r="P414" s="869"/>
      <c r="Q414" s="869"/>
      <c r="R414" s="869"/>
      <c r="S414" s="869"/>
      <c r="T414" s="642"/>
      <c r="W414" s="627"/>
      <c r="X414" s="627"/>
      <c r="Y414" s="627"/>
      <c r="Z414" s="627"/>
      <c r="AG414" s="642"/>
    </row>
    <row r="415" spans="4:33">
      <c r="D415" s="869"/>
      <c r="E415" s="869"/>
      <c r="F415" s="869"/>
      <c r="G415" s="869"/>
      <c r="H415" s="869"/>
      <c r="I415" s="869"/>
      <c r="J415" s="869"/>
      <c r="K415" s="869"/>
      <c r="L415" s="869"/>
      <c r="M415" s="869"/>
      <c r="N415" s="869"/>
      <c r="O415" s="869"/>
      <c r="P415" s="869"/>
      <c r="Q415" s="869"/>
      <c r="R415" s="869"/>
      <c r="S415" s="869"/>
      <c r="T415" s="642"/>
      <c r="W415" s="627"/>
      <c r="X415" s="627"/>
      <c r="Y415" s="627"/>
      <c r="Z415" s="627"/>
      <c r="AG415" s="642"/>
    </row>
    <row r="416" spans="4:33">
      <c r="D416" s="869"/>
      <c r="E416" s="869"/>
      <c r="F416" s="869"/>
      <c r="G416" s="869"/>
      <c r="H416" s="869"/>
      <c r="I416" s="869"/>
      <c r="J416" s="869"/>
      <c r="K416" s="869"/>
      <c r="L416" s="869"/>
      <c r="M416" s="869"/>
      <c r="N416" s="869"/>
      <c r="O416" s="869"/>
      <c r="P416" s="869"/>
      <c r="Q416" s="869"/>
      <c r="R416" s="869"/>
      <c r="S416" s="869"/>
      <c r="T416" s="642"/>
      <c r="W416" s="627"/>
      <c r="X416" s="627"/>
      <c r="Y416" s="627"/>
      <c r="Z416" s="627"/>
      <c r="AG416" s="642"/>
    </row>
    <row r="417" spans="4:33">
      <c r="D417" s="869"/>
      <c r="E417" s="869"/>
      <c r="F417" s="869"/>
      <c r="G417" s="869"/>
      <c r="H417" s="869"/>
      <c r="I417" s="869"/>
      <c r="J417" s="869"/>
      <c r="K417" s="869"/>
      <c r="L417" s="869"/>
      <c r="M417" s="869"/>
      <c r="N417" s="869"/>
      <c r="O417" s="869"/>
      <c r="P417" s="869"/>
      <c r="Q417" s="869"/>
      <c r="R417" s="869"/>
      <c r="S417" s="869"/>
      <c r="T417" s="642"/>
      <c r="W417" s="627"/>
      <c r="X417" s="627"/>
      <c r="Y417" s="627"/>
      <c r="Z417" s="627"/>
      <c r="AG417" s="642"/>
    </row>
    <row r="418" spans="4:33">
      <c r="D418" s="869"/>
      <c r="E418" s="869"/>
      <c r="F418" s="869"/>
      <c r="G418" s="869"/>
      <c r="H418" s="869"/>
      <c r="I418" s="869"/>
      <c r="J418" s="869"/>
      <c r="K418" s="869"/>
      <c r="L418" s="869"/>
      <c r="M418" s="869"/>
      <c r="N418" s="869"/>
      <c r="O418" s="869"/>
      <c r="P418" s="869"/>
      <c r="Q418" s="869"/>
      <c r="R418" s="869"/>
      <c r="S418" s="869"/>
      <c r="T418" s="642"/>
      <c r="W418" s="627"/>
      <c r="X418" s="627"/>
      <c r="Y418" s="627"/>
      <c r="Z418" s="627"/>
      <c r="AG418" s="642"/>
    </row>
    <row r="419" spans="4:33">
      <c r="D419" s="869"/>
      <c r="E419" s="869"/>
      <c r="F419" s="869"/>
      <c r="G419" s="869"/>
      <c r="H419" s="869"/>
      <c r="I419" s="869"/>
      <c r="J419" s="869"/>
      <c r="K419" s="869"/>
      <c r="L419" s="869"/>
      <c r="M419" s="869"/>
      <c r="N419" s="869"/>
      <c r="O419" s="869"/>
      <c r="P419" s="869"/>
      <c r="Q419" s="869"/>
      <c r="R419" s="869"/>
      <c r="S419" s="869"/>
      <c r="T419" s="642"/>
      <c r="W419" s="627"/>
      <c r="X419" s="627"/>
      <c r="Y419" s="627"/>
      <c r="Z419" s="627"/>
      <c r="AG419" s="642"/>
    </row>
    <row r="420" spans="4:33">
      <c r="D420" s="869"/>
      <c r="E420" s="869"/>
      <c r="F420" s="869"/>
      <c r="G420" s="869"/>
      <c r="H420" s="869"/>
      <c r="I420" s="869"/>
      <c r="J420" s="869"/>
      <c r="K420" s="869"/>
      <c r="L420" s="869"/>
      <c r="M420" s="869"/>
      <c r="N420" s="869"/>
      <c r="O420" s="869"/>
      <c r="P420" s="869"/>
      <c r="Q420" s="869"/>
      <c r="R420" s="869"/>
      <c r="S420" s="869"/>
      <c r="T420" s="642"/>
      <c r="W420" s="627"/>
      <c r="X420" s="627"/>
      <c r="Y420" s="627"/>
      <c r="Z420" s="627"/>
      <c r="AG420" s="642"/>
    </row>
    <row r="421" spans="4:33">
      <c r="D421" s="869"/>
      <c r="E421" s="869"/>
      <c r="F421" s="869"/>
      <c r="G421" s="869"/>
      <c r="H421" s="869"/>
      <c r="I421" s="869"/>
      <c r="J421" s="869"/>
      <c r="K421" s="869"/>
      <c r="L421" s="869"/>
      <c r="M421" s="869"/>
      <c r="N421" s="869"/>
      <c r="O421" s="869"/>
      <c r="P421" s="869"/>
      <c r="Q421" s="869"/>
      <c r="R421" s="869"/>
      <c r="S421" s="869"/>
      <c r="T421" s="642"/>
      <c r="W421" s="627"/>
      <c r="X421" s="627"/>
      <c r="Y421" s="627"/>
      <c r="Z421" s="627"/>
      <c r="AG421" s="642"/>
    </row>
    <row r="422" spans="4:33">
      <c r="D422" s="869"/>
      <c r="E422" s="869"/>
      <c r="F422" s="869"/>
      <c r="G422" s="869"/>
      <c r="H422" s="869"/>
      <c r="I422" s="869"/>
      <c r="J422" s="869"/>
      <c r="K422" s="869"/>
      <c r="L422" s="869"/>
      <c r="M422" s="869"/>
      <c r="N422" s="869"/>
      <c r="O422" s="869"/>
      <c r="P422" s="869"/>
      <c r="Q422" s="869"/>
      <c r="R422" s="869"/>
      <c r="S422" s="869"/>
      <c r="T422" s="642"/>
      <c r="W422" s="627"/>
      <c r="X422" s="627"/>
      <c r="Y422" s="627"/>
      <c r="Z422" s="627"/>
      <c r="AG422" s="642"/>
    </row>
    <row r="423" spans="4:33">
      <c r="D423" s="869"/>
      <c r="E423" s="869"/>
      <c r="F423" s="869"/>
      <c r="G423" s="869"/>
      <c r="H423" s="869"/>
      <c r="I423" s="869"/>
      <c r="J423" s="869"/>
      <c r="K423" s="869"/>
      <c r="L423" s="869"/>
      <c r="M423" s="869"/>
      <c r="N423" s="869"/>
      <c r="O423" s="869"/>
      <c r="P423" s="869"/>
      <c r="Q423" s="869"/>
      <c r="R423" s="869"/>
      <c r="S423" s="869"/>
      <c r="T423" s="642"/>
      <c r="W423" s="627"/>
      <c r="X423" s="627"/>
      <c r="Y423" s="627"/>
      <c r="Z423" s="627"/>
      <c r="AG423" s="642"/>
    </row>
    <row r="424" spans="4:33">
      <c r="D424" s="869"/>
      <c r="E424" s="869"/>
      <c r="F424" s="869"/>
      <c r="G424" s="869"/>
      <c r="H424" s="869"/>
      <c r="I424" s="869"/>
      <c r="J424" s="869"/>
      <c r="K424" s="869"/>
      <c r="L424" s="869"/>
      <c r="M424" s="869"/>
      <c r="N424" s="869"/>
      <c r="O424" s="869"/>
      <c r="P424" s="869"/>
      <c r="Q424" s="869"/>
      <c r="R424" s="869"/>
      <c r="S424" s="869"/>
      <c r="T424" s="642"/>
      <c r="W424" s="627"/>
      <c r="X424" s="627"/>
      <c r="Y424" s="627"/>
      <c r="Z424" s="627"/>
      <c r="AG424" s="642"/>
    </row>
    <row r="425" spans="4:33">
      <c r="D425" s="869"/>
      <c r="E425" s="869"/>
      <c r="F425" s="869"/>
      <c r="G425" s="869"/>
      <c r="H425" s="869"/>
      <c r="I425" s="869"/>
      <c r="J425" s="869"/>
      <c r="K425" s="869"/>
      <c r="L425" s="869"/>
      <c r="M425" s="869"/>
      <c r="N425" s="869"/>
      <c r="O425" s="869"/>
      <c r="P425" s="869"/>
      <c r="Q425" s="869"/>
      <c r="R425" s="869"/>
      <c r="S425" s="869"/>
      <c r="T425" s="642"/>
      <c r="W425" s="627"/>
      <c r="X425" s="627"/>
      <c r="Y425" s="627"/>
      <c r="Z425" s="627"/>
      <c r="AG425" s="642"/>
    </row>
    <row r="426" spans="4:33">
      <c r="D426" s="869"/>
      <c r="E426" s="869"/>
      <c r="F426" s="869"/>
      <c r="G426" s="869"/>
      <c r="H426" s="869"/>
      <c r="I426" s="869"/>
      <c r="J426" s="869"/>
      <c r="K426" s="869"/>
      <c r="L426" s="869"/>
      <c r="M426" s="869"/>
      <c r="N426" s="869"/>
      <c r="O426" s="869"/>
      <c r="P426" s="869"/>
      <c r="Q426" s="869"/>
      <c r="R426" s="869"/>
      <c r="S426" s="869"/>
      <c r="T426" s="642"/>
      <c r="W426" s="627"/>
      <c r="X426" s="627"/>
      <c r="Y426" s="627"/>
      <c r="Z426" s="627"/>
      <c r="AG426" s="642"/>
    </row>
    <row r="427" spans="4:33">
      <c r="D427" s="869"/>
      <c r="E427" s="869"/>
      <c r="F427" s="869"/>
      <c r="G427" s="869"/>
      <c r="H427" s="869"/>
      <c r="I427" s="869"/>
      <c r="J427" s="869"/>
      <c r="K427" s="869"/>
      <c r="L427" s="869"/>
      <c r="M427" s="869"/>
      <c r="N427" s="869"/>
      <c r="O427" s="869"/>
      <c r="P427" s="869"/>
      <c r="Q427" s="869"/>
      <c r="R427" s="869"/>
      <c r="S427" s="869"/>
      <c r="T427" s="642"/>
      <c r="W427" s="627"/>
      <c r="X427" s="627"/>
      <c r="Y427" s="627"/>
      <c r="Z427" s="627"/>
      <c r="AG427" s="642"/>
    </row>
    <row r="428" spans="4:33">
      <c r="D428" s="869"/>
      <c r="E428" s="869"/>
      <c r="F428" s="869"/>
      <c r="G428" s="869"/>
      <c r="H428" s="869"/>
      <c r="I428" s="869"/>
      <c r="J428" s="869"/>
      <c r="K428" s="869"/>
      <c r="L428" s="869"/>
      <c r="M428" s="869"/>
      <c r="N428" s="869"/>
      <c r="O428" s="869"/>
      <c r="P428" s="869"/>
      <c r="Q428" s="869"/>
      <c r="R428" s="869"/>
      <c r="S428" s="869"/>
      <c r="T428" s="642"/>
      <c r="W428" s="627"/>
      <c r="X428" s="627"/>
      <c r="Y428" s="627"/>
      <c r="Z428" s="627"/>
      <c r="AG428" s="642"/>
    </row>
    <row r="429" spans="4:33">
      <c r="D429" s="869"/>
      <c r="E429" s="869"/>
      <c r="F429" s="869"/>
      <c r="G429" s="869"/>
      <c r="H429" s="869"/>
      <c r="I429" s="869"/>
      <c r="J429" s="869"/>
      <c r="K429" s="869"/>
      <c r="L429" s="869"/>
      <c r="M429" s="869"/>
      <c r="N429" s="869"/>
      <c r="O429" s="869"/>
      <c r="P429" s="869"/>
      <c r="Q429" s="869"/>
      <c r="R429" s="869"/>
      <c r="S429" s="869"/>
      <c r="T429" s="642"/>
      <c r="W429" s="627"/>
      <c r="X429" s="627"/>
      <c r="Y429" s="627"/>
      <c r="Z429" s="627"/>
      <c r="AG429" s="642"/>
    </row>
    <row r="430" spans="4:33">
      <c r="D430" s="869"/>
      <c r="E430" s="869"/>
      <c r="F430" s="869"/>
      <c r="G430" s="869"/>
      <c r="H430" s="869"/>
      <c r="I430" s="869"/>
      <c r="J430" s="869"/>
      <c r="K430" s="869"/>
      <c r="L430" s="869"/>
      <c r="M430" s="869"/>
      <c r="N430" s="869"/>
      <c r="O430" s="869"/>
      <c r="P430" s="869"/>
      <c r="Q430" s="869"/>
      <c r="R430" s="869"/>
      <c r="S430" s="869"/>
      <c r="T430" s="642"/>
      <c r="W430" s="627"/>
      <c r="X430" s="627"/>
      <c r="Y430" s="627"/>
      <c r="Z430" s="627"/>
      <c r="AG430" s="642"/>
    </row>
    <row r="431" spans="4:33">
      <c r="D431" s="869"/>
      <c r="E431" s="869"/>
      <c r="F431" s="869"/>
      <c r="G431" s="869"/>
      <c r="H431" s="869"/>
      <c r="I431" s="869"/>
      <c r="J431" s="869"/>
      <c r="K431" s="869"/>
      <c r="L431" s="869"/>
      <c r="M431" s="869"/>
      <c r="N431" s="869"/>
      <c r="O431" s="869"/>
      <c r="P431" s="869"/>
      <c r="Q431" s="869"/>
      <c r="R431" s="869"/>
      <c r="S431" s="869"/>
      <c r="T431" s="642"/>
      <c r="W431" s="627"/>
      <c r="X431" s="627"/>
      <c r="Y431" s="627"/>
      <c r="Z431" s="627"/>
      <c r="AG431" s="642"/>
    </row>
    <row r="432" spans="4:33">
      <c r="D432" s="869"/>
      <c r="E432" s="869"/>
      <c r="F432" s="869"/>
      <c r="G432" s="869"/>
      <c r="H432" s="869"/>
      <c r="I432" s="869"/>
      <c r="J432" s="869"/>
      <c r="K432" s="869"/>
      <c r="L432" s="869"/>
      <c r="M432" s="869"/>
      <c r="N432" s="869"/>
      <c r="O432" s="869"/>
      <c r="P432" s="869"/>
      <c r="Q432" s="869"/>
      <c r="R432" s="869"/>
      <c r="S432" s="869"/>
      <c r="T432" s="642"/>
      <c r="W432" s="627"/>
      <c r="X432" s="627"/>
      <c r="Y432" s="627"/>
      <c r="Z432" s="627"/>
      <c r="AG432" s="642"/>
    </row>
    <row r="433" spans="4:33">
      <c r="D433" s="869"/>
      <c r="E433" s="869"/>
      <c r="F433" s="869"/>
      <c r="G433" s="869"/>
      <c r="H433" s="869"/>
      <c r="I433" s="869"/>
      <c r="J433" s="869"/>
      <c r="K433" s="869"/>
      <c r="L433" s="869"/>
      <c r="M433" s="869"/>
      <c r="N433" s="869"/>
      <c r="O433" s="869"/>
      <c r="P433" s="869"/>
      <c r="Q433" s="869"/>
      <c r="R433" s="869"/>
      <c r="S433" s="869"/>
      <c r="T433" s="642"/>
      <c r="W433" s="627"/>
      <c r="X433" s="627"/>
      <c r="Y433" s="627"/>
      <c r="Z433" s="627"/>
      <c r="AG433" s="642"/>
    </row>
    <row r="434" spans="4:33">
      <c r="D434" s="869"/>
      <c r="E434" s="869"/>
      <c r="F434" s="869"/>
      <c r="G434" s="869"/>
      <c r="H434" s="869"/>
      <c r="I434" s="869"/>
      <c r="J434" s="869"/>
      <c r="K434" s="869"/>
      <c r="L434" s="869"/>
      <c r="M434" s="869"/>
      <c r="N434" s="869"/>
      <c r="O434" s="869"/>
      <c r="P434" s="869"/>
      <c r="Q434" s="869"/>
      <c r="R434" s="869"/>
      <c r="S434" s="869"/>
      <c r="T434" s="642"/>
      <c r="W434" s="627"/>
      <c r="X434" s="627"/>
      <c r="Y434" s="627"/>
      <c r="Z434" s="627"/>
      <c r="AG434" s="642"/>
    </row>
    <row r="435" spans="4:33">
      <c r="D435" s="869"/>
      <c r="E435" s="869"/>
      <c r="F435" s="869"/>
      <c r="G435" s="869"/>
      <c r="H435" s="869"/>
      <c r="I435" s="869"/>
      <c r="J435" s="869"/>
      <c r="K435" s="869"/>
      <c r="L435" s="869"/>
      <c r="M435" s="869"/>
      <c r="N435" s="869"/>
      <c r="O435" s="869"/>
      <c r="P435" s="869"/>
      <c r="Q435" s="869"/>
      <c r="R435" s="869"/>
      <c r="S435" s="869"/>
      <c r="T435" s="642"/>
      <c r="W435" s="627"/>
      <c r="X435" s="627"/>
      <c r="Y435" s="627"/>
      <c r="Z435" s="627"/>
      <c r="AG435" s="642"/>
    </row>
    <row r="436" spans="4:33">
      <c r="D436" s="869"/>
      <c r="E436" s="869"/>
      <c r="F436" s="869"/>
      <c r="G436" s="869"/>
      <c r="H436" s="869"/>
      <c r="I436" s="869"/>
      <c r="J436" s="869"/>
      <c r="K436" s="869"/>
      <c r="L436" s="869"/>
      <c r="M436" s="869"/>
      <c r="N436" s="869"/>
      <c r="O436" s="869"/>
      <c r="P436" s="869"/>
      <c r="Q436" s="869"/>
      <c r="R436" s="869"/>
      <c r="S436" s="869"/>
      <c r="T436" s="642"/>
      <c r="W436" s="627"/>
      <c r="X436" s="627"/>
      <c r="Y436" s="627"/>
      <c r="Z436" s="627"/>
      <c r="AG436" s="642"/>
    </row>
    <row r="437" spans="4:33">
      <c r="D437" s="869"/>
      <c r="E437" s="869"/>
      <c r="F437" s="869"/>
      <c r="G437" s="869"/>
      <c r="H437" s="869"/>
      <c r="I437" s="869"/>
      <c r="J437" s="869"/>
      <c r="K437" s="869"/>
      <c r="L437" s="869"/>
      <c r="M437" s="869"/>
      <c r="N437" s="869"/>
      <c r="O437" s="869"/>
      <c r="P437" s="869"/>
      <c r="Q437" s="869"/>
      <c r="R437" s="869"/>
      <c r="S437" s="869"/>
      <c r="T437" s="642"/>
      <c r="W437" s="627"/>
      <c r="X437" s="627"/>
      <c r="Y437" s="627"/>
      <c r="Z437" s="627"/>
      <c r="AG437" s="642"/>
    </row>
    <row r="438" spans="4:33">
      <c r="D438" s="869"/>
      <c r="E438" s="869"/>
      <c r="F438" s="869"/>
      <c r="G438" s="869"/>
      <c r="H438" s="869"/>
      <c r="I438" s="869"/>
      <c r="J438" s="869"/>
      <c r="K438" s="869"/>
      <c r="L438" s="869"/>
      <c r="M438" s="869"/>
      <c r="N438" s="869"/>
      <c r="O438" s="869"/>
      <c r="P438" s="869"/>
      <c r="Q438" s="869"/>
      <c r="R438" s="869"/>
      <c r="S438" s="869"/>
      <c r="T438" s="642"/>
      <c r="W438" s="627"/>
      <c r="X438" s="627"/>
      <c r="Y438" s="627"/>
      <c r="Z438" s="627"/>
      <c r="AG438" s="642"/>
    </row>
    <row r="439" spans="4:33">
      <c r="D439" s="869"/>
      <c r="E439" s="869"/>
      <c r="F439" s="869"/>
      <c r="G439" s="869"/>
      <c r="H439" s="869"/>
      <c r="I439" s="869"/>
      <c r="J439" s="869"/>
      <c r="K439" s="869"/>
      <c r="L439" s="869"/>
      <c r="M439" s="869"/>
      <c r="N439" s="869"/>
      <c r="O439" s="869"/>
      <c r="P439" s="869"/>
      <c r="Q439" s="869"/>
      <c r="R439" s="869"/>
      <c r="S439" s="869"/>
      <c r="T439" s="642"/>
      <c r="W439" s="627"/>
      <c r="X439" s="627"/>
      <c r="Y439" s="627"/>
      <c r="Z439" s="627"/>
      <c r="AG439" s="642"/>
    </row>
    <row r="440" spans="4:33">
      <c r="D440" s="869"/>
      <c r="E440" s="869"/>
      <c r="F440" s="869"/>
      <c r="G440" s="869"/>
      <c r="H440" s="869"/>
      <c r="I440" s="869"/>
      <c r="J440" s="869"/>
      <c r="K440" s="869"/>
      <c r="L440" s="869"/>
      <c r="M440" s="869"/>
      <c r="N440" s="869"/>
      <c r="O440" s="869"/>
      <c r="P440" s="869"/>
      <c r="Q440" s="869"/>
      <c r="R440" s="869"/>
      <c r="S440" s="869"/>
      <c r="T440" s="642"/>
      <c r="W440" s="627"/>
      <c r="X440" s="627"/>
      <c r="Y440" s="627"/>
      <c r="Z440" s="627"/>
      <c r="AG440" s="642"/>
    </row>
    <row r="441" spans="4:33">
      <c r="D441" s="869"/>
      <c r="E441" s="869"/>
      <c r="F441" s="869"/>
      <c r="G441" s="869"/>
      <c r="H441" s="869"/>
      <c r="I441" s="869"/>
      <c r="J441" s="869"/>
      <c r="K441" s="869"/>
      <c r="L441" s="869"/>
      <c r="M441" s="869"/>
      <c r="N441" s="869"/>
      <c r="O441" s="869"/>
      <c r="P441" s="869"/>
      <c r="Q441" s="869"/>
      <c r="R441" s="869"/>
      <c r="S441" s="869"/>
      <c r="T441" s="642"/>
      <c r="W441" s="627"/>
      <c r="X441" s="627"/>
      <c r="Y441" s="627"/>
      <c r="Z441" s="627"/>
      <c r="AG441" s="642"/>
    </row>
    <row r="442" spans="4:33">
      <c r="D442" s="869"/>
      <c r="E442" s="869"/>
      <c r="F442" s="869"/>
      <c r="G442" s="869"/>
      <c r="H442" s="869"/>
      <c r="I442" s="869"/>
      <c r="J442" s="869"/>
      <c r="K442" s="869"/>
      <c r="L442" s="869"/>
      <c r="M442" s="869"/>
      <c r="N442" s="869"/>
      <c r="O442" s="869"/>
      <c r="P442" s="869"/>
      <c r="Q442" s="869"/>
      <c r="R442" s="869"/>
      <c r="S442" s="869"/>
      <c r="T442" s="642"/>
      <c r="W442" s="627"/>
      <c r="X442" s="627"/>
      <c r="Y442" s="627"/>
      <c r="Z442" s="627"/>
      <c r="AG442" s="642"/>
    </row>
    <row r="443" spans="4:33">
      <c r="D443" s="869"/>
      <c r="E443" s="869"/>
      <c r="F443" s="869"/>
      <c r="G443" s="869"/>
      <c r="H443" s="869"/>
      <c r="I443" s="869"/>
      <c r="J443" s="869"/>
      <c r="K443" s="869"/>
      <c r="L443" s="869"/>
      <c r="M443" s="869"/>
      <c r="N443" s="869"/>
      <c r="O443" s="869"/>
      <c r="P443" s="869"/>
      <c r="Q443" s="869"/>
      <c r="R443" s="869"/>
      <c r="S443" s="869"/>
      <c r="T443" s="642"/>
      <c r="W443" s="627"/>
      <c r="X443" s="627"/>
      <c r="Y443" s="627"/>
      <c r="Z443" s="627"/>
      <c r="AG443" s="642"/>
    </row>
    <row r="444" spans="4:33">
      <c r="D444" s="869"/>
      <c r="E444" s="869"/>
      <c r="F444" s="869"/>
      <c r="G444" s="869"/>
      <c r="H444" s="869"/>
      <c r="I444" s="869"/>
      <c r="J444" s="869"/>
      <c r="K444" s="869"/>
      <c r="L444" s="869"/>
      <c r="M444" s="869"/>
      <c r="N444" s="869"/>
      <c r="O444" s="869"/>
      <c r="P444" s="869"/>
      <c r="Q444" s="869"/>
      <c r="R444" s="869"/>
      <c r="S444" s="869"/>
      <c r="T444" s="642"/>
      <c r="W444" s="627"/>
      <c r="X444" s="627"/>
      <c r="Y444" s="627"/>
      <c r="Z444" s="627"/>
      <c r="AG444" s="642"/>
    </row>
    <row r="445" spans="4:33">
      <c r="D445" s="869"/>
      <c r="E445" s="869"/>
      <c r="F445" s="869"/>
      <c r="G445" s="869"/>
      <c r="H445" s="869"/>
      <c r="I445" s="869"/>
      <c r="J445" s="869"/>
      <c r="K445" s="869"/>
      <c r="L445" s="869"/>
      <c r="M445" s="869"/>
      <c r="N445" s="869"/>
      <c r="O445" s="869"/>
      <c r="P445" s="869"/>
      <c r="Q445" s="869"/>
      <c r="R445" s="869"/>
      <c r="S445" s="869"/>
      <c r="T445" s="642"/>
      <c r="W445" s="627"/>
      <c r="X445" s="627"/>
      <c r="Y445" s="627"/>
      <c r="Z445" s="627"/>
      <c r="AG445" s="642"/>
    </row>
    <row r="446" spans="4:33">
      <c r="D446" s="869"/>
      <c r="E446" s="869"/>
      <c r="F446" s="869"/>
      <c r="G446" s="869"/>
      <c r="H446" s="869"/>
      <c r="I446" s="869"/>
      <c r="J446" s="869"/>
      <c r="K446" s="869"/>
      <c r="L446" s="869"/>
      <c r="M446" s="869"/>
      <c r="N446" s="869"/>
      <c r="O446" s="869"/>
      <c r="P446" s="869"/>
      <c r="Q446" s="869"/>
      <c r="R446" s="869"/>
      <c r="S446" s="869"/>
      <c r="T446" s="642"/>
      <c r="W446" s="627"/>
      <c r="X446" s="627"/>
      <c r="Y446" s="627"/>
      <c r="Z446" s="627"/>
      <c r="AG446" s="642"/>
    </row>
    <row r="447" spans="4:33">
      <c r="D447" s="869"/>
      <c r="E447" s="869"/>
      <c r="F447" s="869"/>
      <c r="G447" s="869"/>
      <c r="H447" s="869"/>
      <c r="I447" s="869"/>
      <c r="J447" s="869"/>
      <c r="K447" s="869"/>
      <c r="L447" s="869"/>
      <c r="M447" s="869"/>
      <c r="N447" s="869"/>
      <c r="O447" s="869"/>
      <c r="P447" s="869"/>
      <c r="Q447" s="869"/>
      <c r="R447" s="869"/>
      <c r="S447" s="869"/>
      <c r="T447" s="642"/>
      <c r="W447" s="627"/>
      <c r="X447" s="627"/>
      <c r="Y447" s="627"/>
      <c r="Z447" s="627"/>
      <c r="AG447" s="642"/>
    </row>
    <row r="448" spans="4:33">
      <c r="D448" s="869"/>
      <c r="E448" s="869"/>
      <c r="F448" s="869"/>
      <c r="G448" s="869"/>
      <c r="H448" s="869"/>
      <c r="I448" s="869"/>
      <c r="J448" s="869"/>
      <c r="K448" s="869"/>
      <c r="L448" s="869"/>
      <c r="M448" s="869"/>
      <c r="N448" s="869"/>
      <c r="O448" s="869"/>
      <c r="P448" s="869"/>
      <c r="Q448" s="869"/>
      <c r="R448" s="869"/>
      <c r="S448" s="869"/>
      <c r="T448" s="642"/>
      <c r="W448" s="627"/>
      <c r="X448" s="627"/>
      <c r="Y448" s="627"/>
      <c r="Z448" s="627"/>
      <c r="AG448" s="642"/>
    </row>
    <row r="449" spans="4:33">
      <c r="D449" s="869"/>
      <c r="E449" s="869"/>
      <c r="F449" s="869"/>
      <c r="G449" s="869"/>
      <c r="H449" s="869"/>
      <c r="I449" s="869"/>
      <c r="J449" s="869"/>
      <c r="K449" s="869"/>
      <c r="L449" s="869"/>
      <c r="M449" s="869"/>
      <c r="N449" s="869"/>
      <c r="O449" s="869"/>
      <c r="P449" s="869"/>
      <c r="Q449" s="869"/>
      <c r="R449" s="869"/>
      <c r="S449" s="869"/>
      <c r="T449" s="642"/>
      <c r="W449" s="627"/>
      <c r="X449" s="627"/>
      <c r="Y449" s="627"/>
      <c r="Z449" s="627"/>
      <c r="AG449" s="642"/>
    </row>
    <row r="450" spans="4:33">
      <c r="D450" s="869"/>
      <c r="E450" s="869"/>
      <c r="F450" s="869"/>
      <c r="G450" s="869"/>
      <c r="H450" s="869"/>
      <c r="I450" s="869"/>
      <c r="J450" s="869"/>
      <c r="K450" s="869"/>
      <c r="L450" s="869"/>
      <c r="M450" s="869"/>
      <c r="N450" s="869"/>
      <c r="O450" s="869"/>
      <c r="P450" s="869"/>
      <c r="Q450" s="869"/>
      <c r="R450" s="869"/>
      <c r="S450" s="869"/>
      <c r="T450" s="642"/>
      <c r="W450" s="627"/>
      <c r="X450" s="627"/>
      <c r="Y450" s="627"/>
      <c r="Z450" s="627"/>
      <c r="AG450" s="642"/>
    </row>
    <row r="451" spans="4:33">
      <c r="D451" s="869"/>
      <c r="E451" s="869"/>
      <c r="F451" s="869"/>
      <c r="G451" s="869"/>
      <c r="H451" s="869"/>
      <c r="I451" s="869"/>
      <c r="J451" s="869"/>
      <c r="K451" s="869"/>
      <c r="L451" s="869"/>
      <c r="M451" s="869"/>
      <c r="N451" s="869"/>
      <c r="O451" s="869"/>
      <c r="P451" s="869"/>
      <c r="Q451" s="869"/>
      <c r="R451" s="869"/>
      <c r="S451" s="869"/>
      <c r="T451" s="642"/>
      <c r="W451" s="627"/>
      <c r="X451" s="627"/>
      <c r="Y451" s="627"/>
      <c r="Z451" s="627"/>
      <c r="AG451" s="642"/>
    </row>
    <row r="452" spans="4:33">
      <c r="D452" s="869"/>
      <c r="E452" s="869"/>
      <c r="F452" s="869"/>
      <c r="G452" s="869"/>
      <c r="H452" s="869"/>
      <c r="I452" s="869"/>
      <c r="J452" s="869"/>
      <c r="K452" s="869"/>
      <c r="L452" s="869"/>
      <c r="M452" s="869"/>
      <c r="N452" s="869"/>
      <c r="O452" s="869"/>
      <c r="P452" s="869"/>
      <c r="Q452" s="869"/>
      <c r="R452" s="869"/>
      <c r="S452" s="869"/>
      <c r="T452" s="642"/>
      <c r="W452" s="627"/>
      <c r="X452" s="627"/>
      <c r="Y452" s="627"/>
      <c r="Z452" s="627"/>
      <c r="AG452" s="642"/>
    </row>
    <row r="453" spans="4:33">
      <c r="D453" s="869"/>
      <c r="E453" s="869"/>
      <c r="F453" s="869"/>
      <c r="G453" s="869"/>
      <c r="H453" s="869"/>
      <c r="I453" s="869"/>
      <c r="J453" s="869"/>
      <c r="K453" s="869"/>
      <c r="L453" s="869"/>
      <c r="M453" s="869"/>
      <c r="N453" s="869"/>
      <c r="O453" s="869"/>
      <c r="P453" s="869"/>
      <c r="Q453" s="869"/>
      <c r="R453" s="869"/>
      <c r="S453" s="869"/>
      <c r="T453" s="642"/>
      <c r="W453" s="627"/>
      <c r="X453" s="627"/>
      <c r="Y453" s="627"/>
      <c r="Z453" s="627"/>
      <c r="AG453" s="642"/>
    </row>
    <row r="454" spans="4:33">
      <c r="D454" s="869"/>
      <c r="E454" s="869"/>
      <c r="F454" s="869"/>
      <c r="G454" s="869"/>
      <c r="H454" s="869"/>
      <c r="I454" s="869"/>
      <c r="J454" s="869"/>
      <c r="K454" s="869"/>
      <c r="L454" s="869"/>
      <c r="M454" s="869"/>
      <c r="N454" s="869"/>
      <c r="O454" s="869"/>
      <c r="P454" s="869"/>
      <c r="Q454" s="869"/>
      <c r="R454" s="869"/>
      <c r="S454" s="869"/>
      <c r="T454" s="642"/>
      <c r="W454" s="627"/>
      <c r="X454" s="627"/>
      <c r="Y454" s="627"/>
      <c r="Z454" s="627"/>
      <c r="AG454" s="642"/>
    </row>
    <row r="455" spans="4:33">
      <c r="D455" s="869"/>
      <c r="E455" s="869"/>
      <c r="F455" s="869"/>
      <c r="G455" s="869"/>
      <c r="H455" s="869"/>
      <c r="I455" s="869"/>
      <c r="J455" s="869"/>
      <c r="K455" s="869"/>
      <c r="L455" s="869"/>
      <c r="M455" s="869"/>
      <c r="N455" s="869"/>
      <c r="O455" s="869"/>
      <c r="P455" s="869"/>
      <c r="Q455" s="869"/>
      <c r="R455" s="869"/>
      <c r="S455" s="869"/>
      <c r="T455" s="642"/>
      <c r="W455" s="627"/>
      <c r="X455" s="627"/>
      <c r="Y455" s="627"/>
      <c r="Z455" s="627"/>
      <c r="AG455" s="642"/>
    </row>
    <row r="456" spans="4:33">
      <c r="D456" s="869"/>
      <c r="E456" s="869"/>
      <c r="F456" s="869"/>
      <c r="G456" s="869"/>
      <c r="H456" s="869"/>
      <c r="I456" s="869"/>
      <c r="J456" s="869"/>
      <c r="K456" s="869"/>
      <c r="L456" s="869"/>
      <c r="M456" s="869"/>
      <c r="N456" s="869"/>
      <c r="O456" s="869"/>
      <c r="P456" s="869"/>
      <c r="Q456" s="869"/>
      <c r="R456" s="869"/>
      <c r="S456" s="869"/>
      <c r="T456" s="642"/>
      <c r="W456" s="627"/>
      <c r="X456" s="627"/>
      <c r="Y456" s="627"/>
      <c r="Z456" s="627"/>
      <c r="AG456" s="642"/>
    </row>
    <row r="457" spans="4:33">
      <c r="D457" s="869"/>
      <c r="E457" s="869"/>
      <c r="F457" s="869"/>
      <c r="G457" s="869"/>
      <c r="H457" s="869"/>
      <c r="I457" s="869"/>
      <c r="J457" s="869"/>
      <c r="K457" s="869"/>
      <c r="L457" s="869"/>
      <c r="M457" s="869"/>
      <c r="N457" s="869"/>
      <c r="O457" s="869"/>
      <c r="P457" s="869"/>
      <c r="Q457" s="869"/>
      <c r="R457" s="869"/>
      <c r="S457" s="869"/>
      <c r="T457" s="642"/>
      <c r="W457" s="627"/>
      <c r="X457" s="627"/>
      <c r="Y457" s="627"/>
      <c r="Z457" s="627"/>
      <c r="AG457" s="642"/>
    </row>
    <row r="458" spans="4:33">
      <c r="D458" s="869"/>
      <c r="E458" s="869"/>
      <c r="F458" s="869"/>
      <c r="G458" s="869"/>
      <c r="H458" s="869"/>
      <c r="I458" s="869"/>
      <c r="J458" s="869"/>
      <c r="K458" s="869"/>
      <c r="L458" s="869"/>
      <c r="M458" s="869"/>
      <c r="N458" s="869"/>
      <c r="O458" s="869"/>
      <c r="P458" s="869"/>
      <c r="Q458" s="869"/>
      <c r="R458" s="869"/>
      <c r="S458" s="869"/>
      <c r="T458" s="642"/>
      <c r="W458" s="627"/>
      <c r="X458" s="627"/>
      <c r="Y458" s="627"/>
      <c r="Z458" s="627"/>
      <c r="AG458" s="642"/>
    </row>
    <row r="459" spans="4:33">
      <c r="D459" s="869"/>
      <c r="E459" s="869"/>
      <c r="F459" s="869"/>
      <c r="G459" s="869"/>
      <c r="H459" s="869"/>
      <c r="I459" s="869"/>
      <c r="J459" s="869"/>
      <c r="K459" s="869"/>
      <c r="L459" s="869"/>
      <c r="M459" s="869"/>
      <c r="N459" s="869"/>
      <c r="O459" s="869"/>
      <c r="P459" s="869"/>
      <c r="Q459" s="869"/>
      <c r="R459" s="869"/>
      <c r="S459" s="869"/>
      <c r="T459" s="642"/>
      <c r="W459" s="627"/>
      <c r="X459" s="627"/>
      <c r="Y459" s="627"/>
      <c r="Z459" s="627"/>
      <c r="AG459" s="642"/>
    </row>
    <row r="460" spans="4:33">
      <c r="D460" s="869"/>
      <c r="E460" s="869"/>
      <c r="F460" s="869"/>
      <c r="G460" s="869"/>
      <c r="H460" s="869"/>
      <c r="I460" s="869"/>
      <c r="J460" s="869"/>
      <c r="K460" s="869"/>
      <c r="L460" s="869"/>
      <c r="M460" s="869"/>
      <c r="N460" s="869"/>
      <c r="O460" s="869"/>
      <c r="P460" s="869"/>
      <c r="Q460" s="869"/>
      <c r="R460" s="869"/>
      <c r="S460" s="869"/>
      <c r="T460" s="642"/>
      <c r="W460" s="627"/>
      <c r="X460" s="627"/>
      <c r="Y460" s="627"/>
      <c r="Z460" s="627"/>
      <c r="AG460" s="642"/>
    </row>
    <row r="461" spans="4:33">
      <c r="D461" s="869"/>
      <c r="E461" s="869"/>
      <c r="F461" s="869"/>
      <c r="G461" s="869"/>
      <c r="H461" s="869"/>
      <c r="I461" s="869"/>
      <c r="J461" s="869"/>
      <c r="K461" s="869"/>
      <c r="L461" s="869"/>
      <c r="M461" s="869"/>
      <c r="N461" s="869"/>
      <c r="O461" s="869"/>
      <c r="P461" s="869"/>
      <c r="Q461" s="869"/>
      <c r="R461" s="869"/>
      <c r="S461" s="869"/>
      <c r="T461" s="642"/>
      <c r="W461" s="627"/>
      <c r="X461" s="627"/>
      <c r="Y461" s="627"/>
      <c r="Z461" s="627"/>
      <c r="AG461" s="642"/>
    </row>
    <row r="462" spans="4:33">
      <c r="D462" s="869"/>
      <c r="E462" s="869"/>
      <c r="F462" s="869"/>
      <c r="G462" s="869"/>
      <c r="H462" s="869"/>
      <c r="I462" s="869"/>
      <c r="J462" s="869"/>
      <c r="K462" s="869"/>
      <c r="L462" s="869"/>
      <c r="M462" s="869"/>
      <c r="N462" s="869"/>
      <c r="O462" s="869"/>
      <c r="P462" s="869"/>
      <c r="Q462" s="869"/>
      <c r="R462" s="869"/>
      <c r="S462" s="869"/>
      <c r="T462" s="642"/>
      <c r="W462" s="627"/>
      <c r="X462" s="627"/>
      <c r="Y462" s="627"/>
      <c r="Z462" s="627"/>
      <c r="AG462" s="642"/>
    </row>
    <row r="463" spans="4:33">
      <c r="D463" s="869"/>
      <c r="E463" s="869"/>
      <c r="F463" s="869"/>
      <c r="G463" s="869"/>
      <c r="H463" s="869"/>
      <c r="I463" s="869"/>
      <c r="J463" s="869"/>
      <c r="K463" s="869"/>
      <c r="L463" s="869"/>
      <c r="M463" s="869"/>
      <c r="N463" s="869"/>
      <c r="O463" s="869"/>
      <c r="P463" s="869"/>
      <c r="Q463" s="869"/>
      <c r="R463" s="869"/>
      <c r="S463" s="869"/>
      <c r="T463" s="642"/>
      <c r="W463" s="627"/>
      <c r="X463" s="627"/>
      <c r="Y463" s="627"/>
      <c r="Z463" s="627"/>
      <c r="AG463" s="642"/>
    </row>
    <row r="464" spans="4:33">
      <c r="D464" s="869"/>
      <c r="E464" s="869"/>
      <c r="F464" s="869"/>
      <c r="G464" s="869"/>
      <c r="H464" s="869"/>
      <c r="I464" s="869"/>
      <c r="J464" s="869"/>
      <c r="K464" s="869"/>
      <c r="L464" s="869"/>
      <c r="M464" s="869"/>
      <c r="N464" s="869"/>
      <c r="O464" s="869"/>
      <c r="P464" s="869"/>
      <c r="Q464" s="869"/>
      <c r="R464" s="869"/>
      <c r="S464" s="869"/>
      <c r="T464" s="642"/>
      <c r="W464" s="627"/>
      <c r="X464" s="627"/>
      <c r="Y464" s="627"/>
      <c r="Z464" s="627"/>
      <c r="AG464" s="642"/>
    </row>
    <row r="465" spans="4:33">
      <c r="D465" s="869"/>
      <c r="E465" s="869"/>
      <c r="F465" s="869"/>
      <c r="G465" s="869"/>
      <c r="H465" s="869"/>
      <c r="I465" s="869"/>
      <c r="J465" s="869"/>
      <c r="K465" s="869"/>
      <c r="L465" s="869"/>
      <c r="M465" s="869"/>
      <c r="N465" s="869"/>
      <c r="O465" s="869"/>
      <c r="P465" s="869"/>
      <c r="Q465" s="869"/>
      <c r="R465" s="869"/>
      <c r="S465" s="869"/>
      <c r="T465" s="642"/>
      <c r="W465" s="627"/>
      <c r="X465" s="627"/>
      <c r="Y465" s="627"/>
      <c r="Z465" s="627"/>
      <c r="AG465" s="642"/>
    </row>
    <row r="466" spans="4:33">
      <c r="D466" s="869"/>
      <c r="E466" s="869"/>
      <c r="F466" s="869"/>
      <c r="G466" s="869"/>
      <c r="H466" s="869"/>
      <c r="I466" s="869"/>
      <c r="J466" s="869"/>
      <c r="K466" s="869"/>
      <c r="L466" s="869"/>
      <c r="M466" s="869"/>
      <c r="N466" s="869"/>
      <c r="O466" s="869"/>
      <c r="P466" s="869"/>
      <c r="Q466" s="869"/>
      <c r="R466" s="869"/>
      <c r="S466" s="869"/>
      <c r="T466" s="642"/>
      <c r="W466" s="627"/>
      <c r="X466" s="627"/>
      <c r="Y466" s="627"/>
      <c r="Z466" s="627"/>
      <c r="AG466" s="642"/>
    </row>
    <row r="467" spans="4:33">
      <c r="D467" s="869"/>
      <c r="E467" s="869"/>
      <c r="F467" s="869"/>
      <c r="G467" s="869"/>
      <c r="H467" s="869"/>
      <c r="I467" s="869"/>
      <c r="J467" s="869"/>
      <c r="K467" s="869"/>
      <c r="L467" s="869"/>
      <c r="M467" s="869"/>
      <c r="N467" s="869"/>
      <c r="O467" s="869"/>
      <c r="P467" s="869"/>
      <c r="Q467" s="869"/>
      <c r="R467" s="869"/>
      <c r="S467" s="869"/>
      <c r="T467" s="642"/>
      <c r="W467" s="627"/>
      <c r="X467" s="627"/>
      <c r="Y467" s="627"/>
      <c r="Z467" s="627"/>
      <c r="AG467" s="642"/>
    </row>
    <row r="468" spans="4:33">
      <c r="D468" s="869"/>
      <c r="E468" s="869"/>
      <c r="F468" s="869"/>
      <c r="G468" s="869"/>
      <c r="H468" s="869"/>
      <c r="I468" s="869"/>
      <c r="J468" s="869"/>
      <c r="K468" s="869"/>
      <c r="L468" s="869"/>
      <c r="M468" s="869"/>
      <c r="N468" s="869"/>
      <c r="O468" s="869"/>
      <c r="P468" s="869"/>
      <c r="Q468" s="869"/>
      <c r="R468" s="869"/>
      <c r="S468" s="869"/>
      <c r="T468" s="642"/>
      <c r="W468" s="627"/>
      <c r="X468" s="627"/>
      <c r="Y468" s="627"/>
      <c r="Z468" s="627"/>
      <c r="AG468" s="642"/>
    </row>
    <row r="469" spans="4:33">
      <c r="D469" s="869"/>
      <c r="E469" s="869"/>
      <c r="F469" s="869"/>
      <c r="G469" s="869"/>
      <c r="H469" s="869"/>
      <c r="I469" s="869"/>
      <c r="J469" s="869"/>
      <c r="K469" s="869"/>
      <c r="L469" s="869"/>
      <c r="M469" s="869"/>
      <c r="N469" s="869"/>
      <c r="O469" s="869"/>
      <c r="P469" s="869"/>
      <c r="Q469" s="869"/>
      <c r="R469" s="869"/>
      <c r="S469" s="869"/>
      <c r="T469" s="642"/>
      <c r="W469" s="627"/>
      <c r="X469" s="627"/>
      <c r="Y469" s="627"/>
      <c r="Z469" s="627"/>
      <c r="AG469" s="642"/>
    </row>
    <row r="470" spans="4:33">
      <c r="D470" s="869"/>
      <c r="E470" s="869"/>
      <c r="F470" s="869"/>
      <c r="G470" s="869"/>
      <c r="H470" s="869"/>
      <c r="I470" s="869"/>
      <c r="J470" s="869"/>
      <c r="K470" s="869"/>
      <c r="L470" s="869"/>
      <c r="M470" s="869"/>
      <c r="N470" s="869"/>
      <c r="O470" s="869"/>
      <c r="P470" s="869"/>
      <c r="Q470" s="869"/>
      <c r="R470" s="869"/>
      <c r="S470" s="869"/>
      <c r="T470" s="642"/>
      <c r="W470" s="627"/>
      <c r="X470" s="627"/>
      <c r="Y470" s="627"/>
      <c r="Z470" s="627"/>
      <c r="AG470" s="642"/>
    </row>
    <row r="471" spans="4:33">
      <c r="D471" s="869"/>
      <c r="E471" s="869"/>
      <c r="F471" s="869"/>
      <c r="G471" s="869"/>
      <c r="H471" s="869"/>
      <c r="I471" s="869"/>
      <c r="J471" s="869"/>
      <c r="K471" s="869"/>
      <c r="L471" s="869"/>
      <c r="M471" s="869"/>
      <c r="N471" s="869"/>
      <c r="O471" s="869"/>
      <c r="P471" s="869"/>
      <c r="Q471" s="869"/>
      <c r="R471" s="869"/>
      <c r="S471" s="869"/>
      <c r="T471" s="642"/>
      <c r="W471" s="627"/>
      <c r="X471" s="627"/>
      <c r="Y471" s="627"/>
      <c r="Z471" s="627"/>
      <c r="AG471" s="642"/>
    </row>
    <row r="472" spans="4:33">
      <c r="D472" s="869"/>
      <c r="E472" s="869"/>
      <c r="F472" s="869"/>
      <c r="G472" s="869"/>
      <c r="H472" s="869"/>
      <c r="I472" s="869"/>
      <c r="J472" s="869"/>
      <c r="K472" s="869"/>
      <c r="L472" s="869"/>
      <c r="M472" s="869"/>
      <c r="N472" s="869"/>
      <c r="O472" s="869"/>
      <c r="P472" s="869"/>
      <c r="Q472" s="869"/>
      <c r="R472" s="869"/>
      <c r="S472" s="869"/>
      <c r="T472" s="642"/>
      <c r="W472" s="627"/>
      <c r="X472" s="627"/>
      <c r="Y472" s="627"/>
      <c r="Z472" s="627"/>
      <c r="AG472" s="642"/>
    </row>
    <row r="473" spans="4:33">
      <c r="D473" s="869"/>
      <c r="E473" s="869"/>
      <c r="F473" s="869"/>
      <c r="G473" s="869"/>
      <c r="H473" s="869"/>
      <c r="I473" s="869"/>
      <c r="J473" s="869"/>
      <c r="K473" s="869"/>
      <c r="L473" s="869"/>
      <c r="M473" s="869"/>
      <c r="N473" s="869"/>
      <c r="O473" s="869"/>
      <c r="P473" s="869"/>
      <c r="Q473" s="869"/>
      <c r="R473" s="869"/>
      <c r="S473" s="869"/>
      <c r="T473" s="642"/>
      <c r="W473" s="627"/>
      <c r="X473" s="627"/>
      <c r="Y473" s="627"/>
      <c r="Z473" s="627"/>
      <c r="AG473" s="642"/>
    </row>
    <row r="474" spans="4:33">
      <c r="D474" s="869"/>
      <c r="E474" s="869"/>
      <c r="F474" s="869"/>
      <c r="G474" s="869"/>
      <c r="H474" s="869"/>
      <c r="I474" s="869"/>
      <c r="J474" s="869"/>
      <c r="K474" s="869"/>
      <c r="L474" s="869"/>
      <c r="M474" s="869"/>
      <c r="N474" s="869"/>
      <c r="O474" s="869"/>
      <c r="P474" s="869"/>
      <c r="Q474" s="869"/>
      <c r="R474" s="869"/>
      <c r="S474" s="869"/>
      <c r="T474" s="642"/>
      <c r="W474" s="627"/>
      <c r="X474" s="627"/>
      <c r="Y474" s="627"/>
      <c r="Z474" s="627"/>
      <c r="AG474" s="642"/>
    </row>
    <row r="475" spans="4:33">
      <c r="D475" s="869"/>
      <c r="E475" s="869"/>
      <c r="F475" s="869"/>
      <c r="G475" s="869"/>
      <c r="H475" s="869"/>
      <c r="I475" s="869"/>
      <c r="J475" s="869"/>
      <c r="K475" s="869"/>
      <c r="L475" s="869"/>
      <c r="M475" s="869"/>
      <c r="N475" s="869"/>
      <c r="O475" s="869"/>
      <c r="P475" s="869"/>
      <c r="Q475" s="869"/>
      <c r="R475" s="869"/>
      <c r="S475" s="869"/>
      <c r="T475" s="642"/>
      <c r="W475" s="627"/>
      <c r="X475" s="627"/>
      <c r="Y475" s="627"/>
      <c r="Z475" s="627"/>
      <c r="AG475" s="642"/>
    </row>
    <row r="476" spans="4:33">
      <c r="D476" s="869"/>
      <c r="E476" s="869"/>
      <c r="F476" s="869"/>
      <c r="G476" s="869"/>
      <c r="H476" s="869"/>
      <c r="I476" s="869"/>
      <c r="J476" s="869"/>
      <c r="K476" s="869"/>
      <c r="L476" s="869"/>
      <c r="M476" s="869"/>
      <c r="N476" s="869"/>
      <c r="O476" s="869"/>
      <c r="P476" s="869"/>
      <c r="Q476" s="869"/>
      <c r="R476" s="869"/>
      <c r="S476" s="869"/>
      <c r="T476" s="642"/>
      <c r="W476" s="627"/>
      <c r="X476" s="627"/>
      <c r="Y476" s="627"/>
      <c r="Z476" s="627"/>
      <c r="AG476" s="642"/>
    </row>
    <row r="477" spans="4:33">
      <c r="D477" s="869"/>
      <c r="E477" s="869"/>
      <c r="F477" s="869"/>
      <c r="G477" s="869"/>
      <c r="H477" s="869"/>
      <c r="I477" s="869"/>
      <c r="J477" s="869"/>
      <c r="K477" s="869"/>
      <c r="L477" s="869"/>
      <c r="M477" s="869"/>
      <c r="N477" s="869"/>
      <c r="O477" s="869"/>
      <c r="P477" s="869"/>
      <c r="Q477" s="869"/>
      <c r="R477" s="869"/>
      <c r="S477" s="869"/>
      <c r="T477" s="642"/>
      <c r="W477" s="627"/>
      <c r="X477" s="627"/>
      <c r="Y477" s="627"/>
      <c r="Z477" s="627"/>
      <c r="AG477" s="642"/>
    </row>
    <row r="478" spans="4:33">
      <c r="D478" s="869"/>
      <c r="E478" s="869"/>
      <c r="F478" s="869"/>
      <c r="G478" s="869"/>
      <c r="H478" s="869"/>
      <c r="I478" s="869"/>
      <c r="J478" s="869"/>
      <c r="K478" s="869"/>
      <c r="L478" s="869"/>
      <c r="M478" s="869"/>
      <c r="N478" s="869"/>
      <c r="O478" s="869"/>
      <c r="P478" s="869"/>
      <c r="Q478" s="869"/>
      <c r="R478" s="869"/>
      <c r="S478" s="869"/>
      <c r="T478" s="642"/>
      <c r="W478" s="627"/>
      <c r="X478" s="627"/>
      <c r="Y478" s="627"/>
      <c r="Z478" s="627"/>
      <c r="AG478" s="642"/>
    </row>
    <row r="479" spans="4:33">
      <c r="D479" s="869"/>
      <c r="E479" s="869"/>
      <c r="F479" s="869"/>
      <c r="G479" s="869"/>
      <c r="H479" s="869"/>
      <c r="I479" s="869"/>
      <c r="J479" s="869"/>
      <c r="K479" s="869"/>
      <c r="L479" s="869"/>
      <c r="M479" s="869"/>
      <c r="N479" s="869"/>
      <c r="O479" s="869"/>
      <c r="P479" s="869"/>
      <c r="Q479" s="869"/>
      <c r="R479" s="869"/>
      <c r="S479" s="869"/>
      <c r="T479" s="642"/>
      <c r="W479" s="627"/>
      <c r="X479" s="627"/>
      <c r="Y479" s="627"/>
      <c r="Z479" s="627"/>
      <c r="AG479" s="642"/>
    </row>
    <row r="480" spans="4:33">
      <c r="D480" s="869"/>
      <c r="E480" s="869"/>
      <c r="F480" s="869"/>
      <c r="G480" s="869"/>
      <c r="H480" s="869"/>
      <c r="I480" s="869"/>
      <c r="J480" s="869"/>
      <c r="K480" s="869"/>
      <c r="L480" s="869"/>
      <c r="M480" s="869"/>
      <c r="N480" s="869"/>
      <c r="O480" s="869"/>
      <c r="P480" s="869"/>
      <c r="Q480" s="869"/>
      <c r="R480" s="869"/>
      <c r="S480" s="869"/>
      <c r="T480" s="642"/>
      <c r="W480" s="627"/>
      <c r="X480" s="627"/>
      <c r="Y480" s="627"/>
      <c r="Z480" s="627"/>
      <c r="AG480" s="642"/>
    </row>
    <row r="481" spans="4:33">
      <c r="D481" s="869"/>
      <c r="E481" s="869"/>
      <c r="F481" s="869"/>
      <c r="G481" s="869"/>
      <c r="H481" s="869"/>
      <c r="I481" s="869"/>
      <c r="J481" s="869"/>
      <c r="K481" s="869"/>
      <c r="L481" s="869"/>
      <c r="M481" s="869"/>
      <c r="N481" s="869"/>
      <c r="O481" s="869"/>
      <c r="P481" s="869"/>
      <c r="Q481" s="869"/>
      <c r="R481" s="869"/>
      <c r="S481" s="869"/>
      <c r="T481" s="642"/>
      <c r="W481" s="627"/>
      <c r="X481" s="627"/>
      <c r="Y481" s="627"/>
      <c r="Z481" s="627"/>
      <c r="AG481" s="642"/>
    </row>
    <row r="482" spans="4:33">
      <c r="D482" s="869"/>
      <c r="E482" s="869"/>
      <c r="F482" s="869"/>
      <c r="G482" s="869"/>
      <c r="H482" s="869"/>
      <c r="I482" s="869"/>
      <c r="J482" s="869"/>
      <c r="K482" s="869"/>
      <c r="L482" s="869"/>
      <c r="M482" s="869"/>
      <c r="N482" s="869"/>
      <c r="O482" s="869"/>
      <c r="P482" s="869"/>
      <c r="Q482" s="869"/>
      <c r="R482" s="869"/>
      <c r="S482" s="869"/>
      <c r="T482" s="642"/>
      <c r="W482" s="627"/>
      <c r="X482" s="627"/>
      <c r="Y482" s="627"/>
      <c r="Z482" s="627"/>
      <c r="AG482" s="642"/>
    </row>
    <row r="483" spans="4:33">
      <c r="D483" s="869"/>
      <c r="E483" s="869"/>
      <c r="F483" s="869"/>
      <c r="G483" s="869"/>
      <c r="H483" s="869"/>
      <c r="I483" s="869"/>
      <c r="J483" s="869"/>
      <c r="K483" s="869"/>
      <c r="L483" s="869"/>
      <c r="M483" s="869"/>
      <c r="N483" s="869"/>
      <c r="O483" s="869"/>
      <c r="P483" s="869"/>
      <c r="Q483" s="869"/>
      <c r="R483" s="869"/>
      <c r="S483" s="869"/>
      <c r="T483" s="642"/>
      <c r="W483" s="627"/>
      <c r="X483" s="627"/>
      <c r="Y483" s="627"/>
      <c r="Z483" s="627"/>
      <c r="AG483" s="642"/>
    </row>
    <row r="484" spans="4:33">
      <c r="D484" s="869"/>
      <c r="E484" s="869"/>
      <c r="F484" s="869"/>
      <c r="G484" s="869"/>
      <c r="H484" s="869"/>
      <c r="I484" s="869"/>
      <c r="J484" s="869"/>
      <c r="K484" s="869"/>
      <c r="L484" s="869"/>
      <c r="M484" s="869"/>
      <c r="N484" s="869"/>
      <c r="O484" s="869"/>
      <c r="P484" s="869"/>
      <c r="Q484" s="869"/>
      <c r="R484" s="869"/>
      <c r="S484" s="869"/>
      <c r="T484" s="642"/>
      <c r="W484" s="627"/>
      <c r="X484" s="627"/>
      <c r="Y484" s="627"/>
      <c r="Z484" s="627"/>
      <c r="AG484" s="642"/>
    </row>
    <row r="485" spans="4:33">
      <c r="D485" s="869"/>
      <c r="E485" s="869"/>
      <c r="F485" s="869"/>
      <c r="G485" s="869"/>
      <c r="H485" s="869"/>
      <c r="I485" s="869"/>
      <c r="J485" s="869"/>
      <c r="K485" s="869"/>
      <c r="L485" s="869"/>
      <c r="M485" s="869"/>
      <c r="N485" s="869"/>
      <c r="O485" s="869"/>
      <c r="P485" s="869"/>
      <c r="Q485" s="869"/>
      <c r="R485" s="869"/>
      <c r="S485" s="869"/>
      <c r="T485" s="642"/>
      <c r="W485" s="627"/>
      <c r="X485" s="627"/>
      <c r="Y485" s="627"/>
      <c r="Z485" s="627"/>
      <c r="AG485" s="642"/>
    </row>
    <row r="486" spans="4:33">
      <c r="D486" s="869"/>
      <c r="E486" s="869"/>
      <c r="F486" s="869"/>
      <c r="G486" s="869"/>
      <c r="H486" s="869"/>
      <c r="I486" s="869"/>
      <c r="J486" s="869"/>
      <c r="K486" s="869"/>
      <c r="L486" s="869"/>
      <c r="M486" s="869"/>
      <c r="N486" s="869"/>
      <c r="O486" s="869"/>
      <c r="P486" s="869"/>
      <c r="Q486" s="869"/>
      <c r="R486" s="869"/>
      <c r="S486" s="869"/>
      <c r="T486" s="642"/>
      <c r="W486" s="627"/>
      <c r="X486" s="627"/>
      <c r="Y486" s="627"/>
      <c r="Z486" s="627"/>
      <c r="AG486" s="642"/>
    </row>
    <row r="487" spans="4:33">
      <c r="D487" s="869"/>
      <c r="E487" s="869"/>
      <c r="F487" s="869"/>
      <c r="G487" s="869"/>
      <c r="H487" s="869"/>
      <c r="I487" s="869"/>
      <c r="J487" s="869"/>
      <c r="K487" s="869"/>
      <c r="L487" s="869"/>
      <c r="M487" s="869"/>
      <c r="N487" s="869"/>
      <c r="O487" s="869"/>
      <c r="P487" s="869"/>
      <c r="Q487" s="869"/>
      <c r="R487" s="869"/>
      <c r="S487" s="869"/>
      <c r="T487" s="642"/>
      <c r="W487" s="627"/>
      <c r="X487" s="627"/>
      <c r="Y487" s="627"/>
      <c r="Z487" s="627"/>
      <c r="AG487" s="642"/>
    </row>
    <row r="488" spans="4:33">
      <c r="D488" s="869"/>
      <c r="E488" s="869"/>
      <c r="F488" s="869"/>
      <c r="G488" s="869"/>
      <c r="H488" s="869"/>
      <c r="I488" s="869"/>
      <c r="J488" s="869"/>
      <c r="K488" s="869"/>
      <c r="L488" s="869"/>
      <c r="M488" s="869"/>
      <c r="N488" s="869"/>
      <c r="O488" s="869"/>
      <c r="P488" s="869"/>
      <c r="Q488" s="869"/>
      <c r="R488" s="869"/>
      <c r="S488" s="869"/>
      <c r="T488" s="642"/>
      <c r="W488" s="627"/>
      <c r="X488" s="627"/>
      <c r="Y488" s="627"/>
      <c r="Z488" s="627"/>
      <c r="AG488" s="642"/>
    </row>
    <row r="489" spans="4:33">
      <c r="D489" s="869"/>
      <c r="E489" s="869"/>
      <c r="F489" s="869"/>
      <c r="G489" s="869"/>
      <c r="H489" s="869"/>
      <c r="I489" s="869"/>
      <c r="J489" s="869"/>
      <c r="K489" s="869"/>
      <c r="L489" s="869"/>
      <c r="M489" s="869"/>
      <c r="N489" s="869"/>
      <c r="O489" s="869"/>
      <c r="P489" s="869"/>
      <c r="Q489" s="869"/>
      <c r="R489" s="869"/>
      <c r="S489" s="869"/>
      <c r="T489" s="642"/>
      <c r="W489" s="627"/>
      <c r="X489" s="627"/>
      <c r="Y489" s="627"/>
      <c r="Z489" s="627"/>
      <c r="AG489" s="642"/>
    </row>
    <row r="490" spans="4:33">
      <c r="D490" s="869"/>
      <c r="E490" s="869"/>
      <c r="F490" s="869"/>
      <c r="G490" s="869"/>
      <c r="H490" s="869"/>
      <c r="I490" s="869"/>
      <c r="J490" s="869"/>
      <c r="K490" s="869"/>
      <c r="L490" s="869"/>
      <c r="M490" s="869"/>
      <c r="N490" s="869"/>
      <c r="O490" s="869"/>
      <c r="P490" s="869"/>
      <c r="Q490" s="869"/>
      <c r="R490" s="869"/>
      <c r="S490" s="869"/>
      <c r="T490" s="642"/>
      <c r="W490" s="627"/>
      <c r="X490" s="627"/>
      <c r="Y490" s="627"/>
      <c r="Z490" s="627"/>
      <c r="AG490" s="642"/>
    </row>
    <row r="491" spans="4:33">
      <c r="D491" s="869"/>
      <c r="E491" s="869"/>
      <c r="F491" s="869"/>
      <c r="G491" s="869"/>
      <c r="H491" s="869"/>
      <c r="I491" s="869"/>
      <c r="J491" s="869"/>
      <c r="K491" s="869"/>
      <c r="L491" s="869"/>
      <c r="M491" s="869"/>
      <c r="N491" s="869"/>
      <c r="O491" s="869"/>
      <c r="P491" s="869"/>
      <c r="Q491" s="869"/>
      <c r="R491" s="869"/>
      <c r="S491" s="869"/>
      <c r="T491" s="642"/>
      <c r="W491" s="627"/>
      <c r="X491" s="627"/>
      <c r="Y491" s="627"/>
      <c r="Z491" s="627"/>
      <c r="AG491" s="642"/>
    </row>
    <row r="492" spans="4:33">
      <c r="D492" s="869"/>
      <c r="E492" s="869"/>
      <c r="F492" s="869"/>
      <c r="G492" s="869"/>
      <c r="H492" s="869"/>
      <c r="I492" s="869"/>
      <c r="J492" s="869"/>
      <c r="K492" s="869"/>
      <c r="L492" s="869"/>
      <c r="M492" s="869"/>
      <c r="N492" s="869"/>
      <c r="O492" s="869"/>
      <c r="P492" s="869"/>
      <c r="Q492" s="869"/>
      <c r="R492" s="869"/>
      <c r="S492" s="869"/>
      <c r="T492" s="642"/>
      <c r="W492" s="627"/>
      <c r="X492" s="627"/>
      <c r="Y492" s="627"/>
      <c r="Z492" s="627"/>
      <c r="AG492" s="642"/>
    </row>
    <row r="493" spans="4:33">
      <c r="D493" s="869"/>
      <c r="E493" s="869"/>
      <c r="F493" s="869"/>
      <c r="G493" s="869"/>
      <c r="H493" s="869"/>
      <c r="I493" s="869"/>
      <c r="J493" s="869"/>
      <c r="K493" s="869"/>
      <c r="L493" s="869"/>
      <c r="M493" s="869"/>
      <c r="N493" s="869"/>
      <c r="O493" s="869"/>
      <c r="P493" s="869"/>
      <c r="Q493" s="869"/>
      <c r="R493" s="869"/>
      <c r="S493" s="869"/>
      <c r="T493" s="642"/>
      <c r="W493" s="627"/>
      <c r="X493" s="627"/>
      <c r="Y493" s="627"/>
      <c r="Z493" s="627"/>
      <c r="AG493" s="642"/>
    </row>
    <row r="494" spans="4:33">
      <c r="D494" s="869"/>
      <c r="E494" s="869"/>
      <c r="F494" s="869"/>
      <c r="G494" s="869"/>
      <c r="H494" s="869"/>
      <c r="I494" s="869"/>
      <c r="J494" s="869"/>
      <c r="K494" s="869"/>
      <c r="L494" s="869"/>
      <c r="M494" s="869"/>
      <c r="N494" s="869"/>
      <c r="O494" s="869"/>
      <c r="P494" s="869"/>
      <c r="Q494" s="869"/>
      <c r="R494" s="869"/>
      <c r="S494" s="869"/>
      <c r="T494" s="642"/>
      <c r="W494" s="627"/>
      <c r="X494" s="627"/>
      <c r="Y494" s="627"/>
      <c r="Z494" s="627"/>
      <c r="AG494" s="642"/>
    </row>
    <row r="495" spans="4:33">
      <c r="D495" s="869"/>
      <c r="E495" s="869"/>
      <c r="F495" s="869"/>
      <c r="G495" s="869"/>
      <c r="H495" s="869"/>
      <c r="I495" s="869"/>
      <c r="J495" s="869"/>
      <c r="K495" s="869"/>
      <c r="L495" s="869"/>
      <c r="M495" s="869"/>
      <c r="N495" s="869"/>
      <c r="O495" s="869"/>
      <c r="P495" s="869"/>
      <c r="Q495" s="869"/>
      <c r="R495" s="869"/>
      <c r="S495" s="869"/>
      <c r="T495" s="642"/>
      <c r="W495" s="627"/>
      <c r="X495" s="627"/>
      <c r="Y495" s="627"/>
      <c r="Z495" s="627"/>
      <c r="AG495" s="642"/>
    </row>
    <row r="496" spans="4:33">
      <c r="D496" s="869"/>
      <c r="E496" s="869"/>
      <c r="F496" s="869"/>
      <c r="G496" s="869"/>
      <c r="H496" s="869"/>
      <c r="I496" s="869"/>
      <c r="J496" s="869"/>
      <c r="K496" s="869"/>
      <c r="L496" s="869"/>
      <c r="M496" s="869"/>
      <c r="N496" s="869"/>
      <c r="O496" s="869"/>
      <c r="P496" s="869"/>
      <c r="Q496" s="869"/>
      <c r="R496" s="869"/>
      <c r="S496" s="869"/>
      <c r="T496" s="642"/>
      <c r="W496" s="627"/>
      <c r="X496" s="627"/>
      <c r="Y496" s="627"/>
      <c r="Z496" s="627"/>
      <c r="AG496" s="642"/>
    </row>
    <row r="497" spans="4:33">
      <c r="D497" s="869"/>
      <c r="E497" s="869"/>
      <c r="F497" s="869"/>
      <c r="G497" s="869"/>
      <c r="H497" s="869"/>
      <c r="I497" s="869"/>
      <c r="J497" s="869"/>
      <c r="K497" s="869"/>
      <c r="L497" s="869"/>
      <c r="M497" s="869"/>
      <c r="N497" s="869"/>
      <c r="O497" s="869"/>
      <c r="P497" s="869"/>
      <c r="Q497" s="869"/>
      <c r="R497" s="869"/>
      <c r="S497" s="869"/>
      <c r="T497" s="642"/>
      <c r="W497" s="627"/>
      <c r="X497" s="627"/>
      <c r="Y497" s="627"/>
      <c r="Z497" s="627"/>
      <c r="AG497" s="642"/>
    </row>
    <row r="498" spans="4:33">
      <c r="D498" s="869"/>
      <c r="E498" s="869"/>
      <c r="F498" s="869"/>
      <c r="G498" s="869"/>
      <c r="H498" s="869"/>
      <c r="I498" s="869"/>
      <c r="J498" s="869"/>
      <c r="K498" s="869"/>
      <c r="L498" s="869"/>
      <c r="M498" s="869"/>
      <c r="N498" s="869"/>
      <c r="O498" s="869"/>
      <c r="P498" s="869"/>
      <c r="Q498" s="869"/>
      <c r="R498" s="869"/>
      <c r="S498" s="869"/>
      <c r="T498" s="642"/>
      <c r="W498" s="627"/>
      <c r="X498" s="627"/>
      <c r="Y498" s="627"/>
      <c r="Z498" s="627"/>
      <c r="AG498" s="642"/>
    </row>
    <row r="499" spans="4:33">
      <c r="D499" s="869"/>
      <c r="E499" s="869"/>
      <c r="F499" s="869"/>
      <c r="G499" s="869"/>
      <c r="H499" s="869"/>
      <c r="I499" s="869"/>
      <c r="J499" s="869"/>
      <c r="K499" s="869"/>
      <c r="L499" s="869"/>
      <c r="M499" s="869"/>
      <c r="N499" s="869"/>
      <c r="O499" s="869"/>
      <c r="P499" s="869"/>
      <c r="Q499" s="869"/>
      <c r="R499" s="869"/>
      <c r="S499" s="869"/>
      <c r="T499" s="642"/>
      <c r="W499" s="627"/>
      <c r="X499" s="627"/>
      <c r="Y499" s="627"/>
      <c r="Z499" s="627"/>
      <c r="AG499" s="642"/>
    </row>
    <row r="500" spans="4:33">
      <c r="D500" s="869"/>
      <c r="E500" s="869"/>
      <c r="F500" s="869"/>
      <c r="G500" s="869"/>
      <c r="H500" s="869"/>
      <c r="I500" s="869"/>
      <c r="J500" s="869"/>
      <c r="K500" s="869"/>
      <c r="L500" s="869"/>
      <c r="M500" s="869"/>
      <c r="N500" s="869"/>
      <c r="O500" s="869"/>
      <c r="P500" s="869"/>
      <c r="Q500" s="869"/>
      <c r="R500" s="869"/>
      <c r="S500" s="869"/>
      <c r="T500" s="642"/>
      <c r="W500" s="627"/>
      <c r="X500" s="627"/>
      <c r="Y500" s="627"/>
      <c r="Z500" s="627"/>
      <c r="AG500" s="642"/>
    </row>
    <row r="501" spans="4:33">
      <c r="D501" s="869"/>
      <c r="E501" s="869"/>
      <c r="F501" s="869"/>
      <c r="G501" s="869"/>
      <c r="H501" s="869"/>
      <c r="I501" s="869"/>
      <c r="J501" s="869"/>
      <c r="K501" s="869"/>
      <c r="L501" s="869"/>
      <c r="M501" s="869"/>
      <c r="N501" s="869"/>
      <c r="O501" s="869"/>
      <c r="P501" s="869"/>
      <c r="Q501" s="869"/>
      <c r="R501" s="869"/>
      <c r="S501" s="869"/>
      <c r="T501" s="642"/>
      <c r="W501" s="627"/>
      <c r="X501" s="627"/>
      <c r="Y501" s="627"/>
      <c r="Z501" s="627"/>
      <c r="AG501" s="642"/>
    </row>
    <row r="502" spans="4:33">
      <c r="D502" s="869"/>
      <c r="E502" s="869"/>
      <c r="F502" s="869"/>
      <c r="G502" s="869"/>
      <c r="H502" s="869"/>
      <c r="I502" s="869"/>
      <c r="J502" s="869"/>
      <c r="K502" s="869"/>
      <c r="L502" s="869"/>
      <c r="M502" s="869"/>
      <c r="N502" s="869"/>
      <c r="O502" s="869"/>
      <c r="P502" s="869"/>
      <c r="Q502" s="869"/>
      <c r="R502" s="869"/>
      <c r="S502" s="869"/>
      <c r="T502" s="642"/>
      <c r="W502" s="627"/>
      <c r="X502" s="627"/>
      <c r="Y502" s="627"/>
      <c r="Z502" s="627"/>
      <c r="AG502" s="642"/>
    </row>
    <row r="503" spans="4:33">
      <c r="D503" s="869"/>
      <c r="E503" s="869"/>
      <c r="F503" s="869"/>
      <c r="G503" s="869"/>
      <c r="H503" s="869"/>
      <c r="I503" s="869"/>
      <c r="J503" s="869"/>
      <c r="K503" s="869"/>
      <c r="L503" s="869"/>
      <c r="M503" s="869"/>
      <c r="N503" s="869"/>
      <c r="O503" s="869"/>
      <c r="P503" s="869"/>
      <c r="Q503" s="869"/>
      <c r="R503" s="869"/>
      <c r="S503" s="869"/>
      <c r="T503" s="642"/>
      <c r="W503" s="627"/>
      <c r="X503" s="627"/>
      <c r="Y503" s="627"/>
      <c r="Z503" s="627"/>
      <c r="AG503" s="642"/>
    </row>
    <row r="504" spans="4:33">
      <c r="D504" s="869"/>
      <c r="E504" s="869"/>
      <c r="F504" s="869"/>
      <c r="G504" s="869"/>
      <c r="H504" s="869"/>
      <c r="I504" s="869"/>
      <c r="J504" s="869"/>
      <c r="K504" s="869"/>
      <c r="L504" s="869"/>
      <c r="M504" s="869"/>
      <c r="N504" s="869"/>
      <c r="O504" s="869"/>
      <c r="P504" s="869"/>
      <c r="Q504" s="869"/>
      <c r="R504" s="869"/>
      <c r="S504" s="869"/>
      <c r="T504" s="642"/>
      <c r="W504" s="627"/>
      <c r="X504" s="627"/>
      <c r="Y504" s="627"/>
      <c r="Z504" s="627"/>
      <c r="AG504" s="642"/>
    </row>
    <row r="505" spans="4:33">
      <c r="D505" s="869"/>
      <c r="E505" s="869"/>
      <c r="F505" s="869"/>
      <c r="G505" s="869"/>
      <c r="H505" s="869"/>
      <c r="I505" s="869"/>
      <c r="J505" s="869"/>
      <c r="K505" s="869"/>
      <c r="L505" s="869"/>
      <c r="M505" s="869"/>
      <c r="N505" s="869"/>
      <c r="O505" s="869"/>
      <c r="P505" s="869"/>
      <c r="Q505" s="869"/>
      <c r="R505" s="869"/>
      <c r="S505" s="869"/>
      <c r="T505" s="642"/>
      <c r="W505" s="627"/>
      <c r="X505" s="627"/>
      <c r="Y505" s="627"/>
      <c r="Z505" s="627"/>
      <c r="AG505" s="642"/>
    </row>
    <row r="506" spans="4:33">
      <c r="D506" s="869"/>
      <c r="E506" s="869"/>
      <c r="F506" s="869"/>
      <c r="G506" s="869"/>
      <c r="H506" s="869"/>
      <c r="I506" s="869"/>
      <c r="J506" s="869"/>
      <c r="K506" s="869"/>
      <c r="L506" s="869"/>
      <c r="M506" s="869"/>
      <c r="N506" s="869"/>
      <c r="O506" s="869"/>
      <c r="P506" s="869"/>
      <c r="Q506" s="869"/>
      <c r="R506" s="869"/>
      <c r="S506" s="869"/>
      <c r="T506" s="642"/>
      <c r="W506" s="627"/>
      <c r="X506" s="627"/>
      <c r="Y506" s="627"/>
      <c r="Z506" s="627"/>
      <c r="AG506" s="642"/>
    </row>
    <row r="507" spans="4:33">
      <c r="D507" s="869"/>
      <c r="E507" s="869"/>
      <c r="F507" s="869"/>
      <c r="G507" s="869"/>
      <c r="H507" s="869"/>
      <c r="I507" s="869"/>
      <c r="J507" s="869"/>
      <c r="K507" s="869"/>
      <c r="L507" s="869"/>
      <c r="M507" s="869"/>
      <c r="N507" s="869"/>
      <c r="O507" s="869"/>
      <c r="P507" s="869"/>
      <c r="Q507" s="869"/>
      <c r="R507" s="869"/>
      <c r="S507" s="869"/>
      <c r="T507" s="642"/>
      <c r="W507" s="627"/>
      <c r="X507" s="627"/>
      <c r="Y507" s="627"/>
      <c r="Z507" s="627"/>
      <c r="AG507" s="642"/>
    </row>
    <row r="508" spans="4:33">
      <c r="D508" s="869"/>
      <c r="E508" s="869"/>
      <c r="F508" s="869"/>
      <c r="G508" s="869"/>
      <c r="H508" s="869"/>
      <c r="I508" s="869"/>
      <c r="J508" s="869"/>
      <c r="K508" s="869"/>
      <c r="L508" s="869"/>
      <c r="M508" s="869"/>
      <c r="N508" s="869"/>
      <c r="O508" s="869"/>
      <c r="P508" s="869"/>
      <c r="Q508" s="869"/>
      <c r="R508" s="869"/>
      <c r="S508" s="869"/>
      <c r="T508" s="642"/>
      <c r="W508" s="627"/>
      <c r="X508" s="627"/>
      <c r="Y508" s="627"/>
      <c r="Z508" s="627"/>
      <c r="AG508" s="642"/>
    </row>
    <row r="509" spans="4:33">
      <c r="D509" s="869"/>
      <c r="E509" s="869"/>
      <c r="F509" s="869"/>
      <c r="G509" s="869"/>
      <c r="H509" s="869"/>
      <c r="I509" s="869"/>
      <c r="J509" s="869"/>
      <c r="K509" s="869"/>
      <c r="L509" s="869"/>
      <c r="M509" s="869"/>
      <c r="N509" s="869"/>
      <c r="O509" s="869"/>
      <c r="P509" s="869"/>
      <c r="Q509" s="869"/>
      <c r="R509" s="869"/>
      <c r="S509" s="869"/>
      <c r="T509" s="642"/>
      <c r="W509" s="627"/>
      <c r="X509" s="627"/>
      <c r="Y509" s="627"/>
      <c r="Z509" s="627"/>
      <c r="AG509" s="642"/>
    </row>
    <row r="510" spans="4:33">
      <c r="D510" s="869"/>
      <c r="E510" s="869"/>
      <c r="F510" s="869"/>
      <c r="G510" s="869"/>
      <c r="H510" s="869"/>
      <c r="I510" s="869"/>
      <c r="J510" s="869"/>
      <c r="K510" s="869"/>
      <c r="L510" s="869"/>
      <c r="M510" s="869"/>
      <c r="N510" s="869"/>
      <c r="O510" s="869"/>
      <c r="P510" s="869"/>
      <c r="Q510" s="869"/>
      <c r="R510" s="869"/>
      <c r="S510" s="869"/>
      <c r="T510" s="642"/>
      <c r="W510" s="627"/>
      <c r="X510" s="627"/>
      <c r="Y510" s="627"/>
      <c r="Z510" s="627"/>
      <c r="AG510" s="642"/>
    </row>
    <row r="511" spans="4:33">
      <c r="D511" s="869"/>
      <c r="E511" s="869"/>
      <c r="F511" s="869"/>
      <c r="G511" s="869"/>
      <c r="H511" s="869"/>
      <c r="I511" s="869"/>
      <c r="J511" s="869"/>
      <c r="K511" s="869"/>
      <c r="L511" s="869"/>
      <c r="M511" s="869"/>
      <c r="N511" s="869"/>
      <c r="O511" s="869"/>
      <c r="P511" s="869"/>
      <c r="Q511" s="869"/>
      <c r="R511" s="869"/>
      <c r="S511" s="869"/>
      <c r="T511" s="642"/>
      <c r="W511" s="627"/>
      <c r="X511" s="627"/>
      <c r="Y511" s="627"/>
      <c r="Z511" s="627"/>
      <c r="AG511" s="642"/>
    </row>
    <row r="512" spans="4:33">
      <c r="D512" s="869"/>
      <c r="E512" s="869"/>
      <c r="F512" s="869"/>
      <c r="G512" s="869"/>
      <c r="H512" s="869"/>
      <c r="I512" s="869"/>
      <c r="J512" s="869"/>
      <c r="K512" s="869"/>
      <c r="L512" s="869"/>
      <c r="M512" s="869"/>
      <c r="N512" s="869"/>
      <c r="O512" s="869"/>
      <c r="P512" s="869"/>
      <c r="Q512" s="869"/>
      <c r="R512" s="869"/>
      <c r="S512" s="869"/>
      <c r="T512" s="642"/>
      <c r="W512" s="627"/>
      <c r="X512" s="627"/>
      <c r="Y512" s="627"/>
      <c r="Z512" s="627"/>
      <c r="AG512" s="642"/>
    </row>
    <row r="513" spans="4:33">
      <c r="D513" s="869"/>
      <c r="E513" s="869"/>
      <c r="F513" s="869"/>
      <c r="G513" s="869"/>
      <c r="H513" s="869"/>
      <c r="I513" s="869"/>
      <c r="J513" s="869"/>
      <c r="K513" s="869"/>
      <c r="L513" s="869"/>
      <c r="M513" s="869"/>
      <c r="N513" s="869"/>
      <c r="O513" s="869"/>
      <c r="P513" s="869"/>
      <c r="Q513" s="869"/>
      <c r="R513" s="869"/>
      <c r="S513" s="869"/>
      <c r="T513" s="642"/>
      <c r="W513" s="627"/>
      <c r="X513" s="627"/>
      <c r="Y513" s="627"/>
      <c r="Z513" s="627"/>
      <c r="AG513" s="642"/>
    </row>
    <row r="514" spans="4:33">
      <c r="D514" s="869"/>
      <c r="E514" s="869"/>
      <c r="F514" s="869"/>
      <c r="G514" s="869"/>
      <c r="H514" s="869"/>
      <c r="I514" s="869"/>
      <c r="J514" s="869"/>
      <c r="K514" s="869"/>
      <c r="L514" s="869"/>
      <c r="M514" s="869"/>
      <c r="N514" s="869"/>
      <c r="O514" s="869"/>
      <c r="P514" s="869"/>
      <c r="Q514" s="869"/>
      <c r="R514" s="869"/>
      <c r="S514" s="869"/>
      <c r="T514" s="642"/>
      <c r="W514" s="627"/>
      <c r="X514" s="627"/>
      <c r="Y514" s="627"/>
      <c r="Z514" s="627"/>
      <c r="AG514" s="642"/>
    </row>
    <row r="515" spans="4:33">
      <c r="D515" s="869"/>
      <c r="E515" s="869"/>
      <c r="F515" s="869"/>
      <c r="G515" s="869"/>
      <c r="H515" s="869"/>
      <c r="I515" s="869"/>
      <c r="J515" s="869"/>
      <c r="K515" s="869"/>
      <c r="L515" s="869"/>
      <c r="M515" s="869"/>
      <c r="N515" s="869"/>
      <c r="O515" s="869"/>
      <c r="P515" s="869"/>
      <c r="Q515" s="869"/>
      <c r="R515" s="869"/>
      <c r="S515" s="869"/>
      <c r="T515" s="642"/>
      <c r="W515" s="627"/>
      <c r="X515" s="627"/>
      <c r="Y515" s="627"/>
      <c r="Z515" s="627"/>
      <c r="AG515" s="642"/>
    </row>
    <row r="516" spans="4:33">
      <c r="D516" s="869"/>
      <c r="E516" s="869"/>
      <c r="F516" s="869"/>
      <c r="G516" s="869"/>
      <c r="H516" s="869"/>
      <c r="I516" s="869"/>
      <c r="J516" s="869"/>
      <c r="K516" s="869"/>
      <c r="L516" s="869"/>
      <c r="M516" s="869"/>
      <c r="N516" s="869"/>
      <c r="O516" s="869"/>
      <c r="P516" s="869"/>
      <c r="Q516" s="869"/>
      <c r="R516" s="869"/>
      <c r="S516" s="869"/>
      <c r="T516" s="642"/>
      <c r="W516" s="627"/>
      <c r="X516" s="627"/>
      <c r="Y516" s="627"/>
      <c r="Z516" s="627"/>
      <c r="AG516" s="642"/>
    </row>
    <row r="517" spans="4:33">
      <c r="D517" s="869"/>
      <c r="E517" s="869"/>
      <c r="F517" s="869"/>
      <c r="G517" s="869"/>
      <c r="H517" s="869"/>
      <c r="I517" s="869"/>
      <c r="J517" s="869"/>
      <c r="K517" s="869"/>
      <c r="L517" s="869"/>
      <c r="M517" s="869"/>
      <c r="N517" s="869"/>
      <c r="O517" s="869"/>
      <c r="P517" s="869"/>
      <c r="Q517" s="869"/>
      <c r="R517" s="869"/>
      <c r="S517" s="869"/>
      <c r="T517" s="642"/>
      <c r="W517" s="627"/>
      <c r="X517" s="627"/>
      <c r="Y517" s="627"/>
      <c r="Z517" s="627"/>
      <c r="AG517" s="642"/>
    </row>
    <row r="518" spans="4:33">
      <c r="D518" s="869"/>
      <c r="E518" s="869"/>
      <c r="F518" s="869"/>
      <c r="G518" s="869"/>
      <c r="H518" s="869"/>
      <c r="I518" s="869"/>
      <c r="J518" s="869"/>
      <c r="K518" s="869"/>
      <c r="L518" s="869"/>
      <c r="M518" s="869"/>
      <c r="N518" s="869"/>
      <c r="O518" s="869"/>
      <c r="P518" s="869"/>
      <c r="Q518" s="869"/>
      <c r="R518" s="869"/>
      <c r="S518" s="869"/>
      <c r="T518" s="642"/>
      <c r="W518" s="627"/>
      <c r="X518" s="627"/>
      <c r="Y518" s="627"/>
      <c r="Z518" s="627"/>
      <c r="AG518" s="642"/>
    </row>
    <row r="519" spans="4:33">
      <c r="D519" s="869"/>
      <c r="E519" s="869"/>
      <c r="F519" s="869"/>
      <c r="G519" s="869"/>
      <c r="H519" s="869"/>
      <c r="I519" s="869"/>
      <c r="J519" s="869"/>
      <c r="K519" s="869"/>
      <c r="L519" s="869"/>
      <c r="M519" s="869"/>
      <c r="N519" s="869"/>
      <c r="O519" s="869"/>
      <c r="P519" s="869"/>
      <c r="Q519" s="869"/>
      <c r="R519" s="869"/>
      <c r="S519" s="869"/>
      <c r="T519" s="642"/>
      <c r="W519" s="627"/>
      <c r="X519" s="627"/>
      <c r="Y519" s="627"/>
      <c r="Z519" s="627"/>
      <c r="AG519" s="642"/>
    </row>
    <row r="520" spans="4:33">
      <c r="D520" s="869"/>
      <c r="E520" s="869"/>
      <c r="F520" s="869"/>
      <c r="G520" s="869"/>
      <c r="H520" s="869"/>
      <c r="I520" s="869"/>
      <c r="J520" s="869"/>
      <c r="K520" s="869"/>
      <c r="L520" s="869"/>
      <c r="M520" s="869"/>
      <c r="N520" s="869"/>
      <c r="O520" s="869"/>
      <c r="P520" s="869"/>
      <c r="Q520" s="869"/>
      <c r="R520" s="869"/>
      <c r="S520" s="869"/>
      <c r="T520" s="642"/>
      <c r="W520" s="627"/>
      <c r="X520" s="627"/>
      <c r="Y520" s="627"/>
      <c r="Z520" s="627"/>
      <c r="AG520" s="642"/>
    </row>
    <row r="521" spans="4:33">
      <c r="D521" s="869"/>
      <c r="E521" s="869"/>
      <c r="F521" s="869"/>
      <c r="G521" s="869"/>
      <c r="H521" s="869"/>
      <c r="I521" s="869"/>
      <c r="J521" s="869"/>
      <c r="K521" s="869"/>
      <c r="L521" s="869"/>
      <c r="M521" s="869"/>
      <c r="N521" s="869"/>
      <c r="O521" s="869"/>
      <c r="P521" s="869"/>
      <c r="Q521" s="869"/>
      <c r="R521" s="869"/>
      <c r="S521" s="869"/>
      <c r="T521" s="642"/>
      <c r="W521" s="627"/>
      <c r="X521" s="627"/>
      <c r="Y521" s="627"/>
      <c r="Z521" s="627"/>
      <c r="AG521" s="642"/>
    </row>
    <row r="522" spans="4:33">
      <c r="D522" s="869"/>
      <c r="E522" s="869"/>
      <c r="F522" s="869"/>
      <c r="G522" s="869"/>
      <c r="H522" s="869"/>
      <c r="I522" s="869"/>
      <c r="J522" s="869"/>
      <c r="K522" s="869"/>
      <c r="L522" s="869"/>
      <c r="M522" s="869"/>
      <c r="N522" s="869"/>
      <c r="O522" s="869"/>
      <c r="P522" s="869"/>
      <c r="Q522" s="869"/>
      <c r="R522" s="869"/>
      <c r="S522" s="869"/>
      <c r="T522" s="642"/>
      <c r="W522" s="627"/>
      <c r="X522" s="627"/>
      <c r="Y522" s="627"/>
      <c r="Z522" s="627"/>
      <c r="AG522" s="642"/>
    </row>
    <row r="523" spans="4:33">
      <c r="D523" s="869"/>
      <c r="E523" s="869"/>
      <c r="F523" s="869"/>
      <c r="G523" s="869"/>
      <c r="H523" s="869"/>
      <c r="I523" s="869"/>
      <c r="J523" s="869"/>
      <c r="K523" s="869"/>
      <c r="L523" s="869"/>
      <c r="M523" s="869"/>
      <c r="N523" s="869"/>
      <c r="O523" s="869"/>
      <c r="P523" s="869"/>
      <c r="Q523" s="869"/>
      <c r="R523" s="869"/>
      <c r="S523" s="869"/>
      <c r="T523" s="642"/>
      <c r="W523" s="627"/>
      <c r="X523" s="627"/>
      <c r="Y523" s="627"/>
      <c r="Z523" s="627"/>
      <c r="AG523" s="642"/>
    </row>
    <row r="524" spans="4:33">
      <c r="D524" s="869"/>
      <c r="E524" s="869"/>
      <c r="F524" s="869"/>
      <c r="G524" s="869"/>
      <c r="H524" s="869"/>
      <c r="I524" s="869"/>
      <c r="J524" s="869"/>
      <c r="K524" s="869"/>
      <c r="L524" s="869"/>
      <c r="M524" s="869"/>
      <c r="N524" s="869"/>
      <c r="O524" s="869"/>
      <c r="P524" s="869"/>
      <c r="Q524" s="869"/>
      <c r="R524" s="869"/>
      <c r="S524" s="869"/>
      <c r="T524" s="642"/>
      <c r="W524" s="627"/>
      <c r="X524" s="627"/>
      <c r="Y524" s="627"/>
      <c r="Z524" s="627"/>
      <c r="AG524" s="642"/>
    </row>
    <row r="525" spans="4:33">
      <c r="D525" s="869"/>
      <c r="E525" s="869"/>
      <c r="F525" s="869"/>
      <c r="G525" s="869"/>
      <c r="H525" s="869"/>
      <c r="I525" s="869"/>
      <c r="J525" s="869"/>
      <c r="K525" s="869"/>
      <c r="L525" s="869"/>
      <c r="M525" s="869"/>
      <c r="N525" s="869"/>
      <c r="O525" s="869"/>
      <c r="P525" s="869"/>
      <c r="Q525" s="869"/>
      <c r="R525" s="869"/>
      <c r="S525" s="869"/>
      <c r="T525" s="642"/>
      <c r="W525" s="627"/>
      <c r="X525" s="627"/>
      <c r="Y525" s="627"/>
      <c r="Z525" s="627"/>
      <c r="AG525" s="642"/>
    </row>
    <row r="526" spans="4:33">
      <c r="D526" s="869"/>
      <c r="E526" s="869"/>
      <c r="F526" s="869"/>
      <c r="G526" s="869"/>
      <c r="H526" s="869"/>
      <c r="I526" s="869"/>
      <c r="J526" s="869"/>
      <c r="K526" s="869"/>
      <c r="L526" s="869"/>
      <c r="M526" s="869"/>
      <c r="N526" s="869"/>
      <c r="O526" s="869"/>
      <c r="P526" s="869"/>
      <c r="Q526" s="869"/>
      <c r="R526" s="869"/>
      <c r="S526" s="869"/>
      <c r="T526" s="642"/>
      <c r="W526" s="627"/>
      <c r="X526" s="627"/>
      <c r="Y526" s="627"/>
      <c r="Z526" s="627"/>
      <c r="AG526" s="642"/>
    </row>
    <row r="527" spans="4:33">
      <c r="D527" s="869"/>
      <c r="E527" s="869"/>
      <c r="F527" s="869"/>
      <c r="G527" s="869"/>
      <c r="H527" s="869"/>
      <c r="I527" s="869"/>
      <c r="J527" s="869"/>
      <c r="K527" s="869"/>
      <c r="L527" s="869"/>
      <c r="M527" s="869"/>
      <c r="N527" s="869"/>
      <c r="O527" s="869"/>
      <c r="P527" s="869"/>
      <c r="Q527" s="869"/>
      <c r="R527" s="869"/>
      <c r="S527" s="869"/>
      <c r="T527" s="642"/>
      <c r="W527" s="627"/>
      <c r="X527" s="627"/>
      <c r="Y527" s="627"/>
      <c r="Z527" s="627"/>
      <c r="AG527" s="642"/>
    </row>
    <row r="528" spans="4:33">
      <c r="D528" s="869"/>
      <c r="E528" s="869"/>
      <c r="F528" s="869"/>
      <c r="G528" s="869"/>
      <c r="H528" s="869"/>
      <c r="I528" s="869"/>
      <c r="J528" s="869"/>
      <c r="K528" s="869"/>
      <c r="L528" s="869"/>
      <c r="M528" s="869"/>
      <c r="N528" s="869"/>
      <c r="O528" s="869"/>
      <c r="P528" s="869"/>
      <c r="Q528" s="869"/>
      <c r="R528" s="869"/>
      <c r="S528" s="869"/>
      <c r="T528" s="642"/>
      <c r="W528" s="627"/>
      <c r="X528" s="627"/>
      <c r="Y528" s="627"/>
      <c r="Z528" s="627"/>
      <c r="AG528" s="642"/>
    </row>
    <row r="529" spans="4:33">
      <c r="D529" s="869"/>
      <c r="E529" s="869"/>
      <c r="F529" s="869"/>
      <c r="G529" s="869"/>
      <c r="H529" s="869"/>
      <c r="I529" s="869"/>
      <c r="J529" s="869"/>
      <c r="K529" s="869"/>
      <c r="L529" s="869"/>
      <c r="M529" s="869"/>
      <c r="N529" s="869"/>
      <c r="O529" s="869"/>
      <c r="P529" s="869"/>
      <c r="Q529" s="869"/>
      <c r="R529" s="869"/>
      <c r="S529" s="869"/>
      <c r="T529" s="642"/>
      <c r="W529" s="627"/>
      <c r="X529" s="627"/>
      <c r="Y529" s="627"/>
      <c r="Z529" s="627"/>
      <c r="AG529" s="642"/>
    </row>
    <row r="530" spans="4:33">
      <c r="D530" s="869"/>
      <c r="E530" s="869"/>
      <c r="F530" s="869"/>
      <c r="G530" s="869"/>
      <c r="H530" s="869"/>
      <c r="I530" s="869"/>
      <c r="J530" s="869"/>
      <c r="K530" s="869"/>
      <c r="L530" s="869"/>
      <c r="M530" s="869"/>
      <c r="N530" s="869"/>
      <c r="O530" s="869"/>
      <c r="P530" s="869"/>
      <c r="Q530" s="869"/>
      <c r="R530" s="869"/>
      <c r="S530" s="869"/>
      <c r="T530" s="642"/>
      <c r="W530" s="627"/>
      <c r="X530" s="627"/>
      <c r="Y530" s="627"/>
      <c r="Z530" s="627"/>
      <c r="AG530" s="642"/>
    </row>
    <row r="531" spans="4:33">
      <c r="D531" s="869"/>
      <c r="E531" s="869"/>
      <c r="F531" s="869"/>
      <c r="G531" s="869"/>
      <c r="H531" s="869"/>
      <c r="I531" s="869"/>
      <c r="J531" s="869"/>
      <c r="K531" s="869"/>
      <c r="L531" s="869"/>
      <c r="M531" s="869"/>
      <c r="N531" s="869"/>
      <c r="O531" s="869"/>
      <c r="P531" s="869"/>
      <c r="Q531" s="869"/>
      <c r="R531" s="869"/>
      <c r="S531" s="869"/>
      <c r="T531" s="642"/>
      <c r="W531" s="627"/>
      <c r="X531" s="627"/>
      <c r="Y531" s="627"/>
      <c r="Z531" s="627"/>
      <c r="AG531" s="642"/>
    </row>
    <row r="532" spans="4:33">
      <c r="D532" s="869"/>
      <c r="E532" s="869"/>
      <c r="F532" s="869"/>
      <c r="G532" s="869"/>
      <c r="H532" s="869"/>
      <c r="I532" s="869"/>
      <c r="J532" s="869"/>
      <c r="K532" s="869"/>
      <c r="L532" s="869"/>
      <c r="M532" s="869"/>
      <c r="N532" s="869"/>
      <c r="O532" s="869"/>
      <c r="P532" s="869"/>
      <c r="Q532" s="869"/>
      <c r="R532" s="869"/>
      <c r="S532" s="869"/>
      <c r="T532" s="642"/>
      <c r="W532" s="627"/>
      <c r="X532" s="627"/>
      <c r="Y532" s="627"/>
      <c r="Z532" s="627"/>
      <c r="AG532" s="642"/>
    </row>
    <row r="533" spans="4:33">
      <c r="D533" s="869"/>
      <c r="E533" s="869"/>
      <c r="F533" s="869"/>
      <c r="G533" s="869"/>
      <c r="H533" s="869"/>
      <c r="I533" s="869"/>
      <c r="J533" s="869"/>
      <c r="K533" s="869"/>
      <c r="L533" s="869"/>
      <c r="M533" s="869"/>
      <c r="N533" s="869"/>
      <c r="O533" s="869"/>
      <c r="P533" s="869"/>
      <c r="Q533" s="869"/>
      <c r="R533" s="869"/>
      <c r="S533" s="869"/>
      <c r="T533" s="642"/>
      <c r="W533" s="627"/>
      <c r="X533" s="627"/>
      <c r="Y533" s="627"/>
      <c r="Z533" s="627"/>
      <c r="AG533" s="642"/>
    </row>
    <row r="534" spans="4:33">
      <c r="D534" s="869"/>
      <c r="E534" s="869"/>
      <c r="F534" s="869"/>
      <c r="G534" s="869"/>
      <c r="H534" s="869"/>
      <c r="I534" s="869"/>
      <c r="J534" s="869"/>
      <c r="K534" s="869"/>
      <c r="L534" s="869"/>
      <c r="M534" s="869"/>
      <c r="N534" s="869"/>
      <c r="O534" s="869"/>
      <c r="P534" s="869"/>
      <c r="Q534" s="869"/>
      <c r="R534" s="869"/>
      <c r="S534" s="869"/>
      <c r="T534" s="642"/>
      <c r="W534" s="627"/>
      <c r="X534" s="627"/>
      <c r="Y534" s="627"/>
      <c r="Z534" s="627"/>
      <c r="AG534" s="642"/>
    </row>
    <row r="535" spans="4:33">
      <c r="D535" s="869"/>
      <c r="E535" s="869"/>
      <c r="F535" s="869"/>
      <c r="G535" s="869"/>
      <c r="H535" s="869"/>
      <c r="I535" s="869"/>
      <c r="J535" s="869"/>
      <c r="K535" s="869"/>
      <c r="L535" s="869"/>
      <c r="M535" s="869"/>
      <c r="N535" s="869"/>
      <c r="O535" s="869"/>
      <c r="P535" s="869"/>
      <c r="Q535" s="869"/>
      <c r="R535" s="869"/>
      <c r="S535" s="869"/>
      <c r="T535" s="642"/>
      <c r="W535" s="627"/>
      <c r="X535" s="627"/>
      <c r="Y535" s="627"/>
      <c r="Z535" s="627"/>
      <c r="AG535" s="642"/>
    </row>
    <row r="536" spans="4:33">
      <c r="D536" s="869"/>
      <c r="E536" s="869"/>
      <c r="F536" s="869"/>
      <c r="G536" s="869"/>
      <c r="H536" s="869"/>
      <c r="I536" s="869"/>
      <c r="J536" s="869"/>
      <c r="K536" s="869"/>
      <c r="L536" s="869"/>
      <c r="M536" s="869"/>
      <c r="N536" s="869"/>
      <c r="O536" s="869"/>
      <c r="P536" s="869"/>
      <c r="Q536" s="869"/>
      <c r="R536" s="869"/>
      <c r="S536" s="869"/>
      <c r="T536" s="642"/>
      <c r="W536" s="627"/>
      <c r="X536" s="627"/>
      <c r="Y536" s="627"/>
      <c r="Z536" s="627"/>
      <c r="AG536" s="642"/>
    </row>
    <row r="537" spans="4:33">
      <c r="D537" s="869"/>
      <c r="E537" s="869"/>
      <c r="F537" s="869"/>
      <c r="G537" s="869"/>
      <c r="H537" s="869"/>
      <c r="I537" s="869"/>
      <c r="J537" s="869"/>
      <c r="K537" s="869"/>
      <c r="L537" s="869"/>
      <c r="M537" s="869"/>
      <c r="N537" s="869"/>
      <c r="O537" s="869"/>
      <c r="P537" s="869"/>
      <c r="Q537" s="869"/>
      <c r="R537" s="869"/>
      <c r="S537" s="869"/>
      <c r="T537" s="642"/>
      <c r="W537" s="627"/>
      <c r="X537" s="627"/>
      <c r="Y537" s="627"/>
      <c r="Z537" s="627"/>
      <c r="AG537" s="642"/>
    </row>
    <row r="538" spans="4:33">
      <c r="D538" s="869"/>
      <c r="E538" s="869"/>
      <c r="F538" s="869"/>
      <c r="G538" s="869"/>
      <c r="H538" s="869"/>
      <c r="I538" s="869"/>
      <c r="J538" s="869"/>
      <c r="K538" s="869"/>
      <c r="L538" s="869"/>
      <c r="M538" s="869"/>
      <c r="N538" s="869"/>
      <c r="O538" s="869"/>
      <c r="P538" s="869"/>
      <c r="Q538" s="869"/>
      <c r="R538" s="869"/>
      <c r="S538" s="869"/>
      <c r="T538" s="642"/>
      <c r="W538" s="627"/>
      <c r="X538" s="627"/>
      <c r="Y538" s="627"/>
      <c r="Z538" s="627"/>
      <c r="AG538" s="642"/>
    </row>
    <row r="539" spans="4:33">
      <c r="D539" s="869"/>
      <c r="E539" s="869"/>
      <c r="F539" s="869"/>
      <c r="G539" s="869"/>
      <c r="H539" s="869"/>
      <c r="I539" s="869"/>
      <c r="J539" s="869"/>
      <c r="K539" s="869"/>
      <c r="L539" s="869"/>
      <c r="M539" s="869"/>
      <c r="N539" s="869"/>
      <c r="O539" s="869"/>
      <c r="P539" s="869"/>
      <c r="Q539" s="869"/>
      <c r="R539" s="869"/>
      <c r="S539" s="869"/>
      <c r="T539" s="642"/>
      <c r="W539" s="627"/>
      <c r="X539" s="627"/>
      <c r="Y539" s="627"/>
      <c r="Z539" s="627"/>
      <c r="AG539" s="642"/>
    </row>
    <row r="540" spans="4:33">
      <c r="D540" s="869"/>
      <c r="E540" s="869"/>
      <c r="F540" s="869"/>
      <c r="G540" s="869"/>
      <c r="H540" s="869"/>
      <c r="I540" s="869"/>
      <c r="J540" s="869"/>
      <c r="K540" s="869"/>
      <c r="L540" s="869"/>
      <c r="M540" s="869"/>
      <c r="N540" s="869"/>
      <c r="O540" s="869"/>
      <c r="P540" s="869"/>
      <c r="Q540" s="869"/>
      <c r="R540" s="869"/>
      <c r="S540" s="869"/>
      <c r="T540" s="642"/>
      <c r="W540" s="627"/>
      <c r="X540" s="627"/>
      <c r="Y540" s="627"/>
      <c r="Z540" s="627"/>
      <c r="AG540" s="642"/>
    </row>
    <row r="541" spans="4:33">
      <c r="D541" s="869"/>
      <c r="E541" s="869"/>
      <c r="F541" s="869"/>
      <c r="G541" s="869"/>
      <c r="H541" s="869"/>
      <c r="I541" s="869"/>
      <c r="J541" s="869"/>
      <c r="K541" s="869"/>
      <c r="L541" s="869"/>
      <c r="M541" s="869"/>
      <c r="N541" s="869"/>
      <c r="O541" s="869"/>
      <c r="P541" s="869"/>
      <c r="Q541" s="869"/>
      <c r="R541" s="869"/>
      <c r="S541" s="869"/>
      <c r="T541" s="642"/>
      <c r="W541" s="627"/>
      <c r="X541" s="627"/>
      <c r="Y541" s="627"/>
      <c r="Z541" s="627"/>
      <c r="AG541" s="642"/>
    </row>
    <row r="542" spans="4:33">
      <c r="D542" s="869"/>
      <c r="E542" s="869"/>
      <c r="F542" s="869"/>
      <c r="G542" s="869"/>
      <c r="H542" s="869"/>
      <c r="I542" s="869"/>
      <c r="J542" s="869"/>
      <c r="K542" s="869"/>
      <c r="L542" s="869"/>
      <c r="M542" s="869"/>
      <c r="N542" s="869"/>
      <c r="O542" s="869"/>
      <c r="P542" s="869"/>
      <c r="Q542" s="869"/>
      <c r="R542" s="869"/>
      <c r="S542" s="869"/>
      <c r="T542" s="642"/>
      <c r="W542" s="627"/>
      <c r="X542" s="627"/>
      <c r="Y542" s="627"/>
      <c r="Z542" s="627"/>
      <c r="AG542" s="642"/>
    </row>
    <row r="543" spans="4:33">
      <c r="D543" s="869"/>
      <c r="E543" s="869"/>
      <c r="F543" s="869"/>
      <c r="G543" s="869"/>
      <c r="H543" s="869"/>
      <c r="I543" s="869"/>
      <c r="J543" s="869"/>
      <c r="K543" s="869"/>
      <c r="L543" s="869"/>
      <c r="M543" s="869"/>
      <c r="N543" s="869"/>
      <c r="O543" s="869"/>
      <c r="P543" s="869"/>
      <c r="Q543" s="869"/>
      <c r="R543" s="869"/>
      <c r="S543" s="869"/>
      <c r="T543" s="642"/>
      <c r="W543" s="627"/>
      <c r="X543" s="627"/>
      <c r="Y543" s="627"/>
      <c r="Z543" s="627"/>
      <c r="AG543" s="642"/>
    </row>
    <row r="544" spans="4:33">
      <c r="D544" s="869"/>
      <c r="E544" s="869"/>
      <c r="F544" s="869"/>
      <c r="G544" s="869"/>
      <c r="H544" s="869"/>
      <c r="I544" s="869"/>
      <c r="J544" s="869"/>
      <c r="K544" s="869"/>
      <c r="L544" s="869"/>
      <c r="M544" s="869"/>
      <c r="N544" s="869"/>
      <c r="O544" s="869"/>
      <c r="P544" s="869"/>
      <c r="Q544" s="869"/>
      <c r="R544" s="869"/>
      <c r="S544" s="869"/>
      <c r="T544" s="642"/>
      <c r="W544" s="627"/>
      <c r="X544" s="627"/>
      <c r="Y544" s="627"/>
      <c r="Z544" s="627"/>
      <c r="AG544" s="642"/>
    </row>
    <row r="545" spans="4:33">
      <c r="D545" s="869"/>
      <c r="E545" s="869"/>
      <c r="F545" s="869"/>
      <c r="G545" s="869"/>
      <c r="H545" s="869"/>
      <c r="I545" s="869"/>
      <c r="J545" s="869"/>
      <c r="K545" s="869"/>
      <c r="L545" s="869"/>
      <c r="M545" s="869"/>
      <c r="N545" s="869"/>
      <c r="O545" s="869"/>
      <c r="P545" s="869"/>
      <c r="Q545" s="869"/>
      <c r="R545" s="869"/>
      <c r="S545" s="869"/>
      <c r="T545" s="642"/>
      <c r="W545" s="627"/>
      <c r="X545" s="627"/>
      <c r="Y545" s="627"/>
      <c r="Z545" s="627"/>
      <c r="AG545" s="642"/>
    </row>
    <row r="546" spans="4:33">
      <c r="D546" s="869"/>
      <c r="E546" s="869"/>
      <c r="F546" s="869"/>
      <c r="G546" s="869"/>
      <c r="H546" s="869"/>
      <c r="I546" s="869"/>
      <c r="J546" s="869"/>
      <c r="K546" s="869"/>
      <c r="L546" s="869"/>
      <c r="M546" s="869"/>
      <c r="N546" s="869"/>
      <c r="O546" s="869"/>
      <c r="P546" s="869"/>
      <c r="Q546" s="869"/>
      <c r="R546" s="869"/>
      <c r="S546" s="869"/>
      <c r="T546" s="642"/>
      <c r="W546" s="627"/>
      <c r="X546" s="627"/>
      <c r="Y546" s="627"/>
      <c r="Z546" s="627"/>
      <c r="AG546" s="642"/>
    </row>
    <row r="547" spans="4:33">
      <c r="D547" s="869"/>
      <c r="E547" s="869"/>
      <c r="F547" s="869"/>
      <c r="G547" s="869"/>
      <c r="H547" s="869"/>
      <c r="I547" s="869"/>
      <c r="J547" s="869"/>
      <c r="K547" s="869"/>
      <c r="L547" s="869"/>
      <c r="M547" s="869"/>
      <c r="N547" s="869"/>
      <c r="O547" s="869"/>
      <c r="P547" s="869"/>
      <c r="Q547" s="869"/>
      <c r="R547" s="869"/>
      <c r="S547" s="869"/>
      <c r="T547" s="642"/>
      <c r="W547" s="627"/>
      <c r="X547" s="627"/>
      <c r="Y547" s="627"/>
      <c r="Z547" s="627"/>
      <c r="AG547" s="642"/>
    </row>
    <row r="548" spans="4:33">
      <c r="D548" s="869"/>
      <c r="E548" s="869"/>
      <c r="F548" s="869"/>
      <c r="G548" s="869"/>
      <c r="H548" s="869"/>
      <c r="I548" s="869"/>
      <c r="J548" s="869"/>
      <c r="K548" s="869"/>
      <c r="L548" s="869"/>
      <c r="M548" s="869"/>
      <c r="N548" s="869"/>
      <c r="O548" s="869"/>
      <c r="P548" s="869"/>
      <c r="Q548" s="869"/>
      <c r="R548" s="869"/>
      <c r="S548" s="869"/>
      <c r="T548" s="642"/>
      <c r="W548" s="627"/>
      <c r="X548" s="627"/>
      <c r="Y548" s="627"/>
      <c r="Z548" s="627"/>
      <c r="AG548" s="642"/>
    </row>
    <row r="549" spans="4:33">
      <c r="D549" s="869"/>
      <c r="E549" s="869"/>
      <c r="F549" s="869"/>
      <c r="G549" s="869"/>
      <c r="H549" s="869"/>
      <c r="I549" s="869"/>
      <c r="J549" s="869"/>
      <c r="K549" s="869"/>
      <c r="L549" s="869"/>
      <c r="M549" s="869"/>
      <c r="N549" s="869"/>
      <c r="O549" s="869"/>
      <c r="P549" s="869"/>
      <c r="Q549" s="869"/>
      <c r="R549" s="869"/>
      <c r="S549" s="869"/>
      <c r="T549" s="642"/>
      <c r="W549" s="627"/>
      <c r="X549" s="627"/>
      <c r="Y549" s="627"/>
      <c r="Z549" s="627"/>
      <c r="AG549" s="642"/>
    </row>
    <row r="550" spans="4:33">
      <c r="D550" s="869"/>
      <c r="E550" s="869"/>
      <c r="F550" s="869"/>
      <c r="G550" s="869"/>
      <c r="H550" s="869"/>
      <c r="I550" s="869"/>
      <c r="J550" s="869"/>
      <c r="K550" s="869"/>
      <c r="L550" s="869"/>
      <c r="M550" s="869"/>
      <c r="N550" s="869"/>
      <c r="O550" s="869"/>
      <c r="P550" s="869"/>
      <c r="Q550" s="869"/>
      <c r="R550" s="869"/>
      <c r="S550" s="869"/>
      <c r="T550" s="642"/>
      <c r="W550" s="627"/>
      <c r="X550" s="627"/>
      <c r="Y550" s="627"/>
      <c r="Z550" s="627"/>
      <c r="AG550" s="642"/>
    </row>
    <row r="551" spans="4:33">
      <c r="D551" s="869"/>
      <c r="E551" s="869"/>
      <c r="F551" s="869"/>
      <c r="G551" s="869"/>
      <c r="H551" s="869"/>
      <c r="I551" s="869"/>
      <c r="J551" s="869"/>
      <c r="K551" s="869"/>
      <c r="L551" s="869"/>
      <c r="M551" s="869"/>
      <c r="N551" s="869"/>
      <c r="O551" s="869"/>
      <c r="P551" s="869"/>
      <c r="Q551" s="869"/>
      <c r="R551" s="869"/>
      <c r="S551" s="869"/>
      <c r="T551" s="642"/>
      <c r="W551" s="627"/>
      <c r="X551" s="627"/>
      <c r="Y551" s="627"/>
      <c r="Z551" s="627"/>
      <c r="AG551" s="642"/>
    </row>
    <row r="552" spans="4:33">
      <c r="D552" s="869"/>
      <c r="E552" s="869"/>
      <c r="F552" s="869"/>
      <c r="G552" s="869"/>
      <c r="H552" s="869"/>
      <c r="I552" s="869"/>
      <c r="J552" s="869"/>
      <c r="K552" s="869"/>
      <c r="L552" s="869"/>
      <c r="M552" s="869"/>
      <c r="N552" s="869"/>
      <c r="O552" s="869"/>
      <c r="P552" s="869"/>
      <c r="Q552" s="869"/>
      <c r="R552" s="869"/>
      <c r="S552" s="869"/>
      <c r="T552" s="642"/>
      <c r="W552" s="627"/>
      <c r="X552" s="627"/>
      <c r="Y552" s="627"/>
      <c r="Z552" s="627"/>
      <c r="AG552" s="642"/>
    </row>
    <row r="553" spans="4:33">
      <c r="D553" s="869"/>
      <c r="E553" s="869"/>
      <c r="F553" s="869"/>
      <c r="G553" s="869"/>
      <c r="H553" s="869"/>
      <c r="I553" s="869"/>
      <c r="J553" s="869"/>
      <c r="K553" s="869"/>
      <c r="L553" s="869"/>
      <c r="M553" s="869"/>
      <c r="N553" s="869"/>
      <c r="O553" s="869"/>
      <c r="P553" s="869"/>
      <c r="Q553" s="869"/>
      <c r="R553" s="869"/>
      <c r="S553" s="869"/>
      <c r="T553" s="642"/>
      <c r="W553" s="627"/>
      <c r="X553" s="627"/>
      <c r="Y553" s="627"/>
      <c r="Z553" s="627"/>
      <c r="AG553" s="642"/>
    </row>
    <row r="554" spans="4:33">
      <c r="D554" s="869"/>
      <c r="E554" s="869"/>
      <c r="F554" s="869"/>
      <c r="G554" s="869"/>
      <c r="H554" s="869"/>
      <c r="I554" s="869"/>
      <c r="J554" s="869"/>
      <c r="K554" s="869"/>
      <c r="L554" s="869"/>
      <c r="M554" s="869"/>
      <c r="N554" s="869"/>
      <c r="O554" s="869"/>
      <c r="P554" s="869"/>
      <c r="Q554" s="869"/>
      <c r="R554" s="869"/>
      <c r="S554" s="869"/>
      <c r="T554" s="642"/>
      <c r="W554" s="627"/>
      <c r="X554" s="627"/>
      <c r="Y554" s="627"/>
      <c r="Z554" s="627"/>
      <c r="AG554" s="642"/>
    </row>
    <row r="555" spans="4:33">
      <c r="D555" s="869"/>
      <c r="E555" s="869"/>
      <c r="F555" s="869"/>
      <c r="G555" s="869"/>
      <c r="H555" s="869"/>
      <c r="I555" s="869"/>
      <c r="J555" s="869"/>
      <c r="K555" s="869"/>
      <c r="L555" s="869"/>
      <c r="M555" s="869"/>
      <c r="N555" s="869"/>
      <c r="O555" s="869"/>
      <c r="P555" s="869"/>
      <c r="Q555" s="869"/>
      <c r="R555" s="869"/>
      <c r="S555" s="869"/>
      <c r="T555" s="642"/>
      <c r="W555" s="627"/>
      <c r="X555" s="627"/>
      <c r="Y555" s="627"/>
      <c r="Z555" s="627"/>
      <c r="AG555" s="642"/>
    </row>
    <row r="556" spans="4:33">
      <c r="D556" s="869"/>
      <c r="E556" s="869"/>
      <c r="F556" s="869"/>
      <c r="G556" s="869"/>
      <c r="H556" s="869"/>
      <c r="I556" s="869"/>
      <c r="J556" s="869"/>
      <c r="K556" s="869"/>
      <c r="L556" s="869"/>
      <c r="M556" s="869"/>
      <c r="N556" s="869"/>
      <c r="O556" s="869"/>
      <c r="P556" s="869"/>
      <c r="Q556" s="869"/>
      <c r="R556" s="869"/>
      <c r="S556" s="869"/>
      <c r="T556" s="642"/>
      <c r="W556" s="627"/>
      <c r="X556" s="627"/>
      <c r="Y556" s="627"/>
      <c r="Z556" s="627"/>
      <c r="AG556" s="642"/>
    </row>
    <row r="557" spans="4:33">
      <c r="D557" s="869"/>
      <c r="E557" s="869"/>
      <c r="F557" s="869"/>
      <c r="G557" s="869"/>
      <c r="H557" s="869"/>
      <c r="I557" s="869"/>
      <c r="J557" s="869"/>
      <c r="K557" s="869"/>
      <c r="L557" s="869"/>
      <c r="M557" s="869"/>
      <c r="N557" s="869"/>
      <c r="O557" s="869"/>
      <c r="P557" s="869"/>
      <c r="Q557" s="869"/>
      <c r="R557" s="869"/>
      <c r="S557" s="869"/>
      <c r="T557" s="642"/>
      <c r="W557" s="627"/>
      <c r="X557" s="627"/>
      <c r="Y557" s="627"/>
      <c r="Z557" s="627"/>
      <c r="AG557" s="642"/>
    </row>
    <row r="558" spans="4:33">
      <c r="D558" s="869"/>
      <c r="E558" s="869"/>
      <c r="F558" s="869"/>
      <c r="G558" s="869"/>
      <c r="H558" s="869"/>
      <c r="I558" s="869"/>
      <c r="J558" s="869"/>
      <c r="K558" s="869"/>
      <c r="L558" s="869"/>
      <c r="M558" s="869"/>
      <c r="N558" s="869"/>
      <c r="O558" s="869"/>
      <c r="P558" s="869"/>
      <c r="Q558" s="869"/>
      <c r="R558" s="869"/>
      <c r="S558" s="869"/>
      <c r="T558" s="642"/>
      <c r="W558" s="627"/>
      <c r="X558" s="627"/>
      <c r="Y558" s="627"/>
      <c r="Z558" s="627"/>
      <c r="AG558" s="642"/>
    </row>
    <row r="559" spans="4:33">
      <c r="D559" s="869"/>
      <c r="E559" s="869"/>
      <c r="F559" s="869"/>
      <c r="G559" s="869"/>
      <c r="H559" s="869"/>
      <c r="I559" s="869"/>
      <c r="J559" s="869"/>
      <c r="K559" s="869"/>
      <c r="L559" s="869"/>
      <c r="M559" s="869"/>
      <c r="N559" s="869"/>
      <c r="O559" s="869"/>
      <c r="P559" s="869"/>
      <c r="Q559" s="869"/>
      <c r="R559" s="869"/>
      <c r="S559" s="869"/>
      <c r="T559" s="642"/>
      <c r="W559" s="627"/>
      <c r="X559" s="627"/>
      <c r="Y559" s="627"/>
      <c r="Z559" s="627"/>
      <c r="AG559" s="642"/>
    </row>
    <row r="560" spans="4:33">
      <c r="D560" s="869"/>
      <c r="E560" s="869"/>
      <c r="F560" s="869"/>
      <c r="G560" s="869"/>
      <c r="H560" s="869"/>
      <c r="I560" s="869"/>
      <c r="J560" s="869"/>
      <c r="K560" s="869"/>
      <c r="L560" s="869"/>
      <c r="M560" s="869"/>
      <c r="N560" s="869"/>
      <c r="O560" s="869"/>
      <c r="P560" s="869"/>
      <c r="Q560" s="869"/>
      <c r="R560" s="869"/>
      <c r="S560" s="869"/>
      <c r="T560" s="642"/>
      <c r="W560" s="627"/>
      <c r="X560" s="627"/>
      <c r="Y560" s="627"/>
      <c r="Z560" s="627"/>
      <c r="AG560" s="642"/>
    </row>
    <row r="561" spans="4:33">
      <c r="D561" s="869"/>
      <c r="E561" s="869"/>
      <c r="F561" s="869"/>
      <c r="G561" s="869"/>
      <c r="H561" s="869"/>
      <c r="I561" s="869"/>
      <c r="J561" s="869"/>
      <c r="K561" s="869"/>
      <c r="L561" s="869"/>
      <c r="M561" s="869"/>
      <c r="N561" s="869"/>
      <c r="O561" s="869"/>
      <c r="P561" s="869"/>
      <c r="Q561" s="869"/>
      <c r="R561" s="869"/>
      <c r="S561" s="869"/>
      <c r="T561" s="642"/>
      <c r="W561" s="627"/>
      <c r="X561" s="627"/>
      <c r="Y561" s="627"/>
      <c r="Z561" s="627"/>
      <c r="AG561" s="642"/>
    </row>
    <row r="562" spans="4:33">
      <c r="D562" s="869"/>
      <c r="E562" s="869"/>
      <c r="F562" s="869"/>
      <c r="G562" s="869"/>
      <c r="H562" s="869"/>
      <c r="I562" s="869"/>
      <c r="J562" s="869"/>
      <c r="K562" s="869"/>
      <c r="L562" s="869"/>
      <c r="M562" s="869"/>
      <c r="N562" s="869"/>
      <c r="O562" s="869"/>
      <c r="P562" s="869"/>
      <c r="Q562" s="869"/>
      <c r="R562" s="869"/>
      <c r="S562" s="869"/>
      <c r="T562" s="642"/>
      <c r="W562" s="627"/>
      <c r="X562" s="627"/>
      <c r="Y562" s="627"/>
      <c r="Z562" s="627"/>
      <c r="AG562" s="642"/>
    </row>
    <row r="563" spans="4:33">
      <c r="D563" s="869"/>
      <c r="E563" s="869"/>
      <c r="F563" s="869"/>
      <c r="G563" s="869"/>
      <c r="H563" s="869"/>
      <c r="I563" s="869"/>
      <c r="J563" s="869"/>
      <c r="K563" s="869"/>
      <c r="L563" s="869"/>
      <c r="M563" s="869"/>
      <c r="N563" s="869"/>
      <c r="O563" s="869"/>
      <c r="P563" s="869"/>
      <c r="Q563" s="869"/>
      <c r="R563" s="869"/>
      <c r="S563" s="869"/>
      <c r="T563" s="642"/>
      <c r="W563" s="627"/>
      <c r="X563" s="627"/>
      <c r="Y563" s="627"/>
      <c r="Z563" s="627"/>
      <c r="AG563" s="642"/>
    </row>
    <row r="564" spans="4:33">
      <c r="D564" s="869"/>
      <c r="E564" s="869"/>
      <c r="F564" s="869"/>
      <c r="G564" s="869"/>
      <c r="H564" s="869"/>
      <c r="I564" s="869"/>
      <c r="J564" s="869"/>
      <c r="K564" s="869"/>
      <c r="L564" s="869"/>
      <c r="M564" s="869"/>
      <c r="N564" s="869"/>
      <c r="O564" s="869"/>
      <c r="P564" s="869"/>
      <c r="Q564" s="869"/>
      <c r="R564" s="869"/>
      <c r="S564" s="869"/>
      <c r="T564" s="642"/>
      <c r="W564" s="627"/>
      <c r="X564" s="627"/>
      <c r="Y564" s="627"/>
      <c r="Z564" s="627"/>
      <c r="AG564" s="642"/>
    </row>
    <row r="565" spans="4:33">
      <c r="D565" s="869"/>
      <c r="E565" s="869"/>
      <c r="F565" s="869"/>
      <c r="G565" s="869"/>
      <c r="H565" s="869"/>
      <c r="I565" s="869"/>
      <c r="J565" s="869"/>
      <c r="K565" s="869"/>
      <c r="L565" s="869"/>
      <c r="M565" s="869"/>
      <c r="N565" s="869"/>
      <c r="O565" s="869"/>
      <c r="P565" s="869"/>
      <c r="Q565" s="869"/>
      <c r="R565" s="869"/>
      <c r="S565" s="869"/>
      <c r="T565" s="642"/>
      <c r="W565" s="627"/>
      <c r="X565" s="627"/>
      <c r="Y565" s="627"/>
      <c r="Z565" s="627"/>
      <c r="AG565" s="642"/>
    </row>
    <row r="566" spans="4:33">
      <c r="D566" s="869"/>
      <c r="E566" s="869"/>
      <c r="F566" s="869"/>
      <c r="G566" s="869"/>
      <c r="H566" s="869"/>
      <c r="I566" s="869"/>
      <c r="J566" s="869"/>
      <c r="K566" s="869"/>
      <c r="L566" s="869"/>
      <c r="M566" s="869"/>
      <c r="N566" s="869"/>
      <c r="O566" s="869"/>
      <c r="P566" s="869"/>
      <c r="Q566" s="869"/>
      <c r="R566" s="869"/>
      <c r="S566" s="869"/>
      <c r="T566" s="642"/>
      <c r="W566" s="627"/>
      <c r="X566" s="627"/>
      <c r="Y566" s="627"/>
      <c r="Z566" s="627"/>
      <c r="AG566" s="642"/>
    </row>
    <row r="567" spans="4:33">
      <c r="D567" s="869"/>
      <c r="E567" s="869"/>
      <c r="F567" s="869"/>
      <c r="G567" s="869"/>
      <c r="H567" s="869"/>
      <c r="I567" s="869"/>
      <c r="J567" s="869"/>
      <c r="K567" s="869"/>
      <c r="L567" s="869"/>
      <c r="M567" s="869"/>
      <c r="N567" s="869"/>
      <c r="O567" s="869"/>
      <c r="P567" s="869"/>
      <c r="Q567" s="869"/>
      <c r="R567" s="869"/>
      <c r="S567" s="869"/>
      <c r="T567" s="642"/>
      <c r="W567" s="627"/>
      <c r="X567" s="627"/>
      <c r="Y567" s="627"/>
      <c r="Z567" s="627"/>
      <c r="AG567" s="642"/>
    </row>
    <row r="568" spans="4:33">
      <c r="D568" s="869"/>
      <c r="E568" s="869"/>
      <c r="F568" s="869"/>
      <c r="G568" s="869"/>
      <c r="H568" s="869"/>
      <c r="I568" s="869"/>
      <c r="J568" s="869"/>
      <c r="K568" s="869"/>
      <c r="L568" s="869"/>
      <c r="M568" s="869"/>
      <c r="N568" s="869"/>
      <c r="O568" s="869"/>
      <c r="P568" s="869"/>
      <c r="Q568" s="869"/>
      <c r="R568" s="869"/>
      <c r="S568" s="869"/>
      <c r="T568" s="642"/>
      <c r="W568" s="627"/>
      <c r="X568" s="627"/>
      <c r="Y568" s="627"/>
      <c r="Z568" s="627"/>
      <c r="AG568" s="642"/>
    </row>
    <row r="569" spans="4:33">
      <c r="D569" s="869"/>
      <c r="E569" s="869"/>
      <c r="F569" s="869"/>
      <c r="G569" s="869"/>
      <c r="H569" s="869"/>
      <c r="I569" s="869"/>
      <c r="J569" s="869"/>
      <c r="K569" s="869"/>
      <c r="L569" s="869"/>
      <c r="M569" s="869"/>
      <c r="N569" s="869"/>
      <c r="O569" s="869"/>
      <c r="P569" s="869"/>
      <c r="Q569" s="869"/>
      <c r="R569" s="869"/>
      <c r="S569" s="869"/>
      <c r="T569" s="642"/>
      <c r="W569" s="627"/>
      <c r="X569" s="627"/>
      <c r="Y569" s="627"/>
      <c r="Z569" s="627"/>
      <c r="AG569" s="642"/>
    </row>
    <row r="570" spans="4:33">
      <c r="D570" s="869"/>
      <c r="E570" s="869"/>
      <c r="F570" s="869"/>
      <c r="G570" s="869"/>
      <c r="H570" s="869"/>
      <c r="I570" s="869"/>
      <c r="J570" s="869"/>
      <c r="K570" s="869"/>
      <c r="L570" s="869"/>
      <c r="M570" s="869"/>
      <c r="N570" s="869"/>
      <c r="O570" s="869"/>
      <c r="P570" s="869"/>
      <c r="Q570" s="869"/>
      <c r="R570" s="869"/>
      <c r="S570" s="869"/>
      <c r="T570" s="642"/>
      <c r="W570" s="627"/>
      <c r="X570" s="627"/>
      <c r="Y570" s="627"/>
      <c r="Z570" s="627"/>
      <c r="AG570" s="642"/>
    </row>
    <row r="571" spans="4:33">
      <c r="D571" s="869"/>
      <c r="E571" s="869"/>
      <c r="F571" s="869"/>
      <c r="G571" s="869"/>
      <c r="H571" s="869"/>
      <c r="I571" s="869"/>
      <c r="J571" s="869"/>
      <c r="K571" s="869"/>
      <c r="L571" s="869"/>
      <c r="M571" s="869"/>
      <c r="N571" s="869"/>
      <c r="O571" s="869"/>
      <c r="P571" s="869"/>
      <c r="Q571" s="869"/>
      <c r="R571" s="869"/>
      <c r="S571" s="869"/>
      <c r="T571" s="642"/>
      <c r="W571" s="627"/>
      <c r="X571" s="627"/>
      <c r="Y571" s="627"/>
      <c r="Z571" s="627"/>
      <c r="AG571" s="642"/>
    </row>
    <row r="572" spans="4:33">
      <c r="D572" s="869"/>
      <c r="E572" s="869"/>
      <c r="F572" s="869"/>
      <c r="G572" s="869"/>
      <c r="H572" s="869"/>
      <c r="I572" s="869"/>
      <c r="J572" s="869"/>
      <c r="K572" s="869"/>
      <c r="L572" s="869"/>
      <c r="M572" s="869"/>
      <c r="N572" s="869"/>
      <c r="O572" s="869"/>
      <c r="P572" s="869"/>
      <c r="Q572" s="869"/>
      <c r="R572" s="869"/>
      <c r="S572" s="869"/>
      <c r="T572" s="642"/>
      <c r="W572" s="627"/>
      <c r="X572" s="627"/>
      <c r="Y572" s="627"/>
      <c r="Z572" s="627"/>
      <c r="AG572" s="642"/>
    </row>
    <row r="573" spans="4:33">
      <c r="D573" s="869"/>
      <c r="E573" s="869"/>
      <c r="F573" s="869"/>
      <c r="G573" s="869"/>
      <c r="H573" s="869"/>
      <c r="I573" s="869"/>
      <c r="J573" s="869"/>
      <c r="K573" s="869"/>
      <c r="L573" s="869"/>
      <c r="M573" s="869"/>
      <c r="N573" s="869"/>
      <c r="O573" s="869"/>
      <c r="P573" s="869"/>
      <c r="Q573" s="869"/>
      <c r="R573" s="869"/>
      <c r="S573" s="869"/>
      <c r="T573" s="642"/>
      <c r="W573" s="627"/>
      <c r="X573" s="627"/>
      <c r="Y573" s="627"/>
      <c r="Z573" s="627"/>
      <c r="AG573" s="642"/>
    </row>
    <row r="574" spans="4:33">
      <c r="D574" s="869"/>
      <c r="E574" s="869"/>
      <c r="F574" s="869"/>
      <c r="G574" s="869"/>
      <c r="H574" s="869"/>
      <c r="I574" s="869"/>
      <c r="J574" s="869"/>
      <c r="K574" s="869"/>
      <c r="L574" s="869"/>
      <c r="M574" s="869"/>
      <c r="N574" s="869"/>
      <c r="O574" s="869"/>
      <c r="P574" s="869"/>
      <c r="Q574" s="869"/>
      <c r="R574" s="869"/>
      <c r="S574" s="869"/>
      <c r="T574" s="642"/>
      <c r="W574" s="627"/>
      <c r="X574" s="627"/>
      <c r="Y574" s="627"/>
      <c r="Z574" s="627"/>
      <c r="AG574" s="642"/>
    </row>
    <row r="575" spans="4:33">
      <c r="D575" s="869"/>
      <c r="E575" s="869"/>
      <c r="F575" s="869"/>
      <c r="G575" s="869"/>
      <c r="H575" s="869"/>
      <c r="I575" s="869"/>
      <c r="J575" s="869"/>
      <c r="K575" s="869"/>
      <c r="L575" s="869"/>
      <c r="M575" s="869"/>
      <c r="N575" s="869"/>
      <c r="O575" s="869"/>
      <c r="P575" s="869"/>
      <c r="Q575" s="869"/>
      <c r="R575" s="869"/>
      <c r="S575" s="869"/>
      <c r="T575" s="642"/>
      <c r="W575" s="627"/>
      <c r="X575" s="627"/>
      <c r="Y575" s="627"/>
      <c r="Z575" s="627"/>
      <c r="AG575" s="642"/>
    </row>
    <row r="576" spans="4:33">
      <c r="D576" s="869"/>
      <c r="E576" s="869"/>
      <c r="F576" s="869"/>
      <c r="G576" s="869"/>
      <c r="H576" s="869"/>
      <c r="I576" s="869"/>
      <c r="J576" s="869"/>
      <c r="K576" s="869"/>
      <c r="L576" s="869"/>
      <c r="M576" s="869"/>
      <c r="N576" s="869"/>
      <c r="O576" s="869"/>
      <c r="P576" s="869"/>
      <c r="Q576" s="869"/>
      <c r="R576" s="869"/>
      <c r="S576" s="869"/>
      <c r="T576" s="642"/>
      <c r="W576" s="627"/>
      <c r="X576" s="627"/>
      <c r="Y576" s="627"/>
      <c r="Z576" s="627"/>
      <c r="AG576" s="642"/>
    </row>
    <row r="577" spans="4:33">
      <c r="D577" s="869"/>
      <c r="E577" s="869"/>
      <c r="F577" s="869"/>
      <c r="G577" s="869"/>
      <c r="H577" s="869"/>
      <c r="I577" s="869"/>
      <c r="J577" s="869"/>
      <c r="K577" s="869"/>
      <c r="L577" s="869"/>
      <c r="M577" s="869"/>
      <c r="N577" s="869"/>
      <c r="O577" s="869"/>
      <c r="P577" s="869"/>
      <c r="Q577" s="869"/>
      <c r="R577" s="869"/>
      <c r="S577" s="869"/>
      <c r="T577" s="642"/>
      <c r="W577" s="627"/>
      <c r="X577" s="627"/>
      <c r="Y577" s="627"/>
      <c r="Z577" s="627"/>
      <c r="AG577" s="642"/>
    </row>
    <row r="578" spans="4:33">
      <c r="D578" s="869"/>
      <c r="E578" s="869"/>
      <c r="F578" s="869"/>
      <c r="G578" s="869"/>
      <c r="H578" s="869"/>
      <c r="I578" s="869"/>
      <c r="J578" s="869"/>
      <c r="K578" s="869"/>
      <c r="L578" s="869"/>
      <c r="M578" s="869"/>
      <c r="N578" s="869"/>
      <c r="O578" s="869"/>
      <c r="P578" s="869"/>
      <c r="Q578" s="869"/>
      <c r="R578" s="869"/>
      <c r="S578" s="869"/>
      <c r="T578" s="642"/>
      <c r="W578" s="627"/>
      <c r="X578" s="627"/>
      <c r="Y578" s="627"/>
      <c r="Z578" s="627"/>
      <c r="AG578" s="642"/>
    </row>
    <row r="579" spans="4:33">
      <c r="D579" s="869"/>
      <c r="E579" s="869"/>
      <c r="F579" s="869"/>
      <c r="G579" s="869"/>
      <c r="H579" s="869"/>
      <c r="I579" s="869"/>
      <c r="J579" s="869"/>
      <c r="K579" s="869"/>
      <c r="L579" s="869"/>
      <c r="M579" s="869"/>
      <c r="N579" s="869"/>
      <c r="O579" s="869"/>
      <c r="P579" s="869"/>
      <c r="Q579" s="869"/>
      <c r="R579" s="869"/>
      <c r="S579" s="869"/>
      <c r="T579" s="642"/>
      <c r="W579" s="627"/>
      <c r="X579" s="627"/>
      <c r="Y579" s="627"/>
      <c r="Z579" s="627"/>
      <c r="AG579" s="642"/>
    </row>
    <row r="580" spans="4:33">
      <c r="D580" s="869"/>
      <c r="E580" s="869"/>
      <c r="F580" s="869"/>
      <c r="G580" s="869"/>
      <c r="H580" s="869"/>
      <c r="I580" s="869"/>
      <c r="J580" s="869"/>
      <c r="K580" s="869"/>
      <c r="L580" s="869"/>
      <c r="M580" s="869"/>
      <c r="N580" s="869"/>
      <c r="O580" s="869"/>
      <c r="P580" s="869"/>
      <c r="Q580" s="869"/>
      <c r="R580" s="869"/>
      <c r="S580" s="869"/>
      <c r="T580" s="642"/>
      <c r="W580" s="627"/>
      <c r="X580" s="627"/>
      <c r="Y580" s="627"/>
      <c r="Z580" s="627"/>
      <c r="AG580" s="642"/>
    </row>
    <row r="581" spans="4:33">
      <c r="D581" s="869"/>
      <c r="E581" s="869"/>
      <c r="F581" s="869"/>
      <c r="G581" s="869"/>
      <c r="H581" s="869"/>
      <c r="I581" s="869"/>
      <c r="J581" s="869"/>
      <c r="K581" s="869"/>
      <c r="L581" s="869"/>
      <c r="M581" s="869"/>
      <c r="N581" s="869"/>
      <c r="O581" s="869"/>
      <c r="P581" s="869"/>
      <c r="Q581" s="869"/>
      <c r="R581" s="869"/>
      <c r="S581" s="869"/>
      <c r="T581" s="642"/>
      <c r="W581" s="627"/>
      <c r="X581" s="627"/>
      <c r="Y581" s="627"/>
      <c r="Z581" s="627"/>
      <c r="AG581" s="642"/>
    </row>
    <row r="582" spans="4:33">
      <c r="D582" s="869"/>
      <c r="E582" s="869"/>
      <c r="F582" s="869"/>
      <c r="G582" s="869"/>
      <c r="H582" s="869"/>
      <c r="I582" s="869"/>
      <c r="J582" s="869"/>
      <c r="K582" s="869"/>
      <c r="L582" s="869"/>
      <c r="M582" s="869"/>
      <c r="N582" s="869"/>
      <c r="O582" s="869"/>
      <c r="P582" s="869"/>
      <c r="Q582" s="869"/>
      <c r="R582" s="869"/>
      <c r="S582" s="869"/>
      <c r="T582" s="642"/>
      <c r="W582" s="627"/>
      <c r="X582" s="627"/>
      <c r="Y582" s="627"/>
      <c r="Z582" s="627"/>
      <c r="AG582" s="642"/>
    </row>
    <row r="583" spans="4:33">
      <c r="D583" s="869"/>
      <c r="E583" s="869"/>
      <c r="F583" s="869"/>
      <c r="G583" s="869"/>
      <c r="H583" s="869"/>
      <c r="I583" s="869"/>
      <c r="J583" s="869"/>
      <c r="K583" s="869"/>
      <c r="L583" s="869"/>
      <c r="M583" s="869"/>
      <c r="N583" s="869"/>
      <c r="O583" s="869"/>
      <c r="P583" s="869"/>
      <c r="Q583" s="869"/>
      <c r="R583" s="869"/>
      <c r="S583" s="869"/>
      <c r="T583" s="642"/>
      <c r="W583" s="627"/>
      <c r="X583" s="627"/>
      <c r="Y583" s="627"/>
      <c r="Z583" s="627"/>
      <c r="AG583" s="642"/>
    </row>
    <row r="584" spans="4:33">
      <c r="D584" s="869"/>
      <c r="E584" s="869"/>
      <c r="F584" s="869"/>
      <c r="G584" s="869"/>
      <c r="H584" s="869"/>
      <c r="I584" s="869"/>
      <c r="J584" s="869"/>
      <c r="K584" s="869"/>
      <c r="L584" s="869"/>
      <c r="M584" s="869"/>
      <c r="N584" s="869"/>
      <c r="O584" s="869"/>
      <c r="P584" s="869"/>
      <c r="Q584" s="869"/>
      <c r="R584" s="869"/>
      <c r="S584" s="869"/>
      <c r="T584" s="642"/>
      <c r="W584" s="627"/>
      <c r="X584" s="627"/>
      <c r="Y584" s="627"/>
      <c r="Z584" s="627"/>
      <c r="AG584" s="642"/>
    </row>
    <row r="585" spans="4:33">
      <c r="D585" s="869"/>
      <c r="E585" s="869"/>
      <c r="F585" s="869"/>
      <c r="G585" s="869"/>
      <c r="H585" s="869"/>
      <c r="I585" s="869"/>
      <c r="J585" s="869"/>
      <c r="K585" s="869"/>
      <c r="L585" s="869"/>
      <c r="M585" s="869"/>
      <c r="N585" s="869"/>
      <c r="O585" s="869"/>
      <c r="P585" s="869"/>
      <c r="Q585" s="869"/>
      <c r="R585" s="869"/>
      <c r="S585" s="869"/>
      <c r="T585" s="642"/>
      <c r="W585" s="627"/>
      <c r="X585" s="627"/>
      <c r="Y585" s="627"/>
      <c r="Z585" s="627"/>
      <c r="AG585" s="642"/>
    </row>
    <row r="586" spans="4:33">
      <c r="D586" s="869"/>
      <c r="E586" s="869"/>
      <c r="F586" s="869"/>
      <c r="G586" s="869"/>
      <c r="H586" s="869"/>
      <c r="I586" s="869"/>
      <c r="J586" s="869"/>
      <c r="K586" s="869"/>
      <c r="L586" s="869"/>
      <c r="M586" s="869"/>
      <c r="N586" s="869"/>
      <c r="O586" s="869"/>
      <c r="P586" s="869"/>
      <c r="Q586" s="869"/>
      <c r="R586" s="869"/>
      <c r="S586" s="869"/>
      <c r="T586" s="642"/>
      <c r="W586" s="627"/>
      <c r="X586" s="627"/>
      <c r="Y586" s="627"/>
      <c r="Z586" s="627"/>
      <c r="AG586" s="642"/>
    </row>
    <row r="587" spans="4:33">
      <c r="D587" s="869"/>
      <c r="E587" s="869"/>
      <c r="F587" s="869"/>
      <c r="G587" s="869"/>
      <c r="H587" s="869"/>
      <c r="I587" s="869"/>
      <c r="J587" s="869"/>
      <c r="K587" s="869"/>
      <c r="L587" s="869"/>
      <c r="M587" s="869"/>
      <c r="N587" s="869"/>
      <c r="O587" s="869"/>
      <c r="P587" s="869"/>
      <c r="Q587" s="869"/>
      <c r="R587" s="869"/>
      <c r="S587" s="869"/>
      <c r="T587" s="642"/>
      <c r="W587" s="627"/>
      <c r="X587" s="627"/>
      <c r="Y587" s="627"/>
      <c r="Z587" s="627"/>
      <c r="AG587" s="642"/>
    </row>
    <row r="588" spans="4:33">
      <c r="D588" s="869"/>
      <c r="E588" s="869"/>
      <c r="F588" s="869"/>
      <c r="G588" s="869"/>
      <c r="H588" s="869"/>
      <c r="I588" s="869"/>
      <c r="J588" s="869"/>
      <c r="K588" s="869"/>
      <c r="L588" s="869"/>
      <c r="M588" s="869"/>
      <c r="N588" s="869"/>
      <c r="O588" s="869"/>
      <c r="P588" s="869"/>
      <c r="Q588" s="869"/>
      <c r="R588" s="869"/>
      <c r="S588" s="869"/>
      <c r="T588" s="642"/>
      <c r="W588" s="627"/>
      <c r="X588" s="627"/>
      <c r="Y588" s="627"/>
      <c r="Z588" s="627"/>
      <c r="AG588" s="642"/>
    </row>
    <row r="589" spans="4:33">
      <c r="D589" s="869"/>
      <c r="E589" s="869"/>
      <c r="F589" s="869"/>
      <c r="G589" s="869"/>
      <c r="H589" s="869"/>
      <c r="I589" s="869"/>
      <c r="J589" s="869"/>
      <c r="K589" s="869"/>
      <c r="L589" s="869"/>
      <c r="M589" s="869"/>
      <c r="N589" s="869"/>
      <c r="O589" s="869"/>
      <c r="P589" s="869"/>
      <c r="Q589" s="869"/>
      <c r="R589" s="869"/>
      <c r="S589" s="869"/>
      <c r="T589" s="642"/>
      <c r="W589" s="627"/>
      <c r="X589" s="627"/>
      <c r="Y589" s="627"/>
      <c r="Z589" s="627"/>
      <c r="AG589" s="642"/>
    </row>
    <row r="590" spans="4:33">
      <c r="D590" s="869"/>
      <c r="E590" s="869"/>
      <c r="F590" s="869"/>
      <c r="G590" s="869"/>
      <c r="H590" s="869"/>
      <c r="I590" s="869"/>
      <c r="J590" s="869"/>
      <c r="K590" s="869"/>
      <c r="L590" s="869"/>
      <c r="M590" s="869"/>
      <c r="N590" s="869"/>
      <c r="O590" s="869"/>
      <c r="P590" s="869"/>
      <c r="Q590" s="869"/>
      <c r="R590" s="869"/>
      <c r="S590" s="869"/>
      <c r="T590" s="642"/>
      <c r="W590" s="627"/>
      <c r="X590" s="627"/>
      <c r="Y590" s="627"/>
      <c r="Z590" s="627"/>
      <c r="AG590" s="642"/>
    </row>
    <row r="591" spans="4:33">
      <c r="D591" s="869"/>
      <c r="E591" s="869"/>
      <c r="F591" s="869"/>
      <c r="G591" s="869"/>
      <c r="H591" s="869"/>
      <c r="I591" s="869"/>
      <c r="J591" s="869"/>
      <c r="K591" s="869"/>
      <c r="L591" s="869"/>
      <c r="M591" s="869"/>
      <c r="N591" s="869"/>
      <c r="O591" s="869"/>
      <c r="P591" s="869"/>
      <c r="Q591" s="869"/>
      <c r="R591" s="869"/>
      <c r="S591" s="869"/>
      <c r="T591" s="642"/>
      <c r="W591" s="627"/>
      <c r="X591" s="627"/>
      <c r="Y591" s="627"/>
      <c r="Z591" s="627"/>
      <c r="AG591" s="642"/>
    </row>
    <row r="592" spans="4:33">
      <c r="D592" s="869"/>
      <c r="E592" s="869"/>
      <c r="F592" s="869"/>
      <c r="G592" s="869"/>
      <c r="H592" s="869"/>
      <c r="I592" s="869"/>
      <c r="J592" s="869"/>
      <c r="K592" s="869"/>
      <c r="L592" s="869"/>
      <c r="M592" s="869"/>
      <c r="N592" s="869"/>
      <c r="O592" s="869"/>
      <c r="P592" s="869"/>
      <c r="Q592" s="869"/>
      <c r="R592" s="869"/>
      <c r="S592" s="869"/>
      <c r="T592" s="642"/>
      <c r="W592" s="627"/>
      <c r="X592" s="627"/>
      <c r="Y592" s="627"/>
      <c r="Z592" s="627"/>
      <c r="AG592" s="642"/>
    </row>
    <row r="593" spans="4:33">
      <c r="D593" s="869"/>
      <c r="E593" s="869"/>
      <c r="F593" s="869"/>
      <c r="G593" s="869"/>
      <c r="H593" s="869"/>
      <c r="I593" s="869"/>
      <c r="J593" s="869"/>
      <c r="K593" s="869"/>
      <c r="L593" s="869"/>
      <c r="M593" s="869"/>
      <c r="N593" s="869"/>
      <c r="O593" s="869"/>
      <c r="P593" s="869"/>
      <c r="Q593" s="869"/>
      <c r="R593" s="869"/>
      <c r="S593" s="869"/>
      <c r="T593" s="642"/>
      <c r="W593" s="627"/>
      <c r="X593" s="627"/>
      <c r="Y593" s="627"/>
      <c r="Z593" s="627"/>
      <c r="AG593" s="642"/>
    </row>
    <row r="594" spans="4:33">
      <c r="D594" s="869"/>
      <c r="E594" s="869"/>
      <c r="F594" s="869"/>
      <c r="G594" s="869"/>
      <c r="H594" s="869"/>
      <c r="I594" s="869"/>
      <c r="J594" s="869"/>
      <c r="K594" s="869"/>
      <c r="L594" s="869"/>
      <c r="M594" s="869"/>
      <c r="N594" s="869"/>
      <c r="O594" s="869"/>
      <c r="P594" s="869"/>
      <c r="Q594" s="869"/>
      <c r="R594" s="869"/>
      <c r="S594" s="869"/>
      <c r="T594" s="642"/>
      <c r="W594" s="627"/>
      <c r="X594" s="627"/>
      <c r="Y594" s="627"/>
      <c r="Z594" s="627"/>
      <c r="AG594" s="642"/>
    </row>
    <row r="595" spans="4:33">
      <c r="D595" s="869"/>
      <c r="E595" s="869"/>
      <c r="F595" s="869"/>
      <c r="G595" s="869"/>
      <c r="H595" s="869"/>
      <c r="I595" s="869"/>
      <c r="J595" s="869"/>
      <c r="K595" s="869"/>
      <c r="L595" s="869"/>
      <c r="M595" s="869"/>
      <c r="N595" s="869"/>
      <c r="O595" s="869"/>
      <c r="P595" s="869"/>
      <c r="Q595" s="869"/>
      <c r="R595" s="869"/>
      <c r="S595" s="869"/>
      <c r="T595" s="642"/>
      <c r="W595" s="627"/>
      <c r="X595" s="627"/>
      <c r="Y595" s="627"/>
      <c r="Z595" s="627"/>
      <c r="AG595" s="642"/>
    </row>
    <row r="596" spans="4:33">
      <c r="D596" s="869"/>
      <c r="E596" s="869"/>
      <c r="F596" s="869"/>
      <c r="G596" s="869"/>
      <c r="H596" s="869"/>
      <c r="I596" s="869"/>
      <c r="J596" s="869"/>
      <c r="K596" s="869"/>
      <c r="L596" s="869"/>
      <c r="M596" s="869"/>
      <c r="N596" s="869"/>
      <c r="O596" s="869"/>
      <c r="P596" s="869"/>
      <c r="Q596" s="869"/>
      <c r="R596" s="869"/>
      <c r="S596" s="869"/>
      <c r="T596" s="642"/>
      <c r="W596" s="627"/>
      <c r="X596" s="627"/>
      <c r="Y596" s="627"/>
      <c r="Z596" s="627"/>
      <c r="AG596" s="642"/>
    </row>
    <row r="597" spans="4:33">
      <c r="D597" s="869"/>
      <c r="E597" s="869"/>
      <c r="F597" s="869"/>
      <c r="G597" s="869"/>
      <c r="H597" s="869"/>
      <c r="I597" s="869"/>
      <c r="J597" s="869"/>
      <c r="K597" s="869"/>
      <c r="L597" s="869"/>
      <c r="M597" s="869"/>
      <c r="N597" s="869"/>
      <c r="O597" s="869"/>
      <c r="P597" s="869"/>
      <c r="Q597" s="869"/>
      <c r="R597" s="869"/>
      <c r="S597" s="869"/>
      <c r="T597" s="642"/>
      <c r="W597" s="627"/>
      <c r="X597" s="627"/>
      <c r="Y597" s="627"/>
      <c r="Z597" s="627"/>
      <c r="AG597" s="642"/>
    </row>
    <row r="598" spans="4:33">
      <c r="D598" s="869"/>
      <c r="E598" s="869"/>
      <c r="F598" s="869"/>
      <c r="G598" s="869"/>
      <c r="H598" s="869"/>
      <c r="I598" s="869"/>
      <c r="J598" s="869"/>
      <c r="K598" s="869"/>
      <c r="L598" s="869"/>
      <c r="M598" s="869"/>
      <c r="N598" s="869"/>
      <c r="O598" s="869"/>
      <c r="P598" s="869"/>
      <c r="Q598" s="869"/>
      <c r="R598" s="869"/>
      <c r="S598" s="869"/>
      <c r="T598" s="642"/>
      <c r="W598" s="627"/>
      <c r="X598" s="627"/>
      <c r="Y598" s="627"/>
      <c r="Z598" s="627"/>
      <c r="AG598" s="642"/>
    </row>
    <row r="599" spans="4:33">
      <c r="D599" s="869"/>
      <c r="E599" s="869"/>
      <c r="F599" s="869"/>
      <c r="G599" s="869"/>
      <c r="H599" s="869"/>
      <c r="I599" s="869"/>
      <c r="J599" s="869"/>
      <c r="K599" s="869"/>
      <c r="L599" s="869"/>
      <c r="M599" s="869"/>
      <c r="N599" s="869"/>
      <c r="O599" s="869"/>
      <c r="P599" s="869"/>
      <c r="Q599" s="869"/>
      <c r="R599" s="869"/>
      <c r="S599" s="869"/>
      <c r="T599" s="642"/>
      <c r="W599" s="627"/>
      <c r="X599" s="627"/>
      <c r="Y599" s="627"/>
      <c r="Z599" s="627"/>
      <c r="AG599" s="642"/>
    </row>
    <row r="600" spans="4:33">
      <c r="D600" s="869"/>
      <c r="E600" s="869"/>
      <c r="F600" s="869"/>
      <c r="G600" s="869"/>
      <c r="H600" s="869"/>
      <c r="I600" s="869"/>
      <c r="J600" s="869"/>
      <c r="K600" s="869"/>
      <c r="L600" s="869"/>
      <c r="M600" s="869"/>
      <c r="N600" s="869"/>
      <c r="O600" s="869"/>
      <c r="P600" s="869"/>
      <c r="Q600" s="869"/>
      <c r="R600" s="869"/>
      <c r="S600" s="869"/>
      <c r="T600" s="642"/>
      <c r="W600" s="627"/>
      <c r="X600" s="627"/>
      <c r="Y600" s="627"/>
      <c r="Z600" s="627"/>
      <c r="AG600" s="642"/>
    </row>
    <row r="601" spans="4:33">
      <c r="D601" s="869"/>
      <c r="E601" s="869"/>
      <c r="F601" s="869"/>
      <c r="G601" s="869"/>
      <c r="H601" s="869"/>
      <c r="I601" s="869"/>
      <c r="J601" s="869"/>
      <c r="K601" s="869"/>
      <c r="L601" s="869"/>
      <c r="M601" s="869"/>
      <c r="N601" s="869"/>
      <c r="O601" s="869"/>
      <c r="P601" s="869"/>
      <c r="Q601" s="869"/>
      <c r="R601" s="869"/>
      <c r="S601" s="869"/>
      <c r="T601" s="642"/>
      <c r="W601" s="627"/>
      <c r="X601" s="627"/>
      <c r="Y601" s="627"/>
      <c r="Z601" s="627"/>
      <c r="AG601" s="642"/>
    </row>
    <row r="602" spans="4:33">
      <c r="D602" s="869"/>
      <c r="E602" s="869"/>
      <c r="F602" s="869"/>
      <c r="G602" s="869"/>
      <c r="H602" s="869"/>
      <c r="I602" s="869"/>
      <c r="J602" s="869"/>
      <c r="K602" s="869"/>
      <c r="L602" s="869"/>
      <c r="M602" s="869"/>
      <c r="N602" s="869"/>
      <c r="O602" s="869"/>
      <c r="P602" s="869"/>
      <c r="Q602" s="869"/>
      <c r="R602" s="869"/>
      <c r="S602" s="869"/>
      <c r="T602" s="642"/>
      <c r="W602" s="627"/>
      <c r="X602" s="627"/>
      <c r="Y602" s="627"/>
      <c r="Z602" s="627"/>
      <c r="AG602" s="642"/>
    </row>
    <row r="603" spans="4:33">
      <c r="D603" s="869"/>
      <c r="E603" s="869"/>
      <c r="F603" s="869"/>
      <c r="G603" s="869"/>
      <c r="H603" s="869"/>
      <c r="I603" s="869"/>
      <c r="J603" s="869"/>
      <c r="K603" s="869"/>
      <c r="L603" s="869"/>
      <c r="M603" s="869"/>
      <c r="N603" s="869"/>
      <c r="O603" s="869"/>
      <c r="P603" s="869"/>
      <c r="Q603" s="869"/>
      <c r="R603" s="869"/>
      <c r="S603" s="869"/>
      <c r="T603" s="642"/>
      <c r="W603" s="627"/>
      <c r="X603" s="627"/>
      <c r="Y603" s="627"/>
      <c r="Z603" s="627"/>
      <c r="AG603" s="642"/>
    </row>
    <row r="604" spans="4:33">
      <c r="D604" s="869"/>
      <c r="E604" s="869"/>
      <c r="F604" s="869"/>
      <c r="G604" s="869"/>
      <c r="H604" s="869"/>
      <c r="I604" s="869"/>
      <c r="J604" s="869"/>
      <c r="K604" s="869"/>
      <c r="L604" s="869"/>
      <c r="M604" s="869"/>
      <c r="N604" s="869"/>
      <c r="O604" s="869"/>
      <c r="P604" s="869"/>
      <c r="Q604" s="869"/>
      <c r="R604" s="869"/>
      <c r="S604" s="869"/>
      <c r="T604" s="642"/>
      <c r="W604" s="627"/>
      <c r="X604" s="627"/>
      <c r="Y604" s="627"/>
      <c r="Z604" s="627"/>
      <c r="AG604" s="642"/>
    </row>
    <row r="605" spans="4:33">
      <c r="D605" s="869"/>
      <c r="E605" s="869"/>
      <c r="F605" s="869"/>
      <c r="G605" s="869"/>
      <c r="H605" s="869"/>
      <c r="I605" s="869"/>
      <c r="J605" s="869"/>
      <c r="K605" s="869"/>
      <c r="L605" s="869"/>
      <c r="M605" s="869"/>
      <c r="N605" s="869"/>
      <c r="O605" s="869"/>
      <c r="P605" s="869"/>
      <c r="Q605" s="869"/>
      <c r="R605" s="869"/>
      <c r="S605" s="869"/>
      <c r="T605" s="642"/>
      <c r="W605" s="627"/>
      <c r="X605" s="627"/>
      <c r="Y605" s="627"/>
      <c r="Z605" s="627"/>
      <c r="AG605" s="642"/>
    </row>
    <row r="606" spans="4:33">
      <c r="D606" s="869"/>
      <c r="E606" s="869"/>
      <c r="F606" s="869"/>
      <c r="G606" s="869"/>
      <c r="H606" s="869"/>
      <c r="I606" s="869"/>
      <c r="J606" s="869"/>
      <c r="K606" s="869"/>
      <c r="L606" s="869"/>
      <c r="M606" s="869"/>
      <c r="N606" s="869"/>
      <c r="O606" s="869"/>
      <c r="P606" s="869"/>
      <c r="Q606" s="869"/>
      <c r="R606" s="869"/>
      <c r="S606" s="869"/>
      <c r="T606" s="642"/>
      <c r="W606" s="627"/>
      <c r="X606" s="627"/>
      <c r="Y606" s="627"/>
      <c r="Z606" s="627"/>
      <c r="AG606" s="642"/>
    </row>
    <row r="607" spans="4:33">
      <c r="D607" s="869"/>
      <c r="E607" s="869"/>
      <c r="F607" s="869"/>
      <c r="G607" s="869"/>
      <c r="H607" s="869"/>
      <c r="I607" s="869"/>
      <c r="J607" s="869"/>
      <c r="K607" s="869"/>
      <c r="L607" s="869"/>
      <c r="M607" s="869"/>
      <c r="N607" s="869"/>
      <c r="O607" s="869"/>
      <c r="P607" s="869"/>
      <c r="Q607" s="869"/>
      <c r="R607" s="869"/>
      <c r="S607" s="869"/>
      <c r="T607" s="642"/>
      <c r="W607" s="627"/>
      <c r="X607" s="627"/>
      <c r="Y607" s="627"/>
      <c r="Z607" s="627"/>
      <c r="AG607" s="642"/>
    </row>
    <row r="608" spans="4:33">
      <c r="D608" s="869"/>
      <c r="E608" s="869"/>
      <c r="F608" s="869"/>
      <c r="G608" s="869"/>
      <c r="H608" s="869"/>
      <c r="I608" s="869"/>
      <c r="J608" s="869"/>
      <c r="K608" s="869"/>
      <c r="L608" s="869"/>
      <c r="M608" s="869"/>
      <c r="N608" s="869"/>
      <c r="O608" s="869"/>
      <c r="P608" s="869"/>
      <c r="Q608" s="869"/>
      <c r="R608" s="869"/>
      <c r="S608" s="869"/>
      <c r="T608" s="642"/>
      <c r="W608" s="627"/>
      <c r="X608" s="627"/>
      <c r="Y608" s="627"/>
      <c r="Z608" s="627"/>
      <c r="AG608" s="642"/>
    </row>
    <row r="609" spans="4:33">
      <c r="D609" s="869"/>
      <c r="E609" s="869"/>
      <c r="F609" s="869"/>
      <c r="G609" s="869"/>
      <c r="H609" s="869"/>
      <c r="I609" s="869"/>
      <c r="J609" s="869"/>
      <c r="K609" s="869"/>
      <c r="L609" s="869"/>
      <c r="M609" s="869"/>
      <c r="N609" s="869"/>
      <c r="O609" s="869"/>
      <c r="P609" s="869"/>
      <c r="Q609" s="869"/>
      <c r="R609" s="869"/>
      <c r="S609" s="869"/>
      <c r="T609" s="642"/>
      <c r="W609" s="627"/>
      <c r="X609" s="627"/>
      <c r="Y609" s="627"/>
      <c r="Z609" s="627"/>
      <c r="AG609" s="642"/>
    </row>
    <row r="610" spans="4:33">
      <c r="D610" s="869"/>
      <c r="E610" s="869"/>
      <c r="F610" s="869"/>
      <c r="G610" s="869"/>
      <c r="H610" s="869"/>
      <c r="I610" s="869"/>
      <c r="J610" s="869"/>
      <c r="K610" s="869"/>
      <c r="L610" s="869"/>
      <c r="M610" s="869"/>
      <c r="N610" s="869"/>
      <c r="O610" s="869"/>
      <c r="P610" s="869"/>
      <c r="Q610" s="869"/>
      <c r="R610" s="869"/>
      <c r="S610" s="869"/>
      <c r="T610" s="642"/>
      <c r="W610" s="627"/>
      <c r="X610" s="627"/>
      <c r="Y610" s="627"/>
      <c r="Z610" s="627"/>
      <c r="AG610" s="642"/>
    </row>
    <row r="611" spans="4:33">
      <c r="D611" s="869"/>
      <c r="E611" s="869"/>
      <c r="F611" s="869"/>
      <c r="G611" s="869"/>
      <c r="H611" s="869"/>
      <c r="I611" s="869"/>
      <c r="J611" s="869"/>
      <c r="K611" s="869"/>
      <c r="L611" s="869"/>
      <c r="M611" s="869"/>
      <c r="N611" s="869"/>
      <c r="O611" s="869"/>
      <c r="P611" s="869"/>
      <c r="Q611" s="869"/>
      <c r="R611" s="869"/>
      <c r="S611" s="869"/>
      <c r="T611" s="642"/>
      <c r="W611" s="627"/>
      <c r="X611" s="627"/>
      <c r="Y611" s="627"/>
      <c r="Z611" s="627"/>
      <c r="AG611" s="642"/>
    </row>
    <row r="612" spans="4:33">
      <c r="D612" s="869"/>
      <c r="E612" s="869"/>
      <c r="F612" s="869"/>
      <c r="G612" s="869"/>
      <c r="H612" s="869"/>
      <c r="I612" s="869"/>
      <c r="J612" s="869"/>
      <c r="K612" s="869"/>
      <c r="L612" s="869"/>
      <c r="M612" s="869"/>
      <c r="N612" s="869"/>
      <c r="O612" s="869"/>
      <c r="P612" s="869"/>
      <c r="Q612" s="869"/>
      <c r="R612" s="869"/>
      <c r="S612" s="869"/>
      <c r="T612" s="642"/>
      <c r="W612" s="627"/>
      <c r="X612" s="627"/>
      <c r="Y612" s="627"/>
      <c r="Z612" s="627"/>
      <c r="AG612" s="642"/>
    </row>
    <row r="613" spans="4:33">
      <c r="D613" s="869"/>
      <c r="E613" s="869"/>
      <c r="F613" s="869"/>
      <c r="G613" s="869"/>
      <c r="H613" s="869"/>
      <c r="I613" s="869"/>
      <c r="J613" s="869"/>
      <c r="K613" s="869"/>
      <c r="L613" s="869"/>
      <c r="M613" s="869"/>
      <c r="N613" s="869"/>
      <c r="O613" s="869"/>
      <c r="P613" s="869"/>
      <c r="Q613" s="869"/>
      <c r="R613" s="869"/>
      <c r="S613" s="869"/>
      <c r="T613" s="642"/>
      <c r="W613" s="627"/>
      <c r="X613" s="627"/>
      <c r="Y613" s="627"/>
      <c r="Z613" s="627"/>
      <c r="AG613" s="642"/>
    </row>
    <row r="614" spans="4:33">
      <c r="D614" s="869"/>
      <c r="E614" s="869"/>
      <c r="F614" s="869"/>
      <c r="G614" s="869"/>
      <c r="H614" s="869"/>
      <c r="I614" s="869"/>
      <c r="J614" s="869"/>
      <c r="K614" s="869"/>
      <c r="L614" s="869"/>
      <c r="M614" s="869"/>
      <c r="N614" s="869"/>
      <c r="O614" s="869"/>
      <c r="P614" s="869"/>
      <c r="Q614" s="869"/>
      <c r="R614" s="869"/>
      <c r="S614" s="869"/>
      <c r="T614" s="642"/>
      <c r="W614" s="627"/>
      <c r="X614" s="627"/>
      <c r="Y614" s="627"/>
      <c r="Z614" s="627"/>
      <c r="AG614" s="642"/>
    </row>
    <row r="615" spans="4:33">
      <c r="D615" s="869"/>
      <c r="E615" s="869"/>
      <c r="F615" s="869"/>
      <c r="G615" s="869"/>
      <c r="H615" s="869"/>
      <c r="I615" s="869"/>
      <c r="J615" s="869"/>
      <c r="K615" s="869"/>
      <c r="L615" s="869"/>
      <c r="M615" s="869"/>
      <c r="N615" s="869"/>
      <c r="O615" s="869"/>
      <c r="P615" s="869"/>
      <c r="Q615" s="869"/>
      <c r="R615" s="869"/>
      <c r="S615" s="869"/>
      <c r="T615" s="642"/>
      <c r="W615" s="627"/>
      <c r="X615" s="627"/>
      <c r="Y615" s="627"/>
      <c r="Z615" s="627"/>
      <c r="AG615" s="642"/>
    </row>
    <row r="616" spans="4:33">
      <c r="D616" s="869"/>
      <c r="E616" s="869"/>
      <c r="F616" s="869"/>
      <c r="G616" s="869"/>
      <c r="H616" s="869"/>
      <c r="I616" s="869"/>
      <c r="J616" s="869"/>
      <c r="K616" s="869"/>
      <c r="L616" s="869"/>
      <c r="M616" s="869"/>
      <c r="N616" s="869"/>
      <c r="O616" s="869"/>
      <c r="P616" s="869"/>
      <c r="Q616" s="869"/>
      <c r="R616" s="869"/>
      <c r="S616" s="869"/>
      <c r="T616" s="642"/>
      <c r="W616" s="627"/>
      <c r="X616" s="627"/>
      <c r="Y616" s="627"/>
      <c r="Z616" s="627"/>
      <c r="AG616" s="642"/>
    </row>
    <row r="617" spans="4:33">
      <c r="D617" s="869"/>
      <c r="E617" s="869"/>
      <c r="F617" s="869"/>
      <c r="G617" s="869"/>
      <c r="H617" s="869"/>
      <c r="I617" s="869"/>
      <c r="J617" s="869"/>
      <c r="K617" s="869"/>
      <c r="L617" s="869"/>
      <c r="M617" s="869"/>
      <c r="N617" s="869"/>
      <c r="O617" s="869"/>
      <c r="P617" s="869"/>
      <c r="Q617" s="869"/>
      <c r="R617" s="869"/>
      <c r="S617" s="869"/>
      <c r="T617" s="642"/>
      <c r="W617" s="627"/>
      <c r="X617" s="627"/>
      <c r="Y617" s="627"/>
      <c r="Z617" s="627"/>
      <c r="AG617" s="642"/>
    </row>
    <row r="618" spans="4:33">
      <c r="D618" s="869"/>
      <c r="E618" s="869"/>
      <c r="F618" s="869"/>
      <c r="G618" s="869"/>
      <c r="H618" s="869"/>
      <c r="I618" s="869"/>
      <c r="J618" s="869"/>
      <c r="K618" s="869"/>
      <c r="L618" s="869"/>
      <c r="M618" s="869"/>
      <c r="N618" s="869"/>
      <c r="O618" s="869"/>
      <c r="P618" s="869"/>
      <c r="Q618" s="869"/>
      <c r="R618" s="869"/>
      <c r="S618" s="869"/>
      <c r="T618" s="642"/>
      <c r="W618" s="627"/>
      <c r="X618" s="627"/>
      <c r="Y618" s="627"/>
      <c r="Z618" s="627"/>
      <c r="AG618" s="642"/>
    </row>
    <row r="619" spans="4:33">
      <c r="D619" s="869"/>
      <c r="E619" s="869"/>
      <c r="F619" s="869"/>
      <c r="G619" s="869"/>
      <c r="H619" s="869"/>
      <c r="I619" s="869"/>
      <c r="J619" s="869"/>
      <c r="K619" s="869"/>
      <c r="L619" s="869"/>
      <c r="M619" s="869"/>
      <c r="N619" s="869"/>
      <c r="O619" s="869"/>
      <c r="P619" s="869"/>
      <c r="Q619" s="869"/>
      <c r="R619" s="869"/>
      <c r="S619" s="869"/>
      <c r="T619" s="642"/>
      <c r="W619" s="627"/>
      <c r="X619" s="627"/>
      <c r="Y619" s="627"/>
      <c r="Z619" s="627"/>
      <c r="AG619" s="642"/>
    </row>
    <row r="620" spans="4:33">
      <c r="D620" s="869"/>
      <c r="E620" s="869"/>
      <c r="F620" s="869"/>
      <c r="G620" s="869"/>
      <c r="H620" s="869"/>
      <c r="I620" s="869"/>
      <c r="J620" s="869"/>
      <c r="K620" s="869"/>
      <c r="L620" s="869"/>
      <c r="M620" s="869"/>
      <c r="N620" s="869"/>
      <c r="O620" s="869"/>
      <c r="P620" s="869"/>
      <c r="Q620" s="869"/>
      <c r="R620" s="869"/>
      <c r="S620" s="869"/>
      <c r="T620" s="642"/>
      <c r="W620" s="627"/>
      <c r="X620" s="627"/>
      <c r="Y620" s="627"/>
      <c r="Z620" s="627"/>
      <c r="AG620" s="642"/>
    </row>
    <row r="621" spans="4:33">
      <c r="D621" s="869"/>
      <c r="E621" s="869"/>
      <c r="F621" s="869"/>
      <c r="G621" s="869"/>
      <c r="H621" s="869"/>
      <c r="I621" s="869"/>
      <c r="J621" s="869"/>
      <c r="K621" s="869"/>
      <c r="L621" s="869"/>
      <c r="M621" s="869"/>
      <c r="N621" s="869"/>
      <c r="O621" s="869"/>
      <c r="P621" s="869"/>
      <c r="Q621" s="869"/>
      <c r="R621" s="869"/>
      <c r="S621" s="869"/>
      <c r="T621" s="642"/>
      <c r="W621" s="627"/>
      <c r="X621" s="627"/>
      <c r="Y621" s="627"/>
      <c r="Z621" s="627"/>
      <c r="AG621" s="642"/>
    </row>
    <row r="622" spans="4:33">
      <c r="D622" s="869"/>
      <c r="E622" s="869"/>
      <c r="F622" s="869"/>
      <c r="G622" s="869"/>
      <c r="H622" s="869"/>
      <c r="I622" s="869"/>
      <c r="J622" s="869"/>
      <c r="K622" s="869"/>
      <c r="L622" s="869"/>
      <c r="M622" s="869"/>
      <c r="N622" s="869"/>
      <c r="O622" s="869"/>
      <c r="P622" s="869"/>
      <c r="Q622" s="869"/>
      <c r="R622" s="869"/>
      <c r="S622" s="869"/>
      <c r="T622" s="642"/>
      <c r="W622" s="627"/>
      <c r="X622" s="627"/>
      <c r="Y622" s="627"/>
      <c r="Z622" s="627"/>
      <c r="AG622" s="642"/>
    </row>
    <row r="623" spans="4:33">
      <c r="D623" s="869"/>
      <c r="E623" s="869"/>
      <c r="F623" s="869"/>
      <c r="G623" s="869"/>
      <c r="H623" s="869"/>
      <c r="I623" s="869"/>
      <c r="J623" s="869"/>
      <c r="K623" s="869"/>
      <c r="L623" s="869"/>
      <c r="M623" s="869"/>
      <c r="N623" s="869"/>
      <c r="O623" s="869"/>
      <c r="P623" s="869"/>
      <c r="Q623" s="869"/>
      <c r="R623" s="869"/>
      <c r="S623" s="869"/>
      <c r="T623" s="642"/>
      <c r="W623" s="627"/>
      <c r="X623" s="627"/>
      <c r="Y623" s="627"/>
      <c r="Z623" s="627"/>
      <c r="AG623" s="642"/>
    </row>
    <row r="624" spans="4:33">
      <c r="D624" s="869"/>
      <c r="E624" s="869"/>
      <c r="F624" s="869"/>
      <c r="G624" s="869"/>
      <c r="H624" s="869"/>
      <c r="I624" s="869"/>
      <c r="J624" s="869"/>
      <c r="K624" s="869"/>
      <c r="L624" s="869"/>
      <c r="M624" s="869"/>
      <c r="N624" s="869"/>
      <c r="O624" s="869"/>
      <c r="P624" s="869"/>
      <c r="Q624" s="869"/>
      <c r="R624" s="869"/>
      <c r="S624" s="869"/>
      <c r="T624" s="642"/>
      <c r="W624" s="627"/>
      <c r="X624" s="627"/>
      <c r="Y624" s="627"/>
      <c r="Z624" s="627"/>
      <c r="AG624" s="642"/>
    </row>
    <row r="625" spans="4:33">
      <c r="D625" s="869"/>
      <c r="E625" s="869"/>
      <c r="F625" s="869"/>
      <c r="G625" s="869"/>
      <c r="H625" s="869"/>
      <c r="I625" s="869"/>
      <c r="J625" s="869"/>
      <c r="K625" s="869"/>
      <c r="L625" s="869"/>
      <c r="M625" s="869"/>
      <c r="N625" s="869"/>
      <c r="O625" s="869"/>
      <c r="P625" s="869"/>
      <c r="Q625" s="869"/>
      <c r="R625" s="869"/>
      <c r="S625" s="869"/>
      <c r="T625" s="642"/>
      <c r="W625" s="627"/>
      <c r="X625" s="627"/>
      <c r="Y625" s="627"/>
      <c r="Z625" s="627"/>
      <c r="AG625" s="642"/>
    </row>
    <row r="626" spans="4:33">
      <c r="D626" s="869"/>
      <c r="E626" s="869"/>
      <c r="F626" s="869"/>
      <c r="G626" s="869"/>
      <c r="H626" s="869"/>
      <c r="I626" s="869"/>
      <c r="J626" s="869"/>
      <c r="K626" s="869"/>
      <c r="L626" s="869"/>
      <c r="M626" s="869"/>
      <c r="N626" s="869"/>
      <c r="O626" s="869"/>
      <c r="P626" s="869"/>
      <c r="Q626" s="869"/>
      <c r="R626" s="869"/>
      <c r="S626" s="869"/>
      <c r="T626" s="642"/>
      <c r="W626" s="627"/>
      <c r="X626" s="627"/>
      <c r="Y626" s="627"/>
      <c r="Z626" s="627"/>
      <c r="AG626" s="642"/>
    </row>
    <row r="627" spans="4:33">
      <c r="D627" s="869"/>
      <c r="E627" s="869"/>
      <c r="F627" s="869"/>
      <c r="G627" s="869"/>
      <c r="H627" s="869"/>
      <c r="I627" s="869"/>
      <c r="J627" s="869"/>
      <c r="K627" s="869"/>
      <c r="L627" s="869"/>
      <c r="M627" s="869"/>
      <c r="N627" s="869"/>
      <c r="O627" s="869"/>
      <c r="P627" s="869"/>
      <c r="Q627" s="869"/>
      <c r="R627" s="869"/>
      <c r="S627" s="869"/>
      <c r="T627" s="642"/>
      <c r="W627" s="627"/>
      <c r="X627" s="627"/>
      <c r="Y627" s="627"/>
      <c r="Z627" s="627"/>
      <c r="AG627" s="642"/>
    </row>
    <row r="628" spans="4:33">
      <c r="D628" s="869"/>
      <c r="E628" s="869"/>
      <c r="F628" s="869"/>
      <c r="G628" s="869"/>
      <c r="H628" s="869"/>
      <c r="I628" s="869"/>
      <c r="J628" s="869"/>
      <c r="K628" s="869"/>
      <c r="L628" s="869"/>
      <c r="M628" s="869"/>
      <c r="N628" s="869"/>
      <c r="O628" s="869"/>
      <c r="P628" s="869"/>
      <c r="Q628" s="869"/>
      <c r="R628" s="869"/>
      <c r="S628" s="869"/>
      <c r="T628" s="642"/>
      <c r="W628" s="627"/>
      <c r="X628" s="627"/>
      <c r="Y628" s="627"/>
      <c r="Z628" s="627"/>
      <c r="AG628" s="642"/>
    </row>
    <row r="629" spans="4:33">
      <c r="D629" s="869"/>
      <c r="E629" s="869"/>
      <c r="F629" s="869"/>
      <c r="G629" s="869"/>
      <c r="H629" s="869"/>
      <c r="I629" s="869"/>
      <c r="J629" s="869"/>
      <c r="K629" s="869"/>
      <c r="L629" s="869"/>
      <c r="M629" s="869"/>
      <c r="N629" s="869"/>
      <c r="O629" s="869"/>
      <c r="P629" s="869"/>
      <c r="Q629" s="869"/>
      <c r="R629" s="869"/>
      <c r="S629" s="869"/>
      <c r="T629" s="642"/>
      <c r="W629" s="627"/>
      <c r="X629" s="627"/>
      <c r="Y629" s="627"/>
      <c r="Z629" s="627"/>
      <c r="AG629" s="642"/>
    </row>
    <row r="630" spans="4:33">
      <c r="D630" s="869"/>
      <c r="E630" s="869"/>
      <c r="F630" s="869"/>
      <c r="G630" s="869"/>
      <c r="H630" s="869"/>
      <c r="I630" s="869"/>
      <c r="J630" s="869"/>
      <c r="K630" s="869"/>
      <c r="L630" s="869"/>
      <c r="M630" s="869"/>
      <c r="N630" s="869"/>
      <c r="O630" s="869"/>
      <c r="P630" s="869"/>
      <c r="Q630" s="869"/>
      <c r="R630" s="869"/>
      <c r="S630" s="869"/>
      <c r="T630" s="642"/>
      <c r="W630" s="627"/>
      <c r="X630" s="627"/>
      <c r="Y630" s="627"/>
      <c r="Z630" s="627"/>
      <c r="AG630" s="642"/>
    </row>
    <row r="631" spans="4:33">
      <c r="D631" s="869"/>
      <c r="E631" s="869"/>
      <c r="F631" s="869"/>
      <c r="G631" s="869"/>
      <c r="H631" s="869"/>
      <c r="I631" s="869"/>
      <c r="J631" s="869"/>
      <c r="K631" s="869"/>
      <c r="L631" s="869"/>
      <c r="M631" s="869"/>
      <c r="N631" s="869"/>
      <c r="O631" s="869"/>
      <c r="P631" s="869"/>
      <c r="Q631" s="869"/>
      <c r="R631" s="869"/>
      <c r="S631" s="869"/>
      <c r="T631" s="642"/>
      <c r="W631" s="627"/>
      <c r="X631" s="627"/>
      <c r="Y631" s="627"/>
      <c r="Z631" s="627"/>
      <c r="AG631" s="642"/>
    </row>
    <row r="632" spans="4:33">
      <c r="D632" s="869"/>
      <c r="E632" s="869"/>
      <c r="F632" s="869"/>
      <c r="G632" s="869"/>
      <c r="H632" s="869"/>
      <c r="I632" s="869"/>
      <c r="J632" s="869"/>
      <c r="K632" s="869"/>
      <c r="L632" s="869"/>
      <c r="M632" s="869"/>
      <c r="N632" s="869"/>
      <c r="O632" s="869"/>
      <c r="P632" s="869"/>
      <c r="Q632" s="869"/>
      <c r="R632" s="869"/>
      <c r="S632" s="869"/>
      <c r="T632" s="642"/>
      <c r="W632" s="627"/>
      <c r="X632" s="627"/>
      <c r="Y632" s="627"/>
      <c r="Z632" s="627"/>
      <c r="AG632" s="642"/>
    </row>
    <row r="633" spans="4:33">
      <c r="D633" s="869"/>
      <c r="E633" s="869"/>
      <c r="F633" s="869"/>
      <c r="G633" s="869"/>
      <c r="H633" s="869"/>
      <c r="I633" s="869"/>
      <c r="J633" s="869"/>
      <c r="K633" s="869"/>
      <c r="L633" s="869"/>
      <c r="M633" s="869"/>
      <c r="N633" s="869"/>
      <c r="O633" s="869"/>
      <c r="P633" s="869"/>
      <c r="Q633" s="869"/>
      <c r="R633" s="869"/>
      <c r="S633" s="869"/>
      <c r="T633" s="642"/>
      <c r="W633" s="627"/>
      <c r="X633" s="627"/>
      <c r="Y633" s="627"/>
      <c r="Z633" s="627"/>
      <c r="AG633" s="642"/>
    </row>
    <row r="634" spans="4:33">
      <c r="D634" s="869"/>
      <c r="E634" s="869"/>
      <c r="F634" s="869"/>
      <c r="G634" s="869"/>
      <c r="H634" s="869"/>
      <c r="I634" s="869"/>
      <c r="J634" s="869"/>
      <c r="K634" s="869"/>
      <c r="L634" s="869"/>
      <c r="M634" s="869"/>
      <c r="N634" s="869"/>
      <c r="O634" s="869"/>
      <c r="P634" s="869"/>
      <c r="Q634" s="869"/>
      <c r="R634" s="869"/>
      <c r="S634" s="869"/>
      <c r="T634" s="642"/>
      <c r="W634" s="627"/>
      <c r="X634" s="627"/>
      <c r="Y634" s="627"/>
      <c r="Z634" s="627"/>
      <c r="AG634" s="642"/>
    </row>
    <row r="635" spans="4:33">
      <c r="D635" s="869"/>
      <c r="E635" s="869"/>
      <c r="F635" s="869"/>
      <c r="G635" s="869"/>
      <c r="H635" s="869"/>
      <c r="I635" s="869"/>
      <c r="J635" s="869"/>
      <c r="K635" s="869"/>
      <c r="L635" s="869"/>
      <c r="M635" s="869"/>
      <c r="N635" s="869"/>
      <c r="O635" s="869"/>
      <c r="P635" s="869"/>
      <c r="Q635" s="869"/>
      <c r="R635" s="869"/>
      <c r="S635" s="869"/>
      <c r="T635" s="642"/>
      <c r="W635" s="627"/>
      <c r="X635" s="627"/>
      <c r="Y635" s="627"/>
      <c r="Z635" s="627"/>
      <c r="AG635" s="642"/>
    </row>
    <row r="636" spans="4:33">
      <c r="D636" s="869"/>
      <c r="E636" s="869"/>
      <c r="F636" s="869"/>
      <c r="G636" s="869"/>
      <c r="H636" s="869"/>
      <c r="I636" s="869"/>
      <c r="J636" s="869"/>
      <c r="K636" s="869"/>
      <c r="L636" s="869"/>
      <c r="M636" s="869"/>
      <c r="N636" s="869"/>
      <c r="O636" s="869"/>
      <c r="P636" s="869"/>
      <c r="Q636" s="869"/>
      <c r="R636" s="869"/>
      <c r="S636" s="869"/>
      <c r="T636" s="642"/>
      <c r="W636" s="627"/>
      <c r="X636" s="627"/>
      <c r="Y636" s="627"/>
      <c r="Z636" s="627"/>
      <c r="AG636" s="642"/>
    </row>
    <row r="637" spans="4:33">
      <c r="D637" s="869"/>
      <c r="E637" s="869"/>
      <c r="F637" s="869"/>
      <c r="G637" s="869"/>
      <c r="H637" s="869"/>
      <c r="I637" s="869"/>
      <c r="J637" s="869"/>
      <c r="K637" s="869"/>
      <c r="L637" s="869"/>
      <c r="M637" s="869"/>
      <c r="N637" s="869"/>
      <c r="O637" s="869"/>
      <c r="P637" s="869"/>
      <c r="Q637" s="869"/>
      <c r="R637" s="869"/>
      <c r="S637" s="869"/>
      <c r="T637" s="642"/>
      <c r="W637" s="627"/>
      <c r="X637" s="627"/>
      <c r="Y637" s="627"/>
      <c r="Z637" s="627"/>
      <c r="AG637" s="642"/>
    </row>
    <row r="638" spans="4:33">
      <c r="D638" s="869"/>
      <c r="E638" s="869"/>
      <c r="F638" s="869"/>
      <c r="G638" s="869"/>
      <c r="H638" s="869"/>
      <c r="I638" s="869"/>
      <c r="J638" s="869"/>
      <c r="K638" s="869"/>
      <c r="L638" s="869"/>
      <c r="M638" s="869"/>
      <c r="N638" s="869"/>
      <c r="O638" s="869"/>
      <c r="P638" s="869"/>
      <c r="Q638" s="869"/>
      <c r="R638" s="869"/>
      <c r="S638" s="869"/>
      <c r="T638" s="642"/>
      <c r="W638" s="627"/>
      <c r="X638" s="627"/>
      <c r="Y638" s="627"/>
      <c r="Z638" s="627"/>
      <c r="AG638" s="642"/>
    </row>
    <row r="639" spans="4:33">
      <c r="D639" s="869"/>
      <c r="E639" s="869"/>
      <c r="F639" s="869"/>
      <c r="G639" s="869"/>
      <c r="H639" s="869"/>
      <c r="I639" s="869"/>
      <c r="J639" s="869"/>
      <c r="K639" s="869"/>
      <c r="L639" s="869"/>
      <c r="M639" s="869"/>
      <c r="N639" s="869"/>
      <c r="O639" s="869"/>
      <c r="P639" s="869"/>
      <c r="Q639" s="869"/>
      <c r="R639" s="869"/>
      <c r="S639" s="869"/>
      <c r="T639" s="642"/>
      <c r="W639" s="627"/>
      <c r="X639" s="627"/>
      <c r="Y639" s="627"/>
      <c r="Z639" s="627"/>
      <c r="AG639" s="642"/>
    </row>
    <row r="640" spans="4:33">
      <c r="D640" s="869"/>
      <c r="E640" s="869"/>
      <c r="F640" s="869"/>
      <c r="G640" s="869"/>
      <c r="H640" s="869"/>
      <c r="I640" s="869"/>
      <c r="J640" s="869"/>
      <c r="K640" s="869"/>
      <c r="L640" s="869"/>
      <c r="M640" s="869"/>
      <c r="N640" s="869"/>
      <c r="O640" s="869"/>
      <c r="P640" s="869"/>
      <c r="Q640" s="869"/>
      <c r="R640" s="869"/>
      <c r="S640" s="869"/>
      <c r="T640" s="642"/>
      <c r="W640" s="627"/>
      <c r="X640" s="627"/>
      <c r="Y640" s="627"/>
      <c r="Z640" s="627"/>
      <c r="AG640" s="642"/>
    </row>
    <row r="641" spans="4:33">
      <c r="D641" s="869"/>
      <c r="E641" s="869"/>
      <c r="F641" s="869"/>
      <c r="G641" s="869"/>
      <c r="H641" s="869"/>
      <c r="I641" s="869"/>
      <c r="J641" s="869"/>
      <c r="K641" s="869"/>
      <c r="L641" s="869"/>
      <c r="M641" s="869"/>
      <c r="N641" s="869"/>
      <c r="O641" s="869"/>
      <c r="P641" s="869"/>
      <c r="Q641" s="869"/>
      <c r="R641" s="869"/>
      <c r="S641" s="869"/>
      <c r="T641" s="642"/>
      <c r="W641" s="627"/>
      <c r="X641" s="627"/>
      <c r="Y641" s="627"/>
      <c r="Z641" s="627"/>
      <c r="AG641" s="642"/>
    </row>
    <row r="642" spans="4:33">
      <c r="D642" s="869"/>
      <c r="E642" s="869"/>
      <c r="F642" s="869"/>
      <c r="G642" s="869"/>
      <c r="H642" s="869"/>
      <c r="I642" s="869"/>
      <c r="J642" s="869"/>
      <c r="K642" s="869"/>
      <c r="L642" s="869"/>
      <c r="M642" s="869"/>
      <c r="N642" s="869"/>
      <c r="O642" s="869"/>
      <c r="P642" s="869"/>
      <c r="Q642" s="869"/>
      <c r="R642" s="869"/>
      <c r="S642" s="869"/>
      <c r="T642" s="642"/>
      <c r="W642" s="627"/>
      <c r="X642" s="627"/>
      <c r="Y642" s="627"/>
      <c r="Z642" s="627"/>
      <c r="AG642" s="642"/>
    </row>
    <row r="643" spans="4:33">
      <c r="D643" s="869"/>
      <c r="E643" s="869"/>
      <c r="F643" s="869"/>
      <c r="G643" s="869"/>
      <c r="H643" s="869"/>
      <c r="I643" s="869"/>
      <c r="J643" s="869"/>
      <c r="K643" s="869"/>
      <c r="L643" s="869"/>
      <c r="M643" s="869"/>
      <c r="N643" s="869"/>
      <c r="O643" s="869"/>
      <c r="P643" s="869"/>
      <c r="Q643" s="869"/>
      <c r="R643" s="869"/>
      <c r="S643" s="869"/>
      <c r="T643" s="642"/>
      <c r="W643" s="627"/>
      <c r="X643" s="627"/>
      <c r="Y643" s="627"/>
      <c r="Z643" s="627"/>
      <c r="AG643" s="642"/>
    </row>
    <row r="644" spans="4:33">
      <c r="D644" s="869"/>
      <c r="E644" s="869"/>
      <c r="F644" s="869"/>
      <c r="G644" s="869"/>
      <c r="H644" s="869"/>
      <c r="I644" s="869"/>
      <c r="J644" s="869"/>
      <c r="K644" s="869"/>
      <c r="L644" s="869"/>
      <c r="M644" s="869"/>
      <c r="N644" s="869"/>
      <c r="O644" s="869"/>
      <c r="P644" s="869"/>
      <c r="Q644" s="869"/>
      <c r="R644" s="869"/>
      <c r="S644" s="869"/>
      <c r="T644" s="642"/>
      <c r="W644" s="627"/>
      <c r="X644" s="627"/>
      <c r="Y644" s="627"/>
      <c r="Z644" s="627"/>
      <c r="AG644" s="642"/>
    </row>
    <row r="645" spans="4:33">
      <c r="D645" s="869"/>
      <c r="E645" s="869"/>
      <c r="F645" s="869"/>
      <c r="G645" s="869"/>
      <c r="H645" s="869"/>
      <c r="I645" s="869"/>
      <c r="J645" s="869"/>
      <c r="K645" s="869"/>
      <c r="L645" s="869"/>
      <c r="M645" s="869"/>
      <c r="N645" s="869"/>
      <c r="O645" s="869"/>
      <c r="P645" s="869"/>
      <c r="Q645" s="869"/>
      <c r="R645" s="869"/>
      <c r="S645" s="869"/>
      <c r="T645" s="642"/>
      <c r="W645" s="627"/>
      <c r="X645" s="627"/>
      <c r="Y645" s="627"/>
      <c r="Z645" s="627"/>
      <c r="AG645" s="642"/>
    </row>
    <row r="646" spans="4:33">
      <c r="D646" s="869"/>
      <c r="E646" s="869"/>
      <c r="F646" s="869"/>
      <c r="G646" s="869"/>
      <c r="H646" s="869"/>
      <c r="I646" s="869"/>
      <c r="J646" s="869"/>
      <c r="K646" s="869"/>
      <c r="L646" s="869"/>
      <c r="M646" s="869"/>
      <c r="N646" s="869"/>
      <c r="O646" s="869"/>
      <c r="P646" s="869"/>
      <c r="Q646" s="869"/>
      <c r="R646" s="869"/>
      <c r="S646" s="869"/>
      <c r="T646" s="642"/>
      <c r="W646" s="627"/>
      <c r="X646" s="627"/>
      <c r="Y646" s="627"/>
      <c r="Z646" s="627"/>
      <c r="AG646" s="642"/>
    </row>
    <row r="647" spans="4:33">
      <c r="D647" s="869"/>
      <c r="E647" s="869"/>
      <c r="F647" s="869"/>
      <c r="G647" s="869"/>
      <c r="H647" s="869"/>
      <c r="I647" s="869"/>
      <c r="J647" s="869"/>
      <c r="K647" s="869"/>
      <c r="L647" s="869"/>
      <c r="M647" s="869"/>
      <c r="N647" s="869"/>
      <c r="O647" s="869"/>
      <c r="P647" s="869"/>
      <c r="Q647" s="869"/>
      <c r="R647" s="869"/>
      <c r="S647" s="869"/>
      <c r="T647" s="642"/>
      <c r="W647" s="627"/>
      <c r="X647" s="627"/>
      <c r="Y647" s="627"/>
      <c r="Z647" s="627"/>
      <c r="AG647" s="642"/>
    </row>
    <row r="648" spans="4:33">
      <c r="D648" s="869"/>
      <c r="E648" s="869"/>
      <c r="F648" s="869"/>
      <c r="G648" s="869"/>
      <c r="H648" s="869"/>
      <c r="I648" s="869"/>
      <c r="J648" s="869"/>
      <c r="K648" s="869"/>
      <c r="L648" s="869"/>
      <c r="M648" s="869"/>
      <c r="N648" s="869"/>
      <c r="O648" s="869"/>
      <c r="P648" s="869"/>
      <c r="Q648" s="869"/>
      <c r="R648" s="869"/>
      <c r="S648" s="869"/>
      <c r="T648" s="642"/>
      <c r="W648" s="627"/>
      <c r="X648" s="627"/>
      <c r="Y648" s="627"/>
      <c r="Z648" s="627"/>
      <c r="AG648" s="642"/>
    </row>
    <row r="649" spans="4:33">
      <c r="D649" s="869"/>
      <c r="E649" s="869"/>
      <c r="F649" s="869"/>
      <c r="G649" s="869"/>
      <c r="H649" s="869"/>
      <c r="I649" s="869"/>
      <c r="J649" s="869"/>
      <c r="K649" s="869"/>
      <c r="L649" s="869"/>
      <c r="M649" s="869"/>
      <c r="N649" s="869"/>
      <c r="O649" s="869"/>
      <c r="P649" s="869"/>
      <c r="Q649" s="869"/>
      <c r="R649" s="869"/>
      <c r="S649" s="869"/>
      <c r="T649" s="642"/>
      <c r="W649" s="627"/>
      <c r="X649" s="627"/>
      <c r="Y649" s="627"/>
      <c r="Z649" s="627"/>
      <c r="AG649" s="642"/>
    </row>
    <row r="650" spans="4:33">
      <c r="D650" s="869"/>
      <c r="E650" s="869"/>
      <c r="F650" s="869"/>
      <c r="G650" s="869"/>
      <c r="H650" s="869"/>
      <c r="I650" s="869"/>
      <c r="J650" s="869"/>
      <c r="K650" s="869"/>
      <c r="L650" s="869"/>
      <c r="M650" s="869"/>
      <c r="N650" s="869"/>
      <c r="O650" s="869"/>
      <c r="P650" s="869"/>
      <c r="Q650" s="869"/>
      <c r="R650" s="869"/>
      <c r="S650" s="869"/>
      <c r="T650" s="642"/>
      <c r="W650" s="627"/>
      <c r="X650" s="627"/>
      <c r="Y650" s="627"/>
      <c r="Z650" s="627"/>
      <c r="AG650" s="642"/>
    </row>
    <row r="651" spans="4:33">
      <c r="D651" s="869"/>
      <c r="E651" s="869"/>
      <c r="F651" s="869"/>
      <c r="G651" s="869"/>
      <c r="H651" s="869"/>
      <c r="I651" s="869"/>
      <c r="J651" s="869"/>
      <c r="K651" s="869"/>
      <c r="L651" s="869"/>
      <c r="M651" s="869"/>
      <c r="N651" s="869"/>
      <c r="O651" s="869"/>
      <c r="P651" s="869"/>
      <c r="Q651" s="869"/>
      <c r="R651" s="869"/>
      <c r="S651" s="869"/>
      <c r="T651" s="642"/>
      <c r="W651" s="627"/>
      <c r="X651" s="627"/>
      <c r="Y651" s="627"/>
      <c r="Z651" s="627"/>
      <c r="AG651" s="642"/>
    </row>
    <row r="652" spans="4:33">
      <c r="D652" s="869"/>
      <c r="E652" s="869"/>
      <c r="F652" s="869"/>
      <c r="G652" s="869"/>
      <c r="H652" s="869"/>
      <c r="I652" s="869"/>
      <c r="J652" s="869"/>
      <c r="K652" s="869"/>
      <c r="L652" s="869"/>
      <c r="M652" s="869"/>
      <c r="N652" s="869"/>
      <c r="O652" s="869"/>
      <c r="P652" s="869"/>
      <c r="Q652" s="869"/>
      <c r="R652" s="869"/>
      <c r="S652" s="869"/>
      <c r="T652" s="642"/>
      <c r="W652" s="627"/>
      <c r="X652" s="627"/>
      <c r="Y652" s="627"/>
      <c r="Z652" s="627"/>
      <c r="AG652" s="642"/>
    </row>
    <row r="653" spans="4:33">
      <c r="D653" s="869"/>
      <c r="E653" s="869"/>
      <c r="F653" s="869"/>
      <c r="G653" s="869"/>
      <c r="H653" s="869"/>
      <c r="I653" s="869"/>
      <c r="J653" s="869"/>
      <c r="K653" s="869"/>
      <c r="L653" s="869"/>
      <c r="M653" s="869"/>
      <c r="N653" s="869"/>
      <c r="O653" s="869"/>
      <c r="P653" s="869"/>
      <c r="Q653" s="869"/>
      <c r="R653" s="869"/>
      <c r="S653" s="869"/>
      <c r="T653" s="642"/>
      <c r="W653" s="627"/>
      <c r="X653" s="627"/>
      <c r="Y653" s="627"/>
      <c r="Z653" s="627"/>
      <c r="AG653" s="642"/>
    </row>
    <row r="654" spans="4:33">
      <c r="D654" s="869"/>
      <c r="E654" s="869"/>
      <c r="F654" s="869"/>
      <c r="G654" s="869"/>
      <c r="H654" s="869"/>
      <c r="I654" s="869"/>
      <c r="J654" s="869"/>
      <c r="K654" s="869"/>
      <c r="L654" s="869"/>
      <c r="M654" s="869"/>
      <c r="N654" s="869"/>
      <c r="O654" s="869"/>
      <c r="P654" s="869"/>
      <c r="Q654" s="869"/>
      <c r="R654" s="869"/>
      <c r="S654" s="869"/>
      <c r="T654" s="642"/>
      <c r="W654" s="627"/>
      <c r="X654" s="627"/>
      <c r="Y654" s="627"/>
      <c r="Z654" s="627"/>
      <c r="AG654" s="642"/>
    </row>
    <row r="655" spans="4:33">
      <c r="D655" s="869"/>
      <c r="E655" s="869"/>
      <c r="F655" s="869"/>
      <c r="G655" s="869"/>
      <c r="H655" s="869"/>
      <c r="I655" s="869"/>
      <c r="J655" s="869"/>
      <c r="K655" s="869"/>
      <c r="L655" s="869"/>
      <c r="M655" s="869"/>
      <c r="N655" s="869"/>
      <c r="O655" s="869"/>
      <c r="P655" s="869"/>
      <c r="Q655" s="869"/>
      <c r="R655" s="869"/>
      <c r="S655" s="869"/>
      <c r="T655" s="642"/>
      <c r="W655" s="627"/>
      <c r="X655" s="627"/>
      <c r="Y655" s="627"/>
      <c r="Z655" s="627"/>
      <c r="AG655" s="642"/>
    </row>
    <row r="656" spans="4:33">
      <c r="D656" s="869"/>
      <c r="E656" s="869"/>
      <c r="F656" s="869"/>
      <c r="G656" s="869"/>
      <c r="H656" s="869"/>
      <c r="I656" s="869"/>
      <c r="J656" s="869"/>
      <c r="K656" s="869"/>
      <c r="L656" s="869"/>
      <c r="M656" s="869"/>
      <c r="N656" s="869"/>
      <c r="O656" s="869"/>
      <c r="P656" s="869"/>
      <c r="Q656" s="869"/>
      <c r="R656" s="869"/>
      <c r="S656" s="869"/>
      <c r="T656" s="642"/>
      <c r="W656" s="627"/>
      <c r="X656" s="627"/>
      <c r="Y656" s="627"/>
      <c r="Z656" s="627"/>
      <c r="AG656" s="642"/>
    </row>
    <row r="657" spans="4:33">
      <c r="D657" s="869"/>
      <c r="E657" s="869"/>
      <c r="F657" s="869"/>
      <c r="G657" s="869"/>
      <c r="H657" s="869"/>
      <c r="I657" s="869"/>
      <c r="J657" s="869"/>
      <c r="K657" s="869"/>
      <c r="L657" s="869"/>
      <c r="M657" s="869"/>
      <c r="N657" s="869"/>
      <c r="O657" s="869"/>
      <c r="P657" s="869"/>
      <c r="Q657" s="869"/>
      <c r="R657" s="869"/>
      <c r="S657" s="869"/>
      <c r="T657" s="642"/>
      <c r="W657" s="627"/>
      <c r="X657" s="627"/>
      <c r="Y657" s="627"/>
      <c r="Z657" s="627"/>
      <c r="AG657" s="642"/>
    </row>
    <row r="658" spans="4:33">
      <c r="D658" s="869"/>
      <c r="E658" s="869"/>
      <c r="F658" s="869"/>
      <c r="G658" s="869"/>
      <c r="H658" s="869"/>
      <c r="I658" s="869"/>
      <c r="J658" s="869"/>
      <c r="K658" s="869"/>
      <c r="L658" s="869"/>
      <c r="M658" s="869"/>
      <c r="N658" s="869"/>
      <c r="O658" s="869"/>
      <c r="P658" s="869"/>
      <c r="Q658" s="869"/>
      <c r="R658" s="869"/>
      <c r="S658" s="869"/>
      <c r="T658" s="642"/>
      <c r="W658" s="627"/>
      <c r="X658" s="627"/>
      <c r="Y658" s="627"/>
      <c r="Z658" s="627"/>
      <c r="AG658" s="642"/>
    </row>
    <row r="659" spans="4:33">
      <c r="D659" s="869"/>
      <c r="E659" s="869"/>
      <c r="F659" s="869"/>
      <c r="G659" s="869"/>
      <c r="H659" s="869"/>
      <c r="I659" s="869"/>
      <c r="J659" s="869"/>
      <c r="K659" s="869"/>
      <c r="L659" s="869"/>
      <c r="M659" s="869"/>
      <c r="N659" s="869"/>
      <c r="O659" s="869"/>
      <c r="P659" s="869"/>
      <c r="Q659" s="869"/>
      <c r="R659" s="869"/>
      <c r="S659" s="869"/>
      <c r="T659" s="642"/>
      <c r="W659" s="627"/>
      <c r="X659" s="627"/>
      <c r="Y659" s="627"/>
      <c r="AG659" s="642"/>
    </row>
    <row r="660" spans="4:33">
      <c r="D660" s="869"/>
      <c r="E660" s="869"/>
      <c r="F660" s="869"/>
      <c r="G660" s="869"/>
      <c r="H660" s="869"/>
      <c r="I660" s="869"/>
      <c r="J660" s="869"/>
      <c r="K660" s="869"/>
      <c r="L660" s="869"/>
      <c r="M660" s="869"/>
      <c r="N660" s="869"/>
      <c r="O660" s="869"/>
      <c r="P660" s="869"/>
      <c r="Q660" s="869"/>
      <c r="R660" s="869"/>
      <c r="S660" s="869"/>
      <c r="T660" s="642"/>
      <c r="W660" s="627"/>
      <c r="X660" s="627"/>
      <c r="Y660" s="627"/>
      <c r="AG660" s="642"/>
    </row>
  </sheetData>
  <mergeCells count="29">
    <mergeCell ref="AB8:AB9"/>
    <mergeCell ref="T8:T9"/>
    <mergeCell ref="W8:W9"/>
    <mergeCell ref="X8:X9"/>
    <mergeCell ref="Y8:Y9"/>
    <mergeCell ref="Z8:Z9"/>
    <mergeCell ref="AA8:AA9"/>
    <mergeCell ref="K8:K9"/>
    <mergeCell ref="L8:M8"/>
    <mergeCell ref="O8:O9"/>
    <mergeCell ref="P8:Q8"/>
    <mergeCell ref="R8:R9"/>
    <mergeCell ref="S8:S9"/>
    <mergeCell ref="AF6:AF7"/>
    <mergeCell ref="AG6:AG7"/>
    <mergeCell ref="AH6:AH7"/>
    <mergeCell ref="D7:T7"/>
    <mergeCell ref="D8:D9"/>
    <mergeCell ref="E8:E9"/>
    <mergeCell ref="G8:G9"/>
    <mergeCell ref="H8:H9"/>
    <mergeCell ref="I8:I9"/>
    <mergeCell ref="J8:J9"/>
    <mergeCell ref="S2:T2"/>
    <mergeCell ref="D3:T3"/>
    <mergeCell ref="D4:T4"/>
    <mergeCell ref="D5:S5"/>
    <mergeCell ref="D6:T6"/>
    <mergeCell ref="AE6:AE7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  <colBreaks count="1" manualBreakCount="1">
    <brk id="19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FF0000"/>
  </sheetPr>
  <dimension ref="A1:W86"/>
  <sheetViews>
    <sheetView zoomScale="80" zoomScaleNormal="80" workbookViewId="0">
      <selection activeCell="O18" sqref="O18"/>
    </sheetView>
  </sheetViews>
  <sheetFormatPr defaultRowHeight="24"/>
  <cols>
    <col min="1" max="1" width="7.140625" style="762" customWidth="1"/>
    <col min="2" max="2" width="19.28515625" style="763" hidden="1" customWidth="1"/>
    <col min="3" max="3" width="19.28515625" style="764" customWidth="1"/>
    <col min="4" max="4" width="10.5703125" style="761" bestFit="1" customWidth="1"/>
    <col min="5" max="5" width="18" style="760" bestFit="1" customWidth="1"/>
    <col min="6" max="6" width="18" style="765" customWidth="1"/>
    <col min="7" max="7" width="18" style="760" customWidth="1"/>
    <col min="8" max="8" width="16.85546875" style="760" customWidth="1"/>
    <col min="9" max="9" width="14.140625" style="760" customWidth="1"/>
    <col min="10" max="10" width="18.5703125" style="760" customWidth="1"/>
    <col min="11" max="11" width="18.85546875" style="760" customWidth="1"/>
    <col min="12" max="12" width="13.140625" style="760" customWidth="1"/>
    <col min="13" max="13" width="17.7109375" style="761" customWidth="1"/>
    <col min="14" max="14" width="11.140625" style="761" hidden="1" customWidth="1"/>
    <col min="15" max="15" width="15.28515625" style="760" customWidth="1"/>
    <col min="16" max="18" width="9.140625" style="761"/>
    <col min="19" max="19" width="16.28515625" style="761" bestFit="1" customWidth="1"/>
    <col min="20" max="16384" width="9.140625" style="761"/>
  </cols>
  <sheetData>
    <row r="1" spans="1:23" s="738" customFormat="1" ht="33">
      <c r="A1" s="2244" t="s">
        <v>1147</v>
      </c>
      <c r="B1" s="2244"/>
      <c r="C1" s="2244"/>
      <c r="D1" s="2244"/>
      <c r="E1" s="2244"/>
      <c r="F1" s="2244"/>
      <c r="G1" s="2244"/>
      <c r="H1" s="2244"/>
      <c r="I1" s="2244"/>
      <c r="J1" s="2244"/>
      <c r="K1" s="2244"/>
      <c r="L1" s="2244"/>
      <c r="M1" s="2244"/>
      <c r="O1" s="739"/>
      <c r="T1" s="676"/>
      <c r="U1" s="676"/>
      <c r="V1" s="676"/>
      <c r="W1" s="740"/>
    </row>
    <row r="2" spans="1:23" s="738" customFormat="1" ht="33">
      <c r="A2" s="2244" t="s">
        <v>1242</v>
      </c>
      <c r="B2" s="2244"/>
      <c r="C2" s="2244"/>
      <c r="D2" s="2244"/>
      <c r="E2" s="2244"/>
      <c r="F2" s="2244"/>
      <c r="G2" s="2244"/>
      <c r="H2" s="2244"/>
      <c r="I2" s="2244"/>
      <c r="J2" s="2244"/>
      <c r="K2" s="2244"/>
      <c r="L2" s="2244"/>
      <c r="M2" s="2244"/>
      <c r="O2" s="741"/>
      <c r="T2" s="676"/>
      <c r="U2" s="676"/>
      <c r="V2" s="676"/>
      <c r="W2" s="740"/>
    </row>
    <row r="3" spans="1:23" s="738" customFormat="1" ht="33">
      <c r="A3" s="742"/>
      <c r="B3" s="742"/>
      <c r="C3" s="742"/>
      <c r="D3" s="742"/>
      <c r="E3" s="742"/>
      <c r="F3" s="743"/>
      <c r="G3" s="742"/>
      <c r="H3" s="742"/>
      <c r="I3" s="742"/>
      <c r="J3" s="742"/>
      <c r="K3" s="742"/>
      <c r="L3" s="742"/>
      <c r="M3" s="742"/>
      <c r="O3" s="741"/>
      <c r="T3" s="676"/>
      <c r="U3" s="676"/>
      <c r="V3" s="676"/>
      <c r="W3" s="740"/>
    </row>
    <row r="4" spans="1:23" s="745" customFormat="1" ht="21" customHeight="1">
      <c r="A4" s="2242" t="s">
        <v>376</v>
      </c>
      <c r="B4" s="2247" t="s">
        <v>1177</v>
      </c>
      <c r="C4" s="2250" t="s">
        <v>1226</v>
      </c>
      <c r="D4" s="2239" t="s">
        <v>3</v>
      </c>
      <c r="E4" s="2253" t="s">
        <v>837</v>
      </c>
      <c r="F4" s="2256" t="s">
        <v>1240</v>
      </c>
      <c r="G4" s="2259" t="s">
        <v>1241</v>
      </c>
      <c r="H4" s="2262" t="s">
        <v>22</v>
      </c>
      <c r="I4" s="2263"/>
      <c r="J4" s="2230" t="s">
        <v>851</v>
      </c>
      <c r="K4" s="2233" t="s">
        <v>1227</v>
      </c>
      <c r="L4" s="2234"/>
      <c r="M4" s="2239" t="s">
        <v>4</v>
      </c>
      <c r="N4" s="2242" t="s">
        <v>12</v>
      </c>
      <c r="O4" s="744"/>
    </row>
    <row r="5" spans="1:23" s="745" customFormat="1">
      <c r="A5" s="2243"/>
      <c r="B5" s="2248"/>
      <c r="C5" s="2251"/>
      <c r="D5" s="2240"/>
      <c r="E5" s="2254"/>
      <c r="F5" s="2257"/>
      <c r="G5" s="2260"/>
      <c r="H5" s="2264"/>
      <c r="I5" s="2265"/>
      <c r="J5" s="2231"/>
      <c r="K5" s="2235"/>
      <c r="L5" s="2236"/>
      <c r="M5" s="2240"/>
      <c r="N5" s="2243"/>
      <c r="O5" s="744"/>
    </row>
    <row r="6" spans="1:23" s="745" customFormat="1">
      <c r="A6" s="2243"/>
      <c r="B6" s="2249"/>
      <c r="C6" s="2251"/>
      <c r="D6" s="2240"/>
      <c r="E6" s="2254"/>
      <c r="F6" s="2257"/>
      <c r="G6" s="2260"/>
      <c r="H6" s="2266"/>
      <c r="I6" s="2267"/>
      <c r="J6" s="2232"/>
      <c r="K6" s="2237"/>
      <c r="L6" s="2238"/>
      <c r="M6" s="2240"/>
      <c r="N6" s="2243"/>
      <c r="O6" s="744"/>
    </row>
    <row r="7" spans="1:23" s="745" customFormat="1">
      <c r="A7" s="2245"/>
      <c r="B7" s="746"/>
      <c r="C7" s="2252"/>
      <c r="D7" s="2241"/>
      <c r="E7" s="2255"/>
      <c r="F7" s="2258"/>
      <c r="G7" s="2261"/>
      <c r="H7" s="747" t="s">
        <v>803</v>
      </c>
      <c r="I7" s="747" t="s">
        <v>12</v>
      </c>
      <c r="J7" s="748" t="s">
        <v>803</v>
      </c>
      <c r="K7" s="749" t="s">
        <v>803</v>
      </c>
      <c r="L7" s="749" t="s">
        <v>12</v>
      </c>
      <c r="M7" s="2241"/>
      <c r="N7" s="750"/>
      <c r="O7" s="744"/>
    </row>
    <row r="8" spans="1:23" s="758" customFormat="1" ht="24.75" thickBot="1">
      <c r="A8" s="2246"/>
      <c r="B8" s="751"/>
      <c r="C8" s="752"/>
      <c r="D8" s="753">
        <f>SUM(D9:D84)</f>
        <v>1472</v>
      </c>
      <c r="E8" s="754">
        <f>SUM(E9:E84)</f>
        <v>712364232.35000002</v>
      </c>
      <c r="F8" s="755"/>
      <c r="G8" s="754"/>
      <c r="H8" s="754">
        <f>SUM(H9:H85)</f>
        <v>394467875.11000007</v>
      </c>
      <c r="I8" s="754">
        <f t="shared" ref="I8:I39" si="0">H8/E8*100</f>
        <v>55.3744639604799</v>
      </c>
      <c r="J8" s="754">
        <f>SUM(J9:J85)</f>
        <v>136851233.79999998</v>
      </c>
      <c r="K8" s="754">
        <f t="shared" ref="K8:K39" si="1">H8+J8</f>
        <v>531319108.91000009</v>
      </c>
      <c r="L8" s="754">
        <f t="shared" ref="L8:L39" si="2">K8/E8*100</f>
        <v>74.585315317874006</v>
      </c>
      <c r="M8" s="754">
        <f>SUM(M9:M84)</f>
        <v>164872623.96999997</v>
      </c>
      <c r="N8" s="756">
        <f>+K8*100/E8</f>
        <v>74.585315317873992</v>
      </c>
      <c r="O8" s="757"/>
      <c r="S8" s="759"/>
    </row>
    <row r="9" spans="1:23" s="772" customFormat="1" ht="24.75" thickTop="1">
      <c r="A9" s="766">
        <v>1</v>
      </c>
      <c r="B9" s="794">
        <v>1100</v>
      </c>
      <c r="C9" s="795" t="s">
        <v>968</v>
      </c>
      <c r="D9" s="767">
        <v>37</v>
      </c>
      <c r="E9" s="768">
        <f>[4]เรียงจังหวัด!Z299+700</f>
        <v>38699540</v>
      </c>
      <c r="F9" s="768">
        <f>700</f>
        <v>700</v>
      </c>
      <c r="G9" s="768">
        <f t="shared" ref="G9:G40" si="3">E9-F9</f>
        <v>38698840</v>
      </c>
      <c r="H9" s="768">
        <f>+[4]เรียงจังหวัด!AA299</f>
        <v>33809226.099999994</v>
      </c>
      <c r="I9" s="768">
        <f t="shared" si="0"/>
        <v>87.363379771439128</v>
      </c>
      <c r="J9" s="768">
        <f>+[4]เรียงจังหวัด!AB299</f>
        <v>4102397.4</v>
      </c>
      <c r="K9" s="768">
        <f t="shared" si="1"/>
        <v>37911623.499999993</v>
      </c>
      <c r="L9" s="768">
        <f t="shared" si="2"/>
        <v>97.964015851351178</v>
      </c>
      <c r="M9" s="769">
        <f t="shared" ref="M9:M40" si="4">+G9-K9</f>
        <v>787216.50000000745</v>
      </c>
      <c r="N9" s="770">
        <f>+K9*100/E9</f>
        <v>97.964015851351178</v>
      </c>
      <c r="O9" s="771"/>
      <c r="S9" s="773"/>
    </row>
    <row r="10" spans="1:23" s="772" customFormat="1">
      <c r="A10" s="774">
        <v>2</v>
      </c>
      <c r="B10" s="796">
        <v>1200</v>
      </c>
      <c r="C10" s="797" t="s">
        <v>1134</v>
      </c>
      <c r="D10" s="775">
        <v>2</v>
      </c>
      <c r="E10" s="776">
        <f>[4]เรียงจังหวัด!Z244</f>
        <v>1230600</v>
      </c>
      <c r="F10" s="776"/>
      <c r="G10" s="768">
        <f t="shared" si="3"/>
        <v>1230600</v>
      </c>
      <c r="H10" s="776">
        <f>+[4]เรียงจังหวัด!AA244</f>
        <v>1204958.3900000001</v>
      </c>
      <c r="I10" s="776">
        <f t="shared" si="0"/>
        <v>97.916332683243951</v>
      </c>
      <c r="J10" s="776">
        <f>+[4]เรียงจังหวัด!AB244</f>
        <v>0</v>
      </c>
      <c r="K10" s="768">
        <f t="shared" si="1"/>
        <v>1204958.3900000001</v>
      </c>
      <c r="L10" s="768">
        <f t="shared" si="2"/>
        <v>97.916332683243951</v>
      </c>
      <c r="M10" s="769">
        <f t="shared" si="4"/>
        <v>25641.60999999987</v>
      </c>
      <c r="N10" s="770">
        <f t="shared" ref="N10:N73" si="5">+K10*100/E10</f>
        <v>97.916332683243965</v>
      </c>
      <c r="O10" s="771"/>
    </row>
    <row r="11" spans="1:23" s="772" customFormat="1">
      <c r="A11" s="774">
        <v>3</v>
      </c>
      <c r="B11" s="796">
        <v>1300</v>
      </c>
      <c r="C11" s="797" t="s">
        <v>1155</v>
      </c>
      <c r="D11" s="775">
        <v>14</v>
      </c>
      <c r="E11" s="776">
        <f>[4]เรียงจังหวัด!Z683</f>
        <v>6297600</v>
      </c>
      <c r="F11" s="776"/>
      <c r="G11" s="768">
        <f t="shared" si="3"/>
        <v>6297600</v>
      </c>
      <c r="H11" s="776">
        <f>+[4]เรียงจังหวัด!AA683</f>
        <v>5852352.4000000004</v>
      </c>
      <c r="I11" s="776">
        <f t="shared" si="0"/>
        <v>92.929884400406522</v>
      </c>
      <c r="J11" s="776">
        <f>+[4]เรียงจังหวัด!AB683</f>
        <v>0</v>
      </c>
      <c r="K11" s="768">
        <f t="shared" si="1"/>
        <v>5852352.4000000004</v>
      </c>
      <c r="L11" s="768">
        <f t="shared" si="2"/>
        <v>92.929884400406522</v>
      </c>
      <c r="M11" s="769">
        <f t="shared" si="4"/>
        <v>445247.59999999963</v>
      </c>
      <c r="N11" s="770">
        <f t="shared" si="5"/>
        <v>92.929884400406507</v>
      </c>
      <c r="O11" s="771"/>
    </row>
    <row r="12" spans="1:23" s="772" customFormat="1">
      <c r="A12" s="774">
        <v>4</v>
      </c>
      <c r="B12" s="796">
        <v>1400</v>
      </c>
      <c r="C12" s="797" t="s">
        <v>945</v>
      </c>
      <c r="D12" s="775">
        <v>19</v>
      </c>
      <c r="E12" s="776">
        <f>[4]เรียงจังหวัด!Z1409</f>
        <v>7121388</v>
      </c>
      <c r="F12" s="776"/>
      <c r="G12" s="768">
        <f t="shared" si="3"/>
        <v>7121388</v>
      </c>
      <c r="H12" s="776">
        <f>+[4]เรียงจังหวัด!AA1409</f>
        <v>6598487.4699999997</v>
      </c>
      <c r="I12" s="776">
        <f t="shared" si="0"/>
        <v>92.657322842120109</v>
      </c>
      <c r="J12" s="776">
        <f>+[4]เรียงจังหวัด!AB1409</f>
        <v>0</v>
      </c>
      <c r="K12" s="768">
        <f t="shared" si="1"/>
        <v>6598487.4699999997</v>
      </c>
      <c r="L12" s="768">
        <f t="shared" si="2"/>
        <v>92.657322842120109</v>
      </c>
      <c r="M12" s="769">
        <f t="shared" si="4"/>
        <v>522900.53000000026</v>
      </c>
      <c r="N12" s="770">
        <f t="shared" si="5"/>
        <v>92.657322842120109</v>
      </c>
      <c r="O12" s="771"/>
    </row>
    <row r="13" spans="1:23" s="772" customFormat="1">
      <c r="A13" s="774">
        <v>5</v>
      </c>
      <c r="B13" s="796">
        <v>1500</v>
      </c>
      <c r="C13" s="797" t="s">
        <v>1176</v>
      </c>
      <c r="D13" s="775">
        <v>24</v>
      </c>
      <c r="E13" s="776">
        <f>[4]เรียงจังหวัด!Z971</f>
        <v>17368000</v>
      </c>
      <c r="F13" s="776">
        <f>622040</f>
        <v>622040</v>
      </c>
      <c r="G13" s="768">
        <f t="shared" si="3"/>
        <v>16745960</v>
      </c>
      <c r="H13" s="776">
        <f>+[4]เรียงจังหวัด!AA971</f>
        <v>13198003.73</v>
      </c>
      <c r="I13" s="776">
        <f t="shared" si="0"/>
        <v>75.990348514509449</v>
      </c>
      <c r="J13" s="776">
        <f>+[4]เรียงจังหวัด!AB971</f>
        <v>2875352</v>
      </c>
      <c r="K13" s="768">
        <f t="shared" si="1"/>
        <v>16073355.73</v>
      </c>
      <c r="L13" s="768">
        <f t="shared" si="2"/>
        <v>92.545806828650385</v>
      </c>
      <c r="M13" s="769">
        <f t="shared" si="4"/>
        <v>672604.26999999955</v>
      </c>
      <c r="N13" s="770">
        <f t="shared" si="5"/>
        <v>92.545806828650385</v>
      </c>
      <c r="O13" s="771"/>
    </row>
    <row r="14" spans="1:23" s="772" customFormat="1">
      <c r="A14" s="774">
        <v>6</v>
      </c>
      <c r="B14" s="796">
        <v>1600</v>
      </c>
      <c r="C14" s="797" t="s">
        <v>954</v>
      </c>
      <c r="D14" s="775">
        <v>18</v>
      </c>
      <c r="E14" s="776">
        <f>[4]เรียงจังหวัด!Z738</f>
        <v>6698900</v>
      </c>
      <c r="F14" s="776">
        <f>229290+12665</f>
        <v>241955</v>
      </c>
      <c r="G14" s="768">
        <f t="shared" si="3"/>
        <v>6456945</v>
      </c>
      <c r="H14" s="776">
        <f>+[4]เรียงจังหวัด!AA738</f>
        <v>6147454.5500000007</v>
      </c>
      <c r="I14" s="776">
        <f t="shared" si="0"/>
        <v>91.768119392736139</v>
      </c>
      <c r="J14" s="776">
        <f>+[4]เรียงจังหวัด!AB738</f>
        <v>0</v>
      </c>
      <c r="K14" s="768">
        <f t="shared" si="1"/>
        <v>6147454.5500000007</v>
      </c>
      <c r="L14" s="768">
        <f t="shared" si="2"/>
        <v>91.768119392736139</v>
      </c>
      <c r="M14" s="769">
        <f t="shared" si="4"/>
        <v>309490.44999999925</v>
      </c>
      <c r="N14" s="770">
        <f t="shared" si="5"/>
        <v>91.768119392736139</v>
      </c>
      <c r="O14" s="771"/>
    </row>
    <row r="15" spans="1:23" s="772" customFormat="1">
      <c r="A15" s="774">
        <v>7</v>
      </c>
      <c r="B15" s="796">
        <v>1700</v>
      </c>
      <c r="C15" s="797" t="s">
        <v>916</v>
      </c>
      <c r="D15" s="775">
        <v>15</v>
      </c>
      <c r="E15" s="776">
        <f>[4]เรียงจังหวัด!Z697</f>
        <v>9914932</v>
      </c>
      <c r="F15" s="776">
        <f>437000</f>
        <v>437000</v>
      </c>
      <c r="G15" s="768">
        <f t="shared" si="3"/>
        <v>9477932</v>
      </c>
      <c r="H15" s="776">
        <f>+[4]เรียงจังหวัด!AA697</f>
        <v>9096690.7599999998</v>
      </c>
      <c r="I15" s="776">
        <f t="shared" si="0"/>
        <v>91.747384248323641</v>
      </c>
      <c r="J15" s="776">
        <f>+[4]เรียงจังหวัด!AB697</f>
        <v>0</v>
      </c>
      <c r="K15" s="768">
        <f t="shared" si="1"/>
        <v>9096690.7599999998</v>
      </c>
      <c r="L15" s="768">
        <f t="shared" si="2"/>
        <v>91.747384248323641</v>
      </c>
      <c r="M15" s="769">
        <f t="shared" si="4"/>
        <v>381241.24000000022</v>
      </c>
      <c r="N15" s="770">
        <f t="shared" si="5"/>
        <v>91.747384248323641</v>
      </c>
      <c r="O15" s="771"/>
    </row>
    <row r="16" spans="1:23" s="772" customFormat="1">
      <c r="A16" s="774">
        <v>8</v>
      </c>
      <c r="B16" s="796">
        <v>1800</v>
      </c>
      <c r="C16" s="797" t="s">
        <v>913</v>
      </c>
      <c r="D16" s="775">
        <v>12</v>
      </c>
      <c r="E16" s="776">
        <f>[4]เรียงจังหวัด!Z502</f>
        <v>3330800</v>
      </c>
      <c r="F16" s="776">
        <f>16603</f>
        <v>16603</v>
      </c>
      <c r="G16" s="768">
        <f t="shared" si="3"/>
        <v>3314197</v>
      </c>
      <c r="H16" s="776">
        <f>+[4]เรียงจังหวัด!AA502</f>
        <v>2333099.2599999998</v>
      </c>
      <c r="I16" s="776">
        <f t="shared" si="0"/>
        <v>70.046212921820569</v>
      </c>
      <c r="J16" s="776">
        <f>+[4]เรียงจังหวัด!AB502</f>
        <v>625390</v>
      </c>
      <c r="K16" s="768">
        <f t="shared" si="1"/>
        <v>2958489.26</v>
      </c>
      <c r="L16" s="768">
        <f t="shared" si="2"/>
        <v>88.822182658820694</v>
      </c>
      <c r="M16" s="769">
        <f t="shared" si="4"/>
        <v>355707.74000000022</v>
      </c>
      <c r="N16" s="770">
        <f t="shared" si="5"/>
        <v>88.822182658820708</v>
      </c>
      <c r="O16" s="771"/>
    </row>
    <row r="17" spans="1:15" s="772" customFormat="1">
      <c r="A17" s="774">
        <v>9</v>
      </c>
      <c r="B17" s="796">
        <v>1900</v>
      </c>
      <c r="C17" s="797" t="s">
        <v>1162</v>
      </c>
      <c r="D17" s="775">
        <v>43</v>
      </c>
      <c r="E17" s="776">
        <f>[4]เรียงจังหวัด!Z256</f>
        <v>36007200</v>
      </c>
      <c r="F17" s="776"/>
      <c r="G17" s="768">
        <f t="shared" si="3"/>
        <v>36007200</v>
      </c>
      <c r="H17" s="776">
        <f>+[4]เรียงจังหวัด!AA256</f>
        <v>19243015.079999998</v>
      </c>
      <c r="I17" s="776">
        <f t="shared" si="0"/>
        <v>53.442131240418576</v>
      </c>
      <c r="J17" s="776">
        <f>+[4]เรียงจังหวัด!AB256</f>
        <v>12716509.42</v>
      </c>
      <c r="K17" s="768">
        <f t="shared" si="1"/>
        <v>31959524.5</v>
      </c>
      <c r="L17" s="768">
        <f t="shared" si="2"/>
        <v>88.758705203403764</v>
      </c>
      <c r="M17" s="769">
        <f t="shared" si="4"/>
        <v>4047675.5</v>
      </c>
      <c r="N17" s="770">
        <f t="shared" si="5"/>
        <v>88.758705203403764</v>
      </c>
      <c r="O17" s="771"/>
    </row>
    <row r="18" spans="1:15" s="772" customFormat="1">
      <c r="A18" s="774">
        <v>10</v>
      </c>
      <c r="B18" s="796">
        <v>2000</v>
      </c>
      <c r="C18" s="797" t="s">
        <v>967</v>
      </c>
      <c r="D18" s="775">
        <v>10</v>
      </c>
      <c r="E18" s="776">
        <f>[4]เรียงจังหวัด!Z246</f>
        <v>8098000</v>
      </c>
      <c r="F18" s="776"/>
      <c r="G18" s="768">
        <f t="shared" si="3"/>
        <v>8098000</v>
      </c>
      <c r="H18" s="776">
        <f>+[4]เรียงจังหวัด!AA246</f>
        <v>4432028.99</v>
      </c>
      <c r="I18" s="776">
        <f t="shared" si="0"/>
        <v>54.729920844653002</v>
      </c>
      <c r="J18" s="776">
        <f>+[4]เรียงจังหวัด!AB246</f>
        <v>2753600</v>
      </c>
      <c r="K18" s="768">
        <f t="shared" si="1"/>
        <v>7185628.9900000002</v>
      </c>
      <c r="L18" s="768">
        <f t="shared" si="2"/>
        <v>88.733378488515697</v>
      </c>
      <c r="M18" s="769">
        <f t="shared" si="4"/>
        <v>912371.00999999978</v>
      </c>
      <c r="N18" s="770">
        <f t="shared" si="5"/>
        <v>88.733378488515683</v>
      </c>
      <c r="O18" s="771"/>
    </row>
    <row r="19" spans="1:15" s="772" customFormat="1">
      <c r="A19" s="774">
        <v>11</v>
      </c>
      <c r="B19" s="796">
        <v>2100</v>
      </c>
      <c r="C19" s="797" t="s">
        <v>908</v>
      </c>
      <c r="D19" s="775">
        <v>16</v>
      </c>
      <c r="E19" s="776">
        <v>7852400</v>
      </c>
      <c r="F19" s="776">
        <v>149200</v>
      </c>
      <c r="G19" s="768">
        <f t="shared" si="3"/>
        <v>7703200</v>
      </c>
      <c r="H19" s="776">
        <f>+[4]เรียงจังหวัด!AA104</f>
        <v>5808646.7299999995</v>
      </c>
      <c r="I19" s="776">
        <f t="shared" si="0"/>
        <v>73.972883831694759</v>
      </c>
      <c r="J19" s="776">
        <f>+[4]เรียงจังหวัด!AB104</f>
        <v>1116570</v>
      </c>
      <c r="K19" s="768">
        <f t="shared" si="1"/>
        <v>6925216.7299999995</v>
      </c>
      <c r="L19" s="768">
        <f t="shared" si="2"/>
        <v>88.192358132545451</v>
      </c>
      <c r="M19" s="769">
        <f t="shared" si="4"/>
        <v>777983.27000000048</v>
      </c>
      <c r="N19" s="770">
        <f t="shared" si="5"/>
        <v>88.192358132545465</v>
      </c>
      <c r="O19" s="771"/>
    </row>
    <row r="20" spans="1:15" s="772" customFormat="1">
      <c r="A20" s="774">
        <v>12</v>
      </c>
      <c r="B20" s="796">
        <v>2200</v>
      </c>
      <c r="C20" s="797" t="s">
        <v>920</v>
      </c>
      <c r="D20" s="775">
        <v>3</v>
      </c>
      <c r="E20" s="776">
        <f>[4]เรียงจังหวัด!Z514</f>
        <v>1277200</v>
      </c>
      <c r="F20" s="776">
        <f>70500</f>
        <v>70500</v>
      </c>
      <c r="G20" s="768">
        <f t="shared" si="3"/>
        <v>1206700</v>
      </c>
      <c r="H20" s="776">
        <f>+[4]เรียงจังหวัด!AA514</f>
        <v>1018114.3099999999</v>
      </c>
      <c r="I20" s="776">
        <f t="shared" si="0"/>
        <v>79.714556060131542</v>
      </c>
      <c r="J20" s="776">
        <f>+[4]เรียงจังหวัด!AB514</f>
        <v>104000</v>
      </c>
      <c r="K20" s="768">
        <f t="shared" si="1"/>
        <v>1122114.31</v>
      </c>
      <c r="L20" s="768">
        <f t="shared" si="2"/>
        <v>87.857368462261192</v>
      </c>
      <c r="M20" s="769">
        <f t="shared" si="4"/>
        <v>84585.689999999944</v>
      </c>
      <c r="N20" s="770">
        <f t="shared" si="5"/>
        <v>87.857368462261192</v>
      </c>
      <c r="O20" s="771"/>
    </row>
    <row r="21" spans="1:15" s="772" customFormat="1">
      <c r="A21" s="774">
        <v>13</v>
      </c>
      <c r="B21" s="796">
        <v>2300</v>
      </c>
      <c r="C21" s="797" t="s">
        <v>911</v>
      </c>
      <c r="D21" s="775">
        <v>25</v>
      </c>
      <c r="E21" s="776">
        <f>[4]เรียงจังหวัด!Z713</f>
        <v>7571733</v>
      </c>
      <c r="F21" s="776">
        <f>178000</f>
        <v>178000</v>
      </c>
      <c r="G21" s="768">
        <f t="shared" si="3"/>
        <v>7393733</v>
      </c>
      <c r="H21" s="776">
        <f>+[4]เรียงจังหวัด!AA713</f>
        <v>5711955.0899999999</v>
      </c>
      <c r="I21" s="776">
        <f t="shared" si="0"/>
        <v>75.437883110775289</v>
      </c>
      <c r="J21" s="776">
        <f>+[4]เรียงจังหวัด!AB713</f>
        <v>832410</v>
      </c>
      <c r="K21" s="768">
        <f t="shared" si="1"/>
        <v>6544365.0899999999</v>
      </c>
      <c r="L21" s="768">
        <f t="shared" si="2"/>
        <v>86.431535422604043</v>
      </c>
      <c r="M21" s="769">
        <f t="shared" si="4"/>
        <v>849367.91000000015</v>
      </c>
      <c r="N21" s="770">
        <f t="shared" si="5"/>
        <v>86.431535422604043</v>
      </c>
      <c r="O21" s="771"/>
    </row>
    <row r="22" spans="1:15" s="772" customFormat="1">
      <c r="A22" s="774">
        <v>14</v>
      </c>
      <c r="B22" s="796">
        <v>2400</v>
      </c>
      <c r="C22" s="797" t="s">
        <v>1141</v>
      </c>
      <c r="D22" s="775">
        <v>48</v>
      </c>
      <c r="E22" s="776">
        <f>[4]เรียงจังหวัด!Z1428</f>
        <v>8876900</v>
      </c>
      <c r="F22" s="776"/>
      <c r="G22" s="768">
        <f t="shared" si="3"/>
        <v>8876900</v>
      </c>
      <c r="H22" s="776">
        <f>+[4]เรียงจังหวัด!AA1428</f>
        <v>6370211.5</v>
      </c>
      <c r="I22" s="776">
        <f t="shared" si="0"/>
        <v>71.76166792461332</v>
      </c>
      <c r="J22" s="776">
        <f>+[4]เรียงจังหวัด!AB1428</f>
        <v>1226045.5</v>
      </c>
      <c r="K22" s="768">
        <f t="shared" si="1"/>
        <v>7596257</v>
      </c>
      <c r="L22" s="768">
        <f t="shared" si="2"/>
        <v>85.573308249501508</v>
      </c>
      <c r="M22" s="769">
        <f t="shared" si="4"/>
        <v>1280643</v>
      </c>
      <c r="N22" s="770">
        <f t="shared" si="5"/>
        <v>85.573308249501508</v>
      </c>
      <c r="O22" s="771"/>
    </row>
    <row r="23" spans="1:15" s="772" customFormat="1">
      <c r="A23" s="774">
        <v>15</v>
      </c>
      <c r="B23" s="796">
        <v>2500</v>
      </c>
      <c r="C23" s="797" t="s">
        <v>970</v>
      </c>
      <c r="D23" s="775">
        <v>53</v>
      </c>
      <c r="E23" s="776">
        <f>[4]เรียงจังหวัด!Z392</f>
        <v>48825420</v>
      </c>
      <c r="F23" s="776">
        <f>418640</f>
        <v>418640</v>
      </c>
      <c r="G23" s="768">
        <f t="shared" si="3"/>
        <v>48406780</v>
      </c>
      <c r="H23" s="776">
        <f>+[4]เรียงจังหวัด!AA392</f>
        <v>23770653.419999998</v>
      </c>
      <c r="I23" s="776">
        <f t="shared" si="0"/>
        <v>48.684995275002244</v>
      </c>
      <c r="J23" s="776">
        <f>+[4]เรียงจังหวัด!AB392</f>
        <v>18002345.460000001</v>
      </c>
      <c r="K23" s="768">
        <f t="shared" si="1"/>
        <v>41772998.879999995</v>
      </c>
      <c r="L23" s="768">
        <f t="shared" si="2"/>
        <v>85.555841362962155</v>
      </c>
      <c r="M23" s="769">
        <f t="shared" si="4"/>
        <v>6633781.1200000048</v>
      </c>
      <c r="N23" s="770">
        <f t="shared" si="5"/>
        <v>85.555841362962155</v>
      </c>
      <c r="O23" s="771"/>
    </row>
    <row r="24" spans="1:15" s="772" customFormat="1">
      <c r="A24" s="774">
        <v>16</v>
      </c>
      <c r="B24" s="796">
        <v>2600</v>
      </c>
      <c r="C24" s="797" t="s">
        <v>942</v>
      </c>
      <c r="D24" s="775">
        <v>38</v>
      </c>
      <c r="E24" s="776">
        <f>[4]เรียงจังหวัด!Z1344+3000+71000</f>
        <v>11838400</v>
      </c>
      <c r="F24" s="776">
        <f>32483+71000+3000</f>
        <v>106483</v>
      </c>
      <c r="G24" s="768">
        <f t="shared" si="3"/>
        <v>11731917</v>
      </c>
      <c r="H24" s="776">
        <f>+[4]เรียงจังหวัด!AA1344</f>
        <v>9204845.8399999999</v>
      </c>
      <c r="I24" s="776">
        <f t="shared" si="0"/>
        <v>77.754137721313683</v>
      </c>
      <c r="J24" s="776">
        <f>+[4]เรียงจังหวัด!AB1344</f>
        <v>786853</v>
      </c>
      <c r="K24" s="768">
        <f t="shared" si="1"/>
        <v>9991698.8399999999</v>
      </c>
      <c r="L24" s="768">
        <f t="shared" si="2"/>
        <v>84.400753818083516</v>
      </c>
      <c r="M24" s="769">
        <f t="shared" si="4"/>
        <v>1740218.1600000001</v>
      </c>
      <c r="N24" s="770">
        <f t="shared" si="5"/>
        <v>84.40075381808353</v>
      </c>
      <c r="O24" s="771"/>
    </row>
    <row r="25" spans="1:15" s="772" customFormat="1">
      <c r="A25" s="774">
        <v>17</v>
      </c>
      <c r="B25" s="796">
        <v>2700</v>
      </c>
      <c r="C25" s="797" t="s">
        <v>915</v>
      </c>
      <c r="D25" s="775">
        <v>22</v>
      </c>
      <c r="E25" s="776">
        <f>[4]เรียงจังหวัด!Z445</f>
        <v>12283900</v>
      </c>
      <c r="F25" s="776">
        <f>5250</f>
        <v>5250</v>
      </c>
      <c r="G25" s="768">
        <f t="shared" si="3"/>
        <v>12278650</v>
      </c>
      <c r="H25" s="776">
        <f>+[4]เรียงจังหวัด!AA445</f>
        <v>7026228.2599999998</v>
      </c>
      <c r="I25" s="776">
        <f t="shared" si="0"/>
        <v>57.198676804597881</v>
      </c>
      <c r="J25" s="776">
        <f>+[4]เรียงจังหวัด!AB445</f>
        <v>3306592</v>
      </c>
      <c r="K25" s="768">
        <f t="shared" si="1"/>
        <v>10332820.26</v>
      </c>
      <c r="L25" s="768">
        <f t="shared" si="2"/>
        <v>84.116772849013742</v>
      </c>
      <c r="M25" s="769">
        <f t="shared" si="4"/>
        <v>1945829.7400000002</v>
      </c>
      <c r="N25" s="770">
        <f t="shared" si="5"/>
        <v>84.116772849013756</v>
      </c>
      <c r="O25" s="771"/>
    </row>
    <row r="26" spans="1:15" s="772" customFormat="1">
      <c r="A26" s="774">
        <v>18</v>
      </c>
      <c r="B26" s="796">
        <v>3000</v>
      </c>
      <c r="C26" s="797" t="s">
        <v>1139</v>
      </c>
      <c r="D26" s="775">
        <v>22</v>
      </c>
      <c r="E26" s="776">
        <f>[4]เรียงจังหวัด!Z1039</f>
        <v>26333200</v>
      </c>
      <c r="F26" s="776"/>
      <c r="G26" s="768">
        <f t="shared" si="3"/>
        <v>26333200</v>
      </c>
      <c r="H26" s="776">
        <f>+[4]เรียงจังหวัด!AA1039</f>
        <v>17774492.400000002</v>
      </c>
      <c r="I26" s="776">
        <f t="shared" si="0"/>
        <v>67.498414169185679</v>
      </c>
      <c r="J26" s="776">
        <f>+[4]เรียงจังหวัด!AB1039</f>
        <v>4344220.95</v>
      </c>
      <c r="K26" s="768">
        <f t="shared" si="1"/>
        <v>22118713.350000001</v>
      </c>
      <c r="L26" s="768">
        <f t="shared" si="2"/>
        <v>83.995539281211549</v>
      </c>
      <c r="M26" s="769">
        <f t="shared" si="4"/>
        <v>4214486.6499999985</v>
      </c>
      <c r="N26" s="770">
        <f t="shared" si="5"/>
        <v>83.995539281211549</v>
      </c>
      <c r="O26" s="771"/>
    </row>
    <row r="27" spans="1:15" s="772" customFormat="1">
      <c r="A27" s="774">
        <v>19</v>
      </c>
      <c r="B27" s="796">
        <v>3100</v>
      </c>
      <c r="C27" s="797" t="s">
        <v>935</v>
      </c>
      <c r="D27" s="775">
        <v>56</v>
      </c>
      <c r="E27" s="776">
        <f>[4]เรียงจังหวัด!Z336</f>
        <v>38121736</v>
      </c>
      <c r="F27" s="776">
        <f>2847005</f>
        <v>2847005</v>
      </c>
      <c r="G27" s="768">
        <f t="shared" si="3"/>
        <v>35274731</v>
      </c>
      <c r="H27" s="776">
        <f>+[4]เรียงจังหวัด!AA336</f>
        <v>15732839.049999999</v>
      </c>
      <c r="I27" s="776">
        <f t="shared" si="0"/>
        <v>41.269996334899332</v>
      </c>
      <c r="J27" s="776">
        <f>+[4]เรียงจังหวัด!AB336</f>
        <v>15852081.539999999</v>
      </c>
      <c r="K27" s="768">
        <f t="shared" si="1"/>
        <v>31584920.589999996</v>
      </c>
      <c r="L27" s="768">
        <f t="shared" si="2"/>
        <v>82.852786635949627</v>
      </c>
      <c r="M27" s="769">
        <f t="shared" si="4"/>
        <v>3689810.4100000039</v>
      </c>
      <c r="N27" s="770">
        <f t="shared" si="5"/>
        <v>82.852786635949613</v>
      </c>
      <c r="O27" s="771"/>
    </row>
    <row r="28" spans="1:15" s="772" customFormat="1">
      <c r="A28" s="777">
        <v>20</v>
      </c>
      <c r="B28" s="799">
        <v>3200</v>
      </c>
      <c r="C28" s="800" t="s">
        <v>919</v>
      </c>
      <c r="D28" s="778">
        <v>16</v>
      </c>
      <c r="E28" s="779">
        <f>[4]เรียงจังหวัด!Z486</f>
        <v>6384650</v>
      </c>
      <c r="F28" s="779"/>
      <c r="G28" s="768">
        <f t="shared" si="3"/>
        <v>6384650</v>
      </c>
      <c r="H28" s="779">
        <f>+[4]เรียงจังหวัด!AA486</f>
        <v>3334155.89</v>
      </c>
      <c r="I28" s="779">
        <f t="shared" si="0"/>
        <v>52.221435630770671</v>
      </c>
      <c r="J28" s="779">
        <f>+[4]เรียงจังหวัด!AB486</f>
        <v>1901414.25</v>
      </c>
      <c r="K28" s="780">
        <f t="shared" si="1"/>
        <v>5235570.1400000006</v>
      </c>
      <c r="L28" s="779">
        <f t="shared" si="2"/>
        <v>82.002461215571728</v>
      </c>
      <c r="M28" s="769">
        <f t="shared" si="4"/>
        <v>1149079.8599999994</v>
      </c>
      <c r="N28" s="770">
        <f t="shared" si="5"/>
        <v>82.002461215571728</v>
      </c>
      <c r="O28" s="771"/>
    </row>
    <row r="29" spans="1:15" s="772" customFormat="1">
      <c r="A29" s="774">
        <v>21</v>
      </c>
      <c r="B29" s="796">
        <v>3300</v>
      </c>
      <c r="C29" s="797" t="s">
        <v>1174</v>
      </c>
      <c r="D29" s="775">
        <v>19</v>
      </c>
      <c r="E29" s="776">
        <f>[4]เรียงจังหวัด!Z601</f>
        <v>2905540</v>
      </c>
      <c r="F29" s="776">
        <f>340000</f>
        <v>340000</v>
      </c>
      <c r="G29" s="768">
        <f t="shared" si="3"/>
        <v>2565540</v>
      </c>
      <c r="H29" s="776">
        <f>+[4]เรียงจังหวัด!AA601</f>
        <v>2105413.2400000002</v>
      </c>
      <c r="I29" s="776">
        <f t="shared" si="0"/>
        <v>72.462029089257086</v>
      </c>
      <c r="J29" s="776">
        <f>+[4]เรียงจังหวัด!AB601</f>
        <v>232180.57</v>
      </c>
      <c r="K29" s="776">
        <f t="shared" si="1"/>
        <v>2337593.81</v>
      </c>
      <c r="L29" s="776">
        <f t="shared" si="2"/>
        <v>80.452990149851672</v>
      </c>
      <c r="M29" s="769">
        <f t="shared" si="4"/>
        <v>227946.18999999994</v>
      </c>
      <c r="N29" s="770">
        <f t="shared" si="5"/>
        <v>80.452990149851658</v>
      </c>
      <c r="O29" s="771"/>
    </row>
    <row r="30" spans="1:15" s="772" customFormat="1">
      <c r="A30" s="774">
        <v>22</v>
      </c>
      <c r="B30" s="796">
        <v>3400</v>
      </c>
      <c r="C30" s="797" t="s">
        <v>1173</v>
      </c>
      <c r="D30" s="775">
        <v>9</v>
      </c>
      <c r="E30" s="776">
        <f>[4]เรียงจังหวัด!Z1114</f>
        <v>7938000</v>
      </c>
      <c r="F30" s="776"/>
      <c r="G30" s="768">
        <f t="shared" si="3"/>
        <v>7938000</v>
      </c>
      <c r="H30" s="776">
        <f>+[4]เรียงจังหวัด!AA1114</f>
        <v>2913300</v>
      </c>
      <c r="I30" s="776">
        <f t="shared" si="0"/>
        <v>36.700680272108841</v>
      </c>
      <c r="J30" s="776">
        <f>+[4]เรียงจังหวัด!AB1114</f>
        <v>3370500</v>
      </c>
      <c r="K30" s="768">
        <f t="shared" si="1"/>
        <v>6283800</v>
      </c>
      <c r="L30" s="776">
        <f t="shared" si="2"/>
        <v>79.16099773242631</v>
      </c>
      <c r="M30" s="769">
        <f t="shared" si="4"/>
        <v>1654200</v>
      </c>
      <c r="N30" s="770">
        <f t="shared" si="5"/>
        <v>79.16099773242631</v>
      </c>
      <c r="O30" s="771"/>
    </row>
    <row r="31" spans="1:15" s="772" customFormat="1">
      <c r="A31" s="774">
        <v>23</v>
      </c>
      <c r="B31" s="796">
        <v>3500</v>
      </c>
      <c r="C31" s="797" t="s">
        <v>1158</v>
      </c>
      <c r="D31" s="775">
        <v>9</v>
      </c>
      <c r="E31" s="776">
        <f>[4]เรียงจังหวัด!Z190</f>
        <v>2976544</v>
      </c>
      <c r="F31" s="776"/>
      <c r="G31" s="768">
        <f t="shared" si="3"/>
        <v>2976544</v>
      </c>
      <c r="H31" s="776">
        <f>+[4]เรียงจังหวัด!AA190</f>
        <v>560408.26</v>
      </c>
      <c r="I31" s="776">
        <f t="shared" si="0"/>
        <v>18.827481132481161</v>
      </c>
      <c r="J31" s="776">
        <f>+[4]เรียงจังหวัด!AB190</f>
        <v>1785011.02</v>
      </c>
      <c r="K31" s="768">
        <f t="shared" si="1"/>
        <v>2345419.2800000003</v>
      </c>
      <c r="L31" s="776">
        <f t="shared" si="2"/>
        <v>78.796728017459188</v>
      </c>
      <c r="M31" s="769">
        <f t="shared" si="4"/>
        <v>631124.71999999974</v>
      </c>
      <c r="N31" s="770">
        <f t="shared" si="5"/>
        <v>78.796728017459188</v>
      </c>
      <c r="O31" s="771"/>
    </row>
    <row r="32" spans="1:15" s="772" customFormat="1">
      <c r="A32" s="774">
        <v>24</v>
      </c>
      <c r="B32" s="796">
        <v>3600</v>
      </c>
      <c r="C32" s="797" t="s">
        <v>1168</v>
      </c>
      <c r="D32" s="775">
        <v>41</v>
      </c>
      <c r="E32" s="776">
        <f>[4]เรียงจังหวัด!Z642</f>
        <v>40752000</v>
      </c>
      <c r="F32" s="776">
        <f>324210</f>
        <v>324210</v>
      </c>
      <c r="G32" s="768">
        <f t="shared" si="3"/>
        <v>40427790</v>
      </c>
      <c r="H32" s="776">
        <f>+[4]เรียงจังหวัด!AA642</f>
        <v>30505307.120000001</v>
      </c>
      <c r="I32" s="776">
        <f t="shared" si="0"/>
        <v>74.855975461327048</v>
      </c>
      <c r="J32" s="776">
        <f>+[4]เรียงจังหวัด!AB642</f>
        <v>1380805.6400000001</v>
      </c>
      <c r="K32" s="768">
        <f t="shared" si="1"/>
        <v>31886112.760000002</v>
      </c>
      <c r="L32" s="768">
        <f t="shared" si="2"/>
        <v>78.244289261876716</v>
      </c>
      <c r="M32" s="769">
        <f t="shared" si="4"/>
        <v>8541677.2399999984</v>
      </c>
      <c r="N32" s="770">
        <f t="shared" si="5"/>
        <v>78.244289261876716</v>
      </c>
      <c r="O32" s="771"/>
    </row>
    <row r="33" spans="1:15" s="772" customFormat="1">
      <c r="A33" s="774">
        <v>25</v>
      </c>
      <c r="B33" s="796">
        <v>3700</v>
      </c>
      <c r="C33" s="797" t="s">
        <v>1154</v>
      </c>
      <c r="D33" s="775">
        <v>32</v>
      </c>
      <c r="E33" s="776">
        <f>[4]เรียงจังหวัด!Z1248+25250</f>
        <v>11178200</v>
      </c>
      <c r="F33" s="776">
        <f>25250+90400</f>
        <v>115650</v>
      </c>
      <c r="G33" s="768">
        <f t="shared" si="3"/>
        <v>11062550</v>
      </c>
      <c r="H33" s="776">
        <f>+[4]เรียงจังหวัด!AA1248</f>
        <v>5618678</v>
      </c>
      <c r="I33" s="776">
        <f t="shared" si="0"/>
        <v>50.26460431912114</v>
      </c>
      <c r="J33" s="776">
        <f>+[4]เรียงจังหวัด!AB1248</f>
        <v>3125624.27</v>
      </c>
      <c r="K33" s="768">
        <f t="shared" si="1"/>
        <v>8744302.2699999996</v>
      </c>
      <c r="L33" s="768">
        <f t="shared" si="2"/>
        <v>78.226389490257816</v>
      </c>
      <c r="M33" s="769">
        <f t="shared" si="4"/>
        <v>2318247.7300000004</v>
      </c>
      <c r="N33" s="770">
        <f t="shared" si="5"/>
        <v>78.22638949025783</v>
      </c>
      <c r="O33" s="771"/>
    </row>
    <row r="34" spans="1:15" s="772" customFormat="1">
      <c r="A34" s="774">
        <v>26</v>
      </c>
      <c r="B34" s="796">
        <v>3900</v>
      </c>
      <c r="C34" s="797" t="s">
        <v>1138</v>
      </c>
      <c r="D34" s="775">
        <v>3</v>
      </c>
      <c r="E34" s="776">
        <f>[4]เรียงจังหวัด!Z995</f>
        <v>2079600</v>
      </c>
      <c r="F34" s="776"/>
      <c r="G34" s="768">
        <f t="shared" si="3"/>
        <v>2079600</v>
      </c>
      <c r="H34" s="776">
        <f>+[4]เรียงจังหวัด!AA995</f>
        <v>1623047.5</v>
      </c>
      <c r="I34" s="776">
        <f t="shared" si="0"/>
        <v>78.046138680515483</v>
      </c>
      <c r="J34" s="776">
        <f>+[4]เรียงจังหวัด!AB995</f>
        <v>0</v>
      </c>
      <c r="K34" s="768">
        <f t="shared" si="1"/>
        <v>1623047.5</v>
      </c>
      <c r="L34" s="768">
        <f t="shared" si="2"/>
        <v>78.046138680515483</v>
      </c>
      <c r="M34" s="769">
        <f t="shared" si="4"/>
        <v>456552.5</v>
      </c>
      <c r="N34" s="770">
        <f t="shared" si="5"/>
        <v>78.046138680515483</v>
      </c>
      <c r="O34" s="771"/>
    </row>
    <row r="35" spans="1:15" s="772" customFormat="1">
      <c r="A35" s="774">
        <v>27</v>
      </c>
      <c r="B35" s="796">
        <v>4000</v>
      </c>
      <c r="C35" s="797" t="s">
        <v>940</v>
      </c>
      <c r="D35" s="775">
        <v>18</v>
      </c>
      <c r="E35" s="776">
        <f>[4]เรียงจังหวัด!Z1020</f>
        <v>6496200</v>
      </c>
      <c r="F35" s="776">
        <f>355047+6338.21</f>
        <v>361385.21</v>
      </c>
      <c r="G35" s="768">
        <f t="shared" si="3"/>
        <v>6134814.79</v>
      </c>
      <c r="H35" s="776">
        <f>+[4]เรียงจังหวัด!AA1020</f>
        <v>5047106.4399999995</v>
      </c>
      <c r="I35" s="776">
        <f t="shared" si="0"/>
        <v>77.693212031649267</v>
      </c>
      <c r="J35" s="776">
        <f>+[4]เรียงจังหวัด!AB1020</f>
        <v>0</v>
      </c>
      <c r="K35" s="768">
        <f t="shared" si="1"/>
        <v>5047106.4399999995</v>
      </c>
      <c r="L35" s="768">
        <f t="shared" si="2"/>
        <v>77.693212031649267</v>
      </c>
      <c r="M35" s="769">
        <f t="shared" si="4"/>
        <v>1087708.3500000006</v>
      </c>
      <c r="N35" s="770">
        <f t="shared" si="5"/>
        <v>77.693212031649267</v>
      </c>
      <c r="O35" s="771"/>
    </row>
    <row r="36" spans="1:15" s="772" customFormat="1">
      <c r="A36" s="774">
        <v>28</v>
      </c>
      <c r="B36" s="796">
        <v>4100</v>
      </c>
      <c r="C36" s="797" t="s">
        <v>914</v>
      </c>
      <c r="D36" s="775">
        <v>10</v>
      </c>
      <c r="E36" s="776">
        <f>[4]เรียงจังหวัด!Z1235</f>
        <v>2734800</v>
      </c>
      <c r="F36" s="776"/>
      <c r="G36" s="768">
        <f t="shared" si="3"/>
        <v>2734800</v>
      </c>
      <c r="H36" s="776">
        <f>+[4]เรียงจังหวัด!AA1235</f>
        <v>717709.89</v>
      </c>
      <c r="I36" s="776">
        <f t="shared" si="0"/>
        <v>26.243596972356297</v>
      </c>
      <c r="J36" s="776">
        <f>+[4]เรียงจังหวัด!AB1235</f>
        <v>1404200</v>
      </c>
      <c r="K36" s="768">
        <f t="shared" si="1"/>
        <v>2121909.89</v>
      </c>
      <c r="L36" s="768">
        <f t="shared" si="2"/>
        <v>77.589216396080147</v>
      </c>
      <c r="M36" s="769">
        <f t="shared" si="4"/>
        <v>612890.10999999987</v>
      </c>
      <c r="N36" s="770">
        <f t="shared" si="5"/>
        <v>77.589216396080147</v>
      </c>
      <c r="O36" s="771"/>
    </row>
    <row r="37" spans="1:15" s="772" customFormat="1">
      <c r="A37" s="774">
        <v>29</v>
      </c>
      <c r="B37" s="796">
        <v>4200</v>
      </c>
      <c r="C37" s="797" t="s">
        <v>936</v>
      </c>
      <c r="D37" s="775">
        <v>19</v>
      </c>
      <c r="E37" s="776">
        <f>[4]เรียงจังหวัด!Z467</f>
        <v>7209990</v>
      </c>
      <c r="F37" s="776">
        <f>759600+16200</f>
        <v>775800</v>
      </c>
      <c r="G37" s="768">
        <f t="shared" si="3"/>
        <v>6434190</v>
      </c>
      <c r="H37" s="776">
        <f>+[4]เรียงจังหวัด!AA467</f>
        <v>5539423.3900000006</v>
      </c>
      <c r="I37" s="776">
        <f t="shared" si="0"/>
        <v>76.82983457674699</v>
      </c>
      <c r="J37" s="776">
        <f>+[4]เรียงจังหวัด!AB467</f>
        <v>0</v>
      </c>
      <c r="K37" s="768">
        <f t="shared" si="1"/>
        <v>5539423.3900000006</v>
      </c>
      <c r="L37" s="768">
        <f t="shared" si="2"/>
        <v>76.82983457674699</v>
      </c>
      <c r="M37" s="769">
        <f t="shared" si="4"/>
        <v>894766.6099999994</v>
      </c>
      <c r="N37" s="770">
        <f t="shared" si="5"/>
        <v>76.82983457674699</v>
      </c>
      <c r="O37" s="771"/>
    </row>
    <row r="38" spans="1:15" s="772" customFormat="1">
      <c r="A38" s="774">
        <v>30</v>
      </c>
      <c r="B38" s="796">
        <v>4300</v>
      </c>
      <c r="C38" s="797" t="s">
        <v>1167</v>
      </c>
      <c r="D38" s="775">
        <v>22</v>
      </c>
      <c r="E38" s="776">
        <f>[4]เรียงจังหวัด!Z620</f>
        <v>20818800</v>
      </c>
      <c r="F38" s="776"/>
      <c r="G38" s="768">
        <f t="shared" si="3"/>
        <v>20818800</v>
      </c>
      <c r="H38" s="776">
        <f>+[4]เรียงจังหวัด!AA620</f>
        <v>14629030.25</v>
      </c>
      <c r="I38" s="776">
        <f t="shared" si="0"/>
        <v>70.268364411013124</v>
      </c>
      <c r="J38" s="776">
        <f>+[4]เรียงจังหวัด!AB620</f>
        <v>1194700</v>
      </c>
      <c r="K38" s="768">
        <f t="shared" si="1"/>
        <v>15823730.25</v>
      </c>
      <c r="L38" s="768">
        <f t="shared" si="2"/>
        <v>76.006927632716582</v>
      </c>
      <c r="M38" s="769">
        <f t="shared" si="4"/>
        <v>4995069.75</v>
      </c>
      <c r="N38" s="770">
        <f t="shared" si="5"/>
        <v>76.006927632716582</v>
      </c>
      <c r="O38" s="771"/>
    </row>
    <row r="39" spans="1:15" s="772" customFormat="1">
      <c r="A39" s="774">
        <v>31</v>
      </c>
      <c r="B39" s="796">
        <v>4400</v>
      </c>
      <c r="C39" s="797" t="s">
        <v>965</v>
      </c>
      <c r="D39" s="775">
        <v>7</v>
      </c>
      <c r="E39" s="776">
        <f>[4]เรียงจังหวัด!Z594</f>
        <v>2135200</v>
      </c>
      <c r="F39" s="776">
        <f>85159+340000</f>
        <v>425159</v>
      </c>
      <c r="G39" s="768">
        <f t="shared" si="3"/>
        <v>1710041</v>
      </c>
      <c r="H39" s="776">
        <f>+[4]เรียงจังหวัด!AA594</f>
        <v>1614069.25</v>
      </c>
      <c r="I39" s="776">
        <f t="shared" si="0"/>
        <v>75.593351910828019</v>
      </c>
      <c r="J39" s="776">
        <f>+[4]เรียงจังหวัด!AB594</f>
        <v>0</v>
      </c>
      <c r="K39" s="768">
        <f t="shared" si="1"/>
        <v>1614069.25</v>
      </c>
      <c r="L39" s="768">
        <f t="shared" si="2"/>
        <v>75.593351910828019</v>
      </c>
      <c r="M39" s="769">
        <f t="shared" si="4"/>
        <v>95971.75</v>
      </c>
      <c r="N39" s="770">
        <f t="shared" si="5"/>
        <v>75.593351910828019</v>
      </c>
      <c r="O39" s="771"/>
    </row>
    <row r="40" spans="1:15" s="772" customFormat="1">
      <c r="A40" s="774">
        <v>32</v>
      </c>
      <c r="B40" s="796">
        <v>4500</v>
      </c>
      <c r="C40" s="797" t="s">
        <v>938</v>
      </c>
      <c r="D40" s="775">
        <v>42</v>
      </c>
      <c r="E40" s="776">
        <f>[4]เรียงจังหวัด!Z895</f>
        <v>6508200</v>
      </c>
      <c r="F40" s="776">
        <f>35832</f>
        <v>35832</v>
      </c>
      <c r="G40" s="768">
        <f t="shared" si="3"/>
        <v>6472368</v>
      </c>
      <c r="H40" s="776">
        <f>+[4]เรียงจังหวัด!AA895</f>
        <v>4909515.58</v>
      </c>
      <c r="I40" s="776">
        <f t="shared" ref="I40:I71" si="6">H40/E40*100</f>
        <v>75.435843704864638</v>
      </c>
      <c r="J40" s="776">
        <f>+[4]เรียงจังหวัด!AB895</f>
        <v>0</v>
      </c>
      <c r="K40" s="768">
        <f t="shared" ref="K40:K71" si="7">H40+J40</f>
        <v>4909515.58</v>
      </c>
      <c r="L40" s="768">
        <f t="shared" ref="L40:L71" si="8">K40/E40*100</f>
        <v>75.435843704864638</v>
      </c>
      <c r="M40" s="769">
        <f t="shared" si="4"/>
        <v>1562852.42</v>
      </c>
      <c r="N40" s="770">
        <f t="shared" si="5"/>
        <v>75.435843704864638</v>
      </c>
      <c r="O40" s="771"/>
    </row>
    <row r="41" spans="1:15" s="772" customFormat="1">
      <c r="A41" s="774">
        <v>33</v>
      </c>
      <c r="B41" s="796">
        <v>4600</v>
      </c>
      <c r="C41" s="797" t="s">
        <v>1175</v>
      </c>
      <c r="D41" s="775">
        <v>16</v>
      </c>
      <c r="E41" s="776">
        <f>[4]เรียงจังหวัด!Z819</f>
        <v>4445832</v>
      </c>
      <c r="F41" s="776"/>
      <c r="G41" s="768">
        <f t="shared" ref="G41:G72" si="9">E41-F41</f>
        <v>4445832</v>
      </c>
      <c r="H41" s="776">
        <f>+[4]เรียงจังหวัด!AA819</f>
        <v>2661399.1199999996</v>
      </c>
      <c r="I41" s="776">
        <f t="shared" si="6"/>
        <v>59.862791036638349</v>
      </c>
      <c r="J41" s="776">
        <f>+[4]เรียงจังหวัด!AB819</f>
        <v>671200</v>
      </c>
      <c r="K41" s="768">
        <f t="shared" si="7"/>
        <v>3332599.1199999996</v>
      </c>
      <c r="L41" s="768">
        <f t="shared" si="8"/>
        <v>74.960077663753367</v>
      </c>
      <c r="M41" s="769">
        <f t="shared" ref="M41:M72" si="10">+G41-K41</f>
        <v>1113232.8800000004</v>
      </c>
      <c r="N41" s="770">
        <f t="shared" si="5"/>
        <v>74.960077663753367</v>
      </c>
      <c r="O41" s="771"/>
    </row>
    <row r="42" spans="1:15" s="772" customFormat="1">
      <c r="A42" s="774">
        <v>34</v>
      </c>
      <c r="B42" s="796">
        <v>4700</v>
      </c>
      <c r="C42" s="797" t="s">
        <v>931</v>
      </c>
      <c r="D42" s="775">
        <v>10</v>
      </c>
      <c r="E42" s="798">
        <f>[4]เรียงจังหวัด!Z94</f>
        <v>3183200</v>
      </c>
      <c r="F42" s="798">
        <f>55000</f>
        <v>55000</v>
      </c>
      <c r="G42" s="768">
        <f t="shared" si="9"/>
        <v>3128200</v>
      </c>
      <c r="H42" s="776">
        <f>+[4]เรียงจังหวัด!AA94</f>
        <v>1829150.23</v>
      </c>
      <c r="I42" s="776">
        <f t="shared" si="6"/>
        <v>57.462623460668503</v>
      </c>
      <c r="J42" s="776">
        <f>+[4]เรียงจังหวัด!AB94</f>
        <v>555070</v>
      </c>
      <c r="K42" s="768">
        <f t="shared" si="7"/>
        <v>2384220.23</v>
      </c>
      <c r="L42" s="768">
        <f t="shared" si="8"/>
        <v>74.900107753204324</v>
      </c>
      <c r="M42" s="769">
        <f t="shared" si="10"/>
        <v>743979.77</v>
      </c>
      <c r="N42" s="770">
        <f t="shared" si="5"/>
        <v>74.900107753204324</v>
      </c>
      <c r="O42" s="771"/>
    </row>
    <row r="43" spans="1:15" s="772" customFormat="1">
      <c r="A43" s="774">
        <v>35</v>
      </c>
      <c r="B43" s="796">
        <v>4800</v>
      </c>
      <c r="C43" s="797" t="s">
        <v>1169</v>
      </c>
      <c r="D43" s="775">
        <v>12</v>
      </c>
      <c r="E43" s="776">
        <f>[4]เรียงจังหวัด!Z76</f>
        <v>6582000</v>
      </c>
      <c r="F43" s="776"/>
      <c r="G43" s="768">
        <f t="shared" si="9"/>
        <v>6582000</v>
      </c>
      <c r="H43" s="776">
        <f>+[4]เรียงจังหวัด!AA76</f>
        <v>514900</v>
      </c>
      <c r="I43" s="776">
        <f t="shared" si="6"/>
        <v>7.8228501975083562</v>
      </c>
      <c r="J43" s="776">
        <f>+[4]เรียงจังหวัด!AB76</f>
        <v>4348392.32</v>
      </c>
      <c r="K43" s="768">
        <f t="shared" si="7"/>
        <v>4863292.32</v>
      </c>
      <c r="L43" s="768">
        <f t="shared" si="8"/>
        <v>73.887759343664555</v>
      </c>
      <c r="M43" s="769">
        <f t="shared" si="10"/>
        <v>1718707.6799999997</v>
      </c>
      <c r="N43" s="770">
        <f t="shared" si="5"/>
        <v>73.887759343664541</v>
      </c>
      <c r="O43" s="771"/>
    </row>
    <row r="44" spans="1:15" s="772" customFormat="1">
      <c r="A44" s="774">
        <v>36</v>
      </c>
      <c r="B44" s="796">
        <v>4900</v>
      </c>
      <c r="C44" s="797" t="s">
        <v>1161</v>
      </c>
      <c r="D44" s="775">
        <v>21</v>
      </c>
      <c r="E44" s="776">
        <f>[4]เรียงจังหวัด!Z1476</f>
        <v>8922371</v>
      </c>
      <c r="F44" s="776"/>
      <c r="G44" s="768">
        <f t="shared" si="9"/>
        <v>8922371</v>
      </c>
      <c r="H44" s="776">
        <f>+[4]เรียงจังหวัด!AA1476</f>
        <v>6405302.8900000006</v>
      </c>
      <c r="I44" s="776">
        <f t="shared" si="6"/>
        <v>71.789246266491276</v>
      </c>
      <c r="J44" s="776">
        <f>+[4]เรียงจังหวัด!AB1476</f>
        <v>63190</v>
      </c>
      <c r="K44" s="768">
        <f t="shared" si="7"/>
        <v>6468492.8900000006</v>
      </c>
      <c r="L44" s="768">
        <f t="shared" si="8"/>
        <v>72.497466088330114</v>
      </c>
      <c r="M44" s="769">
        <f t="shared" si="10"/>
        <v>2453878.1099999994</v>
      </c>
      <c r="N44" s="770">
        <f t="shared" si="5"/>
        <v>72.497466088330114</v>
      </c>
      <c r="O44" s="771"/>
    </row>
    <row r="45" spans="1:15" s="772" customFormat="1">
      <c r="A45" s="774">
        <v>37</v>
      </c>
      <c r="B45" s="796">
        <v>5000</v>
      </c>
      <c r="C45" s="797" t="s">
        <v>1135</v>
      </c>
      <c r="D45" s="775">
        <v>17</v>
      </c>
      <c r="E45" s="776">
        <f>[4]เรียงจังหวัด!Z878</f>
        <v>7426754</v>
      </c>
      <c r="F45" s="776">
        <f>1323876.52</f>
        <v>1323876.52</v>
      </c>
      <c r="G45" s="768">
        <f t="shared" si="9"/>
        <v>6102877.4800000004</v>
      </c>
      <c r="H45" s="776">
        <f>+[4]เรียงจังหวัด!AA878</f>
        <v>3950404.31</v>
      </c>
      <c r="I45" s="776">
        <f t="shared" si="6"/>
        <v>53.191533070840912</v>
      </c>
      <c r="J45" s="776">
        <f>+[4]เรียงจังหวัด!AB878</f>
        <v>1372291.87</v>
      </c>
      <c r="K45" s="768">
        <f t="shared" si="7"/>
        <v>5322696.18</v>
      </c>
      <c r="L45" s="768">
        <f t="shared" si="8"/>
        <v>71.669213494886179</v>
      </c>
      <c r="M45" s="769">
        <f t="shared" si="10"/>
        <v>780181.30000000075</v>
      </c>
      <c r="N45" s="770">
        <f t="shared" si="5"/>
        <v>71.669213494886193</v>
      </c>
      <c r="O45" s="771"/>
    </row>
    <row r="46" spans="1:15" s="772" customFormat="1">
      <c r="A46" s="774">
        <v>38</v>
      </c>
      <c r="B46" s="796">
        <v>5100</v>
      </c>
      <c r="C46" s="797" t="s">
        <v>910</v>
      </c>
      <c r="D46" s="775">
        <v>11</v>
      </c>
      <c r="E46" s="776">
        <f>[4]เรียงจังหวัด!Z998</f>
        <v>3558459</v>
      </c>
      <c r="F46" s="776"/>
      <c r="G46" s="768">
        <f t="shared" si="9"/>
        <v>3558459</v>
      </c>
      <c r="H46" s="776">
        <f>+[4]เรียงจังหวัด!AA998</f>
        <v>2310670.02</v>
      </c>
      <c r="I46" s="776">
        <f t="shared" si="6"/>
        <v>64.934569149173839</v>
      </c>
      <c r="J46" s="776">
        <f>+[4]เรียงจังหวัด!AB998</f>
        <v>235690</v>
      </c>
      <c r="K46" s="768">
        <f t="shared" si="7"/>
        <v>2546360.02</v>
      </c>
      <c r="L46" s="768">
        <f t="shared" si="8"/>
        <v>71.557941794467766</v>
      </c>
      <c r="M46" s="769">
        <f t="shared" si="10"/>
        <v>1012098.98</v>
      </c>
      <c r="N46" s="770">
        <f t="shared" si="5"/>
        <v>71.55794179446778</v>
      </c>
      <c r="O46" s="771"/>
    </row>
    <row r="47" spans="1:15" s="772" customFormat="1">
      <c r="A47" s="774">
        <v>39</v>
      </c>
      <c r="B47" s="796">
        <v>5200</v>
      </c>
      <c r="C47" s="797" t="s">
        <v>966</v>
      </c>
      <c r="D47" s="775">
        <v>23</v>
      </c>
      <c r="E47" s="776">
        <f>[4]เรียงจังหวัด!Z120</f>
        <v>9814400</v>
      </c>
      <c r="F47" s="776"/>
      <c r="G47" s="768">
        <f t="shared" si="9"/>
        <v>9814400</v>
      </c>
      <c r="H47" s="776">
        <f>+[4]เรียงจังหวัด!AA120</f>
        <v>5555130.5600000005</v>
      </c>
      <c r="I47" s="776">
        <f t="shared" si="6"/>
        <v>56.601835670035868</v>
      </c>
      <c r="J47" s="776">
        <f>+[4]เรียงจังหวัด!AB120</f>
        <v>1435955.76</v>
      </c>
      <c r="K47" s="768">
        <f t="shared" si="7"/>
        <v>6991086.3200000003</v>
      </c>
      <c r="L47" s="768">
        <f t="shared" si="8"/>
        <v>71.232946690577108</v>
      </c>
      <c r="M47" s="769">
        <f t="shared" si="10"/>
        <v>2823313.6799999997</v>
      </c>
      <c r="N47" s="770">
        <f t="shared" si="5"/>
        <v>71.232946690577108</v>
      </c>
      <c r="O47" s="771"/>
    </row>
    <row r="48" spans="1:15" s="772" customFormat="1">
      <c r="A48" s="774">
        <v>40</v>
      </c>
      <c r="B48" s="796">
        <v>5300</v>
      </c>
      <c r="C48" s="797" t="s">
        <v>1140</v>
      </c>
      <c r="D48" s="775">
        <v>3</v>
      </c>
      <c r="E48" s="776">
        <f>[4]เรียงจังหวัด!Z1245:Z1245</f>
        <v>497200</v>
      </c>
      <c r="F48" s="776"/>
      <c r="G48" s="768">
        <f t="shared" si="9"/>
        <v>497200</v>
      </c>
      <c r="H48" s="776">
        <f>+[4]เรียงจังหวัด!AA1245</f>
        <v>309630.73</v>
      </c>
      <c r="I48" s="776">
        <f t="shared" si="6"/>
        <v>62.27488535800483</v>
      </c>
      <c r="J48" s="776">
        <f>+[4]เรียงจังหวัด!AB1245</f>
        <v>41185</v>
      </c>
      <c r="K48" s="768">
        <f t="shared" si="7"/>
        <v>350815.73</v>
      </c>
      <c r="L48" s="768">
        <f t="shared" si="8"/>
        <v>70.558272325020113</v>
      </c>
      <c r="M48" s="769">
        <f t="shared" si="10"/>
        <v>146384.27000000002</v>
      </c>
      <c r="N48" s="770">
        <f t="shared" si="5"/>
        <v>70.558272325020113</v>
      </c>
      <c r="O48" s="771"/>
    </row>
    <row r="49" spans="1:15" s="772" customFormat="1">
      <c r="A49" s="774">
        <v>41</v>
      </c>
      <c r="B49" s="796">
        <v>5400</v>
      </c>
      <c r="C49" s="797" t="s">
        <v>1153</v>
      </c>
      <c r="D49" s="775">
        <v>40</v>
      </c>
      <c r="E49" s="776">
        <f>[4]เรียงจังหวัด!Z1176</f>
        <v>9170500</v>
      </c>
      <c r="F49" s="776">
        <f>339494.68+434000</f>
        <v>773494.67999999993</v>
      </c>
      <c r="G49" s="768">
        <f t="shared" si="9"/>
        <v>8397005.3200000003</v>
      </c>
      <c r="H49" s="776">
        <f>+[4]เรียงจังหวัด!AA1176</f>
        <v>5478819.330000001</v>
      </c>
      <c r="I49" s="776">
        <f t="shared" si="6"/>
        <v>59.743954310015823</v>
      </c>
      <c r="J49" s="776">
        <f>+[4]เรียงจังหวัด!AB1176</f>
        <v>953628.91</v>
      </c>
      <c r="K49" s="768">
        <f t="shared" si="7"/>
        <v>6432448.2400000012</v>
      </c>
      <c r="L49" s="768">
        <f t="shared" si="8"/>
        <v>70.142830161932295</v>
      </c>
      <c r="M49" s="769">
        <f t="shared" si="10"/>
        <v>1964557.0799999991</v>
      </c>
      <c r="N49" s="770">
        <f t="shared" si="5"/>
        <v>70.142830161932295</v>
      </c>
      <c r="O49" s="771"/>
    </row>
    <row r="50" spans="1:15" s="772" customFormat="1">
      <c r="A50" s="774">
        <v>42</v>
      </c>
      <c r="B50" s="796">
        <v>5500</v>
      </c>
      <c r="C50" s="797" t="s">
        <v>947</v>
      </c>
      <c r="D50" s="775">
        <v>19</v>
      </c>
      <c r="E50" s="776">
        <f>[4]เรียงจังหวัด!Z1216+106600</f>
        <v>6414860</v>
      </c>
      <c r="F50" s="776">
        <f>106600+6100</f>
        <v>112700</v>
      </c>
      <c r="G50" s="768">
        <f t="shared" si="9"/>
        <v>6302160</v>
      </c>
      <c r="H50" s="776">
        <f>+[4]เรียงจังหวัด!AA1216</f>
        <v>3196111.9400000004</v>
      </c>
      <c r="I50" s="776">
        <f t="shared" si="6"/>
        <v>49.823564972579298</v>
      </c>
      <c r="J50" s="776">
        <f>+[4]เรียงจังหวัด!AB1216</f>
        <v>1250970.9700000002</v>
      </c>
      <c r="K50" s="768">
        <f t="shared" si="7"/>
        <v>4447082.91</v>
      </c>
      <c r="L50" s="768">
        <f t="shared" si="8"/>
        <v>69.324707164302893</v>
      </c>
      <c r="M50" s="769">
        <f t="shared" si="10"/>
        <v>1855077.0899999999</v>
      </c>
      <c r="N50" s="770">
        <f t="shared" si="5"/>
        <v>69.324707164302879</v>
      </c>
      <c r="O50" s="771"/>
    </row>
    <row r="51" spans="1:15" s="772" customFormat="1">
      <c r="A51" s="774">
        <v>43</v>
      </c>
      <c r="B51" s="796">
        <v>5600</v>
      </c>
      <c r="C51" s="797" t="s">
        <v>918</v>
      </c>
      <c r="D51" s="775">
        <v>4</v>
      </c>
      <c r="E51" s="776">
        <f>[4]เรียงจังหวัด!Z1009</f>
        <v>1524600</v>
      </c>
      <c r="F51" s="776"/>
      <c r="G51" s="768">
        <f t="shared" si="9"/>
        <v>1524600</v>
      </c>
      <c r="H51" s="776">
        <f>+[4]เรียงจังหวัด!AA1009</f>
        <v>1044044.51</v>
      </c>
      <c r="I51" s="776">
        <f t="shared" si="6"/>
        <v>68.479897022169752</v>
      </c>
      <c r="J51" s="776">
        <f>+[4]เรียงจังหวัด!AB1009</f>
        <v>0</v>
      </c>
      <c r="K51" s="768">
        <f t="shared" si="7"/>
        <v>1044044.51</v>
      </c>
      <c r="L51" s="768">
        <f t="shared" si="8"/>
        <v>68.479897022169752</v>
      </c>
      <c r="M51" s="769">
        <f t="shared" si="10"/>
        <v>480555.49</v>
      </c>
      <c r="N51" s="770">
        <f t="shared" si="5"/>
        <v>68.479897022169752</v>
      </c>
      <c r="O51" s="771"/>
    </row>
    <row r="52" spans="1:15" s="772" customFormat="1">
      <c r="A52" s="781">
        <v>44</v>
      </c>
      <c r="B52" s="801">
        <v>5700</v>
      </c>
      <c r="C52" s="802" t="s">
        <v>1150</v>
      </c>
      <c r="D52" s="782">
        <v>17</v>
      </c>
      <c r="E52" s="783">
        <f>[4]เรียงจังหวัด!Z156</f>
        <v>3623639</v>
      </c>
      <c r="F52" s="783">
        <v>642000</v>
      </c>
      <c r="G52" s="768">
        <f t="shared" si="9"/>
        <v>2981639</v>
      </c>
      <c r="H52" s="783">
        <f>+[4]เรียงจังหวัด!AA156</f>
        <v>2449684.2600000002</v>
      </c>
      <c r="I52" s="783">
        <f t="shared" si="6"/>
        <v>67.602878211654087</v>
      </c>
      <c r="J52" s="783">
        <f>+[4]เรียงจังหวัด!AB156</f>
        <v>6900</v>
      </c>
      <c r="K52" s="783">
        <f t="shared" si="7"/>
        <v>2456584.2600000002</v>
      </c>
      <c r="L52" s="783">
        <f t="shared" si="8"/>
        <v>67.793294530718981</v>
      </c>
      <c r="M52" s="769">
        <f t="shared" si="10"/>
        <v>525054.73999999976</v>
      </c>
      <c r="N52" s="770">
        <f t="shared" si="5"/>
        <v>67.793294530718995</v>
      </c>
      <c r="O52" s="771"/>
    </row>
    <row r="53" spans="1:15" s="772" customFormat="1">
      <c r="A53" s="784">
        <v>45</v>
      </c>
      <c r="B53" s="803">
        <v>5800</v>
      </c>
      <c r="C53" s="804" t="s">
        <v>943</v>
      </c>
      <c r="D53" s="785">
        <v>17</v>
      </c>
      <c r="E53" s="786">
        <f>[4]เรียงจังหวัด!Z1159</f>
        <v>9467500</v>
      </c>
      <c r="F53" s="786"/>
      <c r="G53" s="768">
        <f t="shared" si="9"/>
        <v>9467500</v>
      </c>
      <c r="H53" s="786">
        <f>+[4]เรียงจังหวัด!AA1159</f>
        <v>1934747.09</v>
      </c>
      <c r="I53" s="786">
        <f t="shared" si="6"/>
        <v>20.435670345920254</v>
      </c>
      <c r="J53" s="786">
        <f>+[4]เรียงจังหวัด!AB1159</f>
        <v>4443393.5</v>
      </c>
      <c r="K53" s="786">
        <f t="shared" si="7"/>
        <v>6378140.5899999999</v>
      </c>
      <c r="L53" s="786">
        <f t="shared" si="8"/>
        <v>67.368794190652224</v>
      </c>
      <c r="M53" s="769">
        <f t="shared" si="10"/>
        <v>3089359.41</v>
      </c>
      <c r="N53" s="770">
        <f t="shared" si="5"/>
        <v>67.368794190652238</v>
      </c>
      <c r="O53" s="771"/>
    </row>
    <row r="54" spans="1:15" s="772" customFormat="1">
      <c r="A54" s="774">
        <v>46</v>
      </c>
      <c r="B54" s="796">
        <v>6000</v>
      </c>
      <c r="C54" s="797" t="s">
        <v>1164</v>
      </c>
      <c r="D54" s="775">
        <v>27</v>
      </c>
      <c r="E54" s="776">
        <f>[4]เรียงจังหวัด!Z1382</f>
        <v>9862346</v>
      </c>
      <c r="F54" s="776"/>
      <c r="G54" s="768">
        <f t="shared" si="9"/>
        <v>9862346</v>
      </c>
      <c r="H54" s="776">
        <f>+[4]เรียงจังหวัด!AA1382</f>
        <v>5443989.5499999998</v>
      </c>
      <c r="I54" s="776">
        <f t="shared" si="6"/>
        <v>55.199742028924959</v>
      </c>
      <c r="J54" s="776">
        <f>+[4]เรียงจังหวัด!AB1382</f>
        <v>1128154</v>
      </c>
      <c r="K54" s="768">
        <f t="shared" si="7"/>
        <v>6572143.5499999998</v>
      </c>
      <c r="L54" s="768">
        <f t="shared" si="8"/>
        <v>66.638744473170988</v>
      </c>
      <c r="M54" s="769">
        <f t="shared" si="10"/>
        <v>3290202.45</v>
      </c>
      <c r="N54" s="770">
        <f t="shared" si="5"/>
        <v>66.638744473170988</v>
      </c>
      <c r="O54" s="771"/>
    </row>
    <row r="55" spans="1:15" s="772" customFormat="1">
      <c r="A55" s="774">
        <v>47</v>
      </c>
      <c r="B55" s="796">
        <v>6100</v>
      </c>
      <c r="C55" s="797" t="s">
        <v>937</v>
      </c>
      <c r="D55" s="775">
        <v>24</v>
      </c>
      <c r="E55" s="776">
        <f>[4]เรียงจังหวัด!Z570</f>
        <v>5676400</v>
      </c>
      <c r="F55" s="776">
        <f>192000</f>
        <v>192000</v>
      </c>
      <c r="G55" s="768">
        <f t="shared" si="9"/>
        <v>5484400</v>
      </c>
      <c r="H55" s="776">
        <f>+[4]เรียงจังหวัด!AA570</f>
        <v>3582382.2399999998</v>
      </c>
      <c r="I55" s="776">
        <f t="shared" si="6"/>
        <v>63.110109224156155</v>
      </c>
      <c r="J55" s="776">
        <f>+[4]เรียงจังหวัด!AB570</f>
        <v>194400</v>
      </c>
      <c r="K55" s="768">
        <f t="shared" si="7"/>
        <v>3776782.2399999998</v>
      </c>
      <c r="L55" s="768">
        <f t="shared" si="8"/>
        <v>66.534815023606512</v>
      </c>
      <c r="M55" s="769">
        <f t="shared" si="10"/>
        <v>1707617.7600000002</v>
      </c>
      <c r="N55" s="770">
        <f t="shared" si="5"/>
        <v>66.534815023606512</v>
      </c>
      <c r="O55" s="771"/>
    </row>
    <row r="56" spans="1:15" s="772" customFormat="1">
      <c r="A56" s="774">
        <v>48</v>
      </c>
      <c r="B56" s="796">
        <v>6200</v>
      </c>
      <c r="C56" s="797" t="s">
        <v>917</v>
      </c>
      <c r="D56" s="775">
        <v>15</v>
      </c>
      <c r="E56" s="776">
        <f>[4]เรียงจังหวัด!Z1329</f>
        <v>5750700</v>
      </c>
      <c r="F56" s="776">
        <f>435405.72</f>
        <v>435405.72</v>
      </c>
      <c r="G56" s="768">
        <f t="shared" si="9"/>
        <v>5315294.28</v>
      </c>
      <c r="H56" s="776">
        <f>+[4]เรียงจังหวัด!AA1329</f>
        <v>2414639.86</v>
      </c>
      <c r="I56" s="776">
        <f t="shared" si="6"/>
        <v>41.988625036952023</v>
      </c>
      <c r="J56" s="776">
        <f>+[4]เรียงจังหวัด!AB1329</f>
        <v>1409672.32</v>
      </c>
      <c r="K56" s="768">
        <f t="shared" si="7"/>
        <v>3824312.1799999997</v>
      </c>
      <c r="L56" s="768">
        <f t="shared" si="8"/>
        <v>66.501681186638137</v>
      </c>
      <c r="M56" s="769">
        <f t="shared" si="10"/>
        <v>1490982.1000000006</v>
      </c>
      <c r="N56" s="770">
        <f t="shared" si="5"/>
        <v>66.501681186638152</v>
      </c>
      <c r="O56" s="771"/>
    </row>
    <row r="57" spans="1:15" s="772" customFormat="1">
      <c r="A57" s="774">
        <v>49</v>
      </c>
      <c r="B57" s="796">
        <v>6300</v>
      </c>
      <c r="C57" s="797" t="s">
        <v>948</v>
      </c>
      <c r="D57" s="775">
        <v>31</v>
      </c>
      <c r="E57" s="776">
        <f>[4]เรียงจังหวัด!Z1298+495000</f>
        <v>13110990</v>
      </c>
      <c r="F57" s="776">
        <f>495000</f>
        <v>495000</v>
      </c>
      <c r="G57" s="768">
        <f t="shared" si="9"/>
        <v>12615990</v>
      </c>
      <c r="H57" s="776">
        <f>+[4]เรียงจังหวัด!AA1298</f>
        <v>5803285.8700000001</v>
      </c>
      <c r="I57" s="776">
        <f t="shared" si="6"/>
        <v>44.262758723788217</v>
      </c>
      <c r="J57" s="776">
        <f>+[4]เรียงจังหวัด!AB1298</f>
        <v>2776701.77</v>
      </c>
      <c r="K57" s="768">
        <f t="shared" si="7"/>
        <v>8579987.6400000006</v>
      </c>
      <c r="L57" s="768">
        <f t="shared" si="8"/>
        <v>65.441188194026552</v>
      </c>
      <c r="M57" s="769">
        <f t="shared" si="10"/>
        <v>4036002.3599999994</v>
      </c>
      <c r="N57" s="770">
        <f t="shared" si="5"/>
        <v>65.441188194026537</v>
      </c>
      <c r="O57" s="771"/>
    </row>
    <row r="58" spans="1:15" s="772" customFormat="1">
      <c r="A58" s="774">
        <v>50</v>
      </c>
      <c r="B58" s="796">
        <v>6400</v>
      </c>
      <c r="C58" s="797" t="s">
        <v>921</v>
      </c>
      <c r="D58" s="775">
        <v>13</v>
      </c>
      <c r="E58" s="776">
        <f>[4]เรียงจังหวัด!Z143</f>
        <v>3092000</v>
      </c>
      <c r="F58" s="776"/>
      <c r="G58" s="768">
        <f t="shared" si="9"/>
        <v>3092000</v>
      </c>
      <c r="H58" s="776">
        <f>+[4]เรียงจังหวัด!AA143</f>
        <v>1983972.57</v>
      </c>
      <c r="I58" s="776">
        <f t="shared" si="6"/>
        <v>64.164701487710218</v>
      </c>
      <c r="J58" s="776">
        <f>+[4]เรียงจังหวัด!AB143</f>
        <v>37389.39</v>
      </c>
      <c r="K58" s="768">
        <f t="shared" si="7"/>
        <v>2021361.96</v>
      </c>
      <c r="L58" s="768">
        <f t="shared" si="8"/>
        <v>65.373931435963769</v>
      </c>
      <c r="M58" s="769">
        <f t="shared" si="10"/>
        <v>1070638.04</v>
      </c>
      <c r="N58" s="770">
        <f t="shared" si="5"/>
        <v>65.373931435963783</v>
      </c>
      <c r="O58" s="771"/>
    </row>
    <row r="59" spans="1:15" s="772" customFormat="1">
      <c r="A59" s="774">
        <v>51</v>
      </c>
      <c r="B59" s="796">
        <v>6500</v>
      </c>
      <c r="C59" s="797" t="s">
        <v>907</v>
      </c>
      <c r="D59" s="775">
        <v>25</v>
      </c>
      <c r="E59" s="776">
        <f>[4]เรียงจังหวัด!Z835</f>
        <v>7143800</v>
      </c>
      <c r="F59" s="776"/>
      <c r="G59" s="768">
        <f t="shared" si="9"/>
        <v>7143800</v>
      </c>
      <c r="H59" s="776">
        <f>+[4]เรียงจังหวัด!AA835</f>
        <v>3538808.01</v>
      </c>
      <c r="I59" s="776">
        <f t="shared" si="6"/>
        <v>49.536773285926259</v>
      </c>
      <c r="J59" s="776">
        <f>+[4]เรียงจังหวัด!AB835</f>
        <v>1128077.19</v>
      </c>
      <c r="K59" s="768">
        <f t="shared" si="7"/>
        <v>4666885.1999999993</v>
      </c>
      <c r="L59" s="768">
        <f t="shared" si="8"/>
        <v>65.327769534421449</v>
      </c>
      <c r="M59" s="769">
        <f t="shared" si="10"/>
        <v>2476914.8000000007</v>
      </c>
      <c r="N59" s="770">
        <f t="shared" si="5"/>
        <v>65.327769534421449</v>
      </c>
      <c r="O59" s="771"/>
    </row>
    <row r="60" spans="1:15" s="772" customFormat="1">
      <c r="A60" s="774">
        <v>52</v>
      </c>
      <c r="B60" s="796">
        <v>6600</v>
      </c>
      <c r="C60" s="797" t="s">
        <v>1142</v>
      </c>
      <c r="D60" s="775">
        <v>21</v>
      </c>
      <c r="E60" s="776">
        <f>[4]เรียงจังหวัด!Z199</f>
        <v>5772834</v>
      </c>
      <c r="F60" s="776">
        <f>102466</f>
        <v>102466</v>
      </c>
      <c r="G60" s="768">
        <f t="shared" si="9"/>
        <v>5670368</v>
      </c>
      <c r="H60" s="776">
        <f>+[4]เรียงจังหวัด!AA199</f>
        <v>2305982.5300000003</v>
      </c>
      <c r="I60" s="776">
        <f t="shared" si="6"/>
        <v>39.945415544600806</v>
      </c>
      <c r="J60" s="776">
        <f>+[4]เรียงจังหวัด!AB199</f>
        <v>1365362.44</v>
      </c>
      <c r="K60" s="768">
        <f t="shared" si="7"/>
        <v>3671344.97</v>
      </c>
      <c r="L60" s="768">
        <f t="shared" si="8"/>
        <v>63.596926050532552</v>
      </c>
      <c r="M60" s="769">
        <f t="shared" si="10"/>
        <v>1999023.0299999998</v>
      </c>
      <c r="N60" s="770">
        <f t="shared" si="5"/>
        <v>63.596926050532545</v>
      </c>
      <c r="O60" s="771"/>
    </row>
    <row r="61" spans="1:15" s="772" customFormat="1">
      <c r="A61" s="774">
        <v>53</v>
      </c>
      <c r="B61" s="796">
        <v>6700</v>
      </c>
      <c r="C61" s="797" t="s">
        <v>1163</v>
      </c>
      <c r="D61" s="775">
        <v>13</v>
      </c>
      <c r="E61" s="776">
        <f>[4]เรียงจังหวัด!Z220</f>
        <v>7872000</v>
      </c>
      <c r="F61" s="776"/>
      <c r="G61" s="768">
        <f t="shared" si="9"/>
        <v>7872000</v>
      </c>
      <c r="H61" s="776">
        <f>+[4]เรียงจังหวัด!AA220</f>
        <v>2125988.66</v>
      </c>
      <c r="I61" s="776">
        <f t="shared" si="6"/>
        <v>27.006969766260163</v>
      </c>
      <c r="J61" s="776">
        <f>+[4]เรียงจังหวัด!AB220</f>
        <v>2856454</v>
      </c>
      <c r="K61" s="768">
        <f t="shared" si="7"/>
        <v>4982442.66</v>
      </c>
      <c r="L61" s="768">
        <f t="shared" si="8"/>
        <v>63.293224847560978</v>
      </c>
      <c r="M61" s="769">
        <f t="shared" si="10"/>
        <v>2889557.34</v>
      </c>
      <c r="N61" s="770">
        <f t="shared" si="5"/>
        <v>63.293224847560978</v>
      </c>
      <c r="O61" s="771"/>
    </row>
    <row r="62" spans="1:15" s="772" customFormat="1">
      <c r="A62" s="774">
        <v>54</v>
      </c>
      <c r="B62" s="796">
        <v>7000</v>
      </c>
      <c r="C62" s="797" t="s">
        <v>905</v>
      </c>
      <c r="D62" s="775">
        <v>12</v>
      </c>
      <c r="E62" s="776">
        <f>[4]เรียงจังหวัด!Z64</f>
        <v>5474400</v>
      </c>
      <c r="F62" s="776"/>
      <c r="G62" s="768">
        <f t="shared" si="9"/>
        <v>5474400</v>
      </c>
      <c r="H62" s="776">
        <f>+[4]เรียงจังหวัด!AA64</f>
        <v>2798998.06</v>
      </c>
      <c r="I62" s="776">
        <f t="shared" si="6"/>
        <v>51.128855399678507</v>
      </c>
      <c r="J62" s="776">
        <f>+[4]เรียงจังหวัด!AB64</f>
        <v>612177.59</v>
      </c>
      <c r="K62" s="768">
        <f t="shared" si="7"/>
        <v>3411175.65</v>
      </c>
      <c r="L62" s="768">
        <f t="shared" si="8"/>
        <v>62.311406729504604</v>
      </c>
      <c r="M62" s="769">
        <f t="shared" si="10"/>
        <v>2063224.35</v>
      </c>
      <c r="N62" s="770">
        <f t="shared" si="5"/>
        <v>62.311406729504604</v>
      </c>
      <c r="O62" s="771"/>
    </row>
    <row r="63" spans="1:15" s="772" customFormat="1">
      <c r="A63" s="774">
        <v>55</v>
      </c>
      <c r="B63" s="796">
        <v>7100</v>
      </c>
      <c r="C63" s="797" t="s">
        <v>969</v>
      </c>
      <c r="D63" s="775">
        <v>25</v>
      </c>
      <c r="E63" s="776">
        <f>[4]เรียงจังหวัด!Z1087</f>
        <v>19990900</v>
      </c>
      <c r="F63" s="776">
        <f>24300+184400</f>
        <v>208700</v>
      </c>
      <c r="G63" s="768">
        <f t="shared" si="9"/>
        <v>19782200</v>
      </c>
      <c r="H63" s="776">
        <f>+[4]เรียงจังหวัด!AA1087</f>
        <v>9063976.3699999992</v>
      </c>
      <c r="I63" s="776">
        <f t="shared" si="6"/>
        <v>45.340511782861199</v>
      </c>
      <c r="J63" s="776">
        <f>+[4]เรียงจังหวัด!AB1087</f>
        <v>3218013.96</v>
      </c>
      <c r="K63" s="768">
        <f t="shared" si="7"/>
        <v>12281990.329999998</v>
      </c>
      <c r="L63" s="768">
        <f t="shared" si="8"/>
        <v>61.437905897183207</v>
      </c>
      <c r="M63" s="769">
        <f t="shared" si="10"/>
        <v>7500209.6700000018</v>
      </c>
      <c r="N63" s="770">
        <f t="shared" si="5"/>
        <v>61.437905897183207</v>
      </c>
      <c r="O63" s="771"/>
    </row>
    <row r="64" spans="1:15" s="772" customFormat="1">
      <c r="A64" s="774">
        <v>56</v>
      </c>
      <c r="B64" s="796">
        <v>7200</v>
      </c>
      <c r="C64" s="797" t="s">
        <v>906</v>
      </c>
      <c r="D64" s="775">
        <v>23</v>
      </c>
      <c r="E64" s="776">
        <f>[4]เรียงจังหวัด!Z756</f>
        <v>13048800</v>
      </c>
      <c r="F64" s="776">
        <f>180800</f>
        <v>180800</v>
      </c>
      <c r="G64" s="768">
        <f t="shared" si="9"/>
        <v>12868000</v>
      </c>
      <c r="H64" s="776">
        <f>+[4]เรียงจังหวัด!AA756</f>
        <v>6033837.6999999993</v>
      </c>
      <c r="I64" s="776">
        <f t="shared" si="6"/>
        <v>46.240556219729015</v>
      </c>
      <c r="J64" s="776">
        <f>+[4]เรียงจังหวัด!AB756</f>
        <v>1930870.67</v>
      </c>
      <c r="K64" s="768">
        <f t="shared" si="7"/>
        <v>7964708.3699999992</v>
      </c>
      <c r="L64" s="768">
        <f t="shared" si="8"/>
        <v>61.03786072282508</v>
      </c>
      <c r="M64" s="769">
        <f t="shared" si="10"/>
        <v>4903291.6300000008</v>
      </c>
      <c r="N64" s="770">
        <f t="shared" si="5"/>
        <v>61.03786072282508</v>
      </c>
      <c r="O64" s="771"/>
    </row>
    <row r="65" spans="1:15" s="772" customFormat="1">
      <c r="A65" s="774">
        <v>57</v>
      </c>
      <c r="B65" s="796">
        <v>7300</v>
      </c>
      <c r="C65" s="797" t="s">
        <v>1170</v>
      </c>
      <c r="D65" s="775">
        <v>23</v>
      </c>
      <c r="E65" s="776">
        <f>[4]เรียงจังหวัด!Z796</f>
        <v>6243200</v>
      </c>
      <c r="F65" s="776"/>
      <c r="G65" s="768">
        <f t="shared" si="9"/>
        <v>6243200</v>
      </c>
      <c r="H65" s="776">
        <f>+[4]เรียงจังหวัด!AA796</f>
        <v>2337524.2000000002</v>
      </c>
      <c r="I65" s="776">
        <f t="shared" si="6"/>
        <v>37.44112314197848</v>
      </c>
      <c r="J65" s="776">
        <f>+[4]เรียงจังหวัด!AB796</f>
        <v>1436657.8399999999</v>
      </c>
      <c r="K65" s="768">
        <f t="shared" si="7"/>
        <v>3774182.04</v>
      </c>
      <c r="L65" s="768">
        <f t="shared" si="8"/>
        <v>60.452685161455669</v>
      </c>
      <c r="M65" s="769">
        <f t="shared" si="10"/>
        <v>2469017.96</v>
      </c>
      <c r="N65" s="770">
        <f t="shared" si="5"/>
        <v>60.452685161455662</v>
      </c>
      <c r="O65" s="771"/>
    </row>
    <row r="66" spans="1:15" s="772" customFormat="1">
      <c r="A66" s="774">
        <v>58</v>
      </c>
      <c r="B66" s="796">
        <v>7400</v>
      </c>
      <c r="C66" s="797" t="s">
        <v>934</v>
      </c>
      <c r="D66" s="775">
        <v>11</v>
      </c>
      <c r="E66" s="776">
        <f>[4]เรียงจังหวัด!Z233+38500+12500</f>
        <v>10205600</v>
      </c>
      <c r="F66" s="776">
        <f>38500+12500</f>
        <v>51000</v>
      </c>
      <c r="G66" s="768">
        <f t="shared" si="9"/>
        <v>10154600</v>
      </c>
      <c r="H66" s="776">
        <f>+[4]เรียงจังหวัด!AA233</f>
        <v>3570282.3499999996</v>
      </c>
      <c r="I66" s="776">
        <f t="shared" si="6"/>
        <v>34.983561476052358</v>
      </c>
      <c r="J66" s="776">
        <f>+[4]เรียงจังหวัด!AB233</f>
        <v>2470400</v>
      </c>
      <c r="K66" s="768">
        <f t="shared" si="7"/>
        <v>6040682.3499999996</v>
      </c>
      <c r="L66" s="768">
        <f t="shared" si="8"/>
        <v>59.1898795759191</v>
      </c>
      <c r="M66" s="769">
        <f t="shared" si="10"/>
        <v>4113917.6500000004</v>
      </c>
      <c r="N66" s="770">
        <f t="shared" si="5"/>
        <v>59.1898795759191</v>
      </c>
      <c r="O66" s="771"/>
    </row>
    <row r="67" spans="1:15" s="772" customFormat="1">
      <c r="A67" s="774">
        <v>59</v>
      </c>
      <c r="B67" s="796">
        <v>7500</v>
      </c>
      <c r="C67" s="797" t="s">
        <v>1149</v>
      </c>
      <c r="D67" s="775">
        <v>33</v>
      </c>
      <c r="E67" s="776">
        <f>[4]เรียงจังหวัด!Z31</f>
        <v>12399200</v>
      </c>
      <c r="F67" s="776"/>
      <c r="G67" s="768">
        <f t="shared" si="9"/>
        <v>12399200</v>
      </c>
      <c r="H67" s="776">
        <f>+[4]เรียงจังหวัด!AA31</f>
        <v>2720809.4000000004</v>
      </c>
      <c r="I67" s="776">
        <f t="shared" si="6"/>
        <v>21.943426995290022</v>
      </c>
      <c r="J67" s="776">
        <f>+[4]เรียงจังหวัด!AB31</f>
        <v>4511829.6400000006</v>
      </c>
      <c r="K67" s="768">
        <f t="shared" si="7"/>
        <v>7232639.040000001</v>
      </c>
      <c r="L67" s="768">
        <f t="shared" si="8"/>
        <v>58.331497515968778</v>
      </c>
      <c r="M67" s="769">
        <f t="shared" si="10"/>
        <v>5166560.959999999</v>
      </c>
      <c r="N67" s="770">
        <f t="shared" si="5"/>
        <v>58.331497515968785</v>
      </c>
      <c r="O67" s="771"/>
    </row>
    <row r="68" spans="1:15" s="772" customFormat="1">
      <c r="A68" s="774">
        <v>60</v>
      </c>
      <c r="B68" s="796">
        <v>7600</v>
      </c>
      <c r="C68" s="797" t="s">
        <v>1165</v>
      </c>
      <c r="D68" s="775">
        <v>7</v>
      </c>
      <c r="E68" s="776">
        <f>[4]เรียงจังหวัด!Z1013</f>
        <v>2328400</v>
      </c>
      <c r="F68" s="776"/>
      <c r="G68" s="768">
        <f t="shared" si="9"/>
        <v>2328400</v>
      </c>
      <c r="H68" s="776">
        <f>+[4]เรียงจังหวัด!AA1013</f>
        <v>1275828.01</v>
      </c>
      <c r="I68" s="776">
        <f t="shared" si="6"/>
        <v>54.794193867033158</v>
      </c>
      <c r="J68" s="776">
        <f>+[4]เรียงจังหวัด!AB1013</f>
        <v>72800</v>
      </c>
      <c r="K68" s="768">
        <f t="shared" si="7"/>
        <v>1348628.01</v>
      </c>
      <c r="L68" s="768">
        <f t="shared" si="8"/>
        <v>57.920804415048963</v>
      </c>
      <c r="M68" s="769">
        <f t="shared" si="10"/>
        <v>979771.99</v>
      </c>
      <c r="N68" s="770">
        <f t="shared" si="5"/>
        <v>57.920804415048963</v>
      </c>
      <c r="O68" s="771"/>
    </row>
    <row r="69" spans="1:15" s="772" customFormat="1">
      <c r="A69" s="774">
        <v>61</v>
      </c>
      <c r="B69" s="796">
        <v>7700</v>
      </c>
      <c r="C69" s="797" t="s">
        <v>912</v>
      </c>
      <c r="D69" s="775">
        <v>18</v>
      </c>
      <c r="E69" s="776">
        <f>[4]เรียงจังหวัด!Z860</f>
        <v>4439600</v>
      </c>
      <c r="F69" s="776"/>
      <c r="G69" s="768">
        <f t="shared" si="9"/>
        <v>4439600</v>
      </c>
      <c r="H69" s="776">
        <f>+[4]เรียงจังหวัด!AA860</f>
        <v>1487864.4900000002</v>
      </c>
      <c r="I69" s="776">
        <f t="shared" si="6"/>
        <v>33.513480718983693</v>
      </c>
      <c r="J69" s="776">
        <f>+[4]เรียงจังหวัด!AB860</f>
        <v>1074024.93</v>
      </c>
      <c r="K69" s="768">
        <f t="shared" si="7"/>
        <v>2561889.42</v>
      </c>
      <c r="L69" s="768">
        <f t="shared" si="8"/>
        <v>57.705410847824126</v>
      </c>
      <c r="M69" s="769">
        <f t="shared" si="10"/>
        <v>1877710.58</v>
      </c>
      <c r="N69" s="770">
        <f t="shared" si="5"/>
        <v>57.705410847824126</v>
      </c>
      <c r="O69" s="771"/>
    </row>
    <row r="70" spans="1:15" s="772" customFormat="1">
      <c r="A70" s="774">
        <v>62</v>
      </c>
      <c r="B70" s="796">
        <v>8000</v>
      </c>
      <c r="C70" s="797" t="s">
        <v>939</v>
      </c>
      <c r="D70" s="775">
        <v>17</v>
      </c>
      <c r="E70" s="776">
        <f>[4]เรียงจังหวัด!Z950</f>
        <v>19459200</v>
      </c>
      <c r="F70" s="776"/>
      <c r="G70" s="768">
        <f t="shared" si="9"/>
        <v>19459200</v>
      </c>
      <c r="H70" s="776">
        <f>+[4]เรียงจังหวัด!AA950</f>
        <v>4651329.3000000007</v>
      </c>
      <c r="I70" s="776">
        <f t="shared" si="6"/>
        <v>23.902983164775534</v>
      </c>
      <c r="J70" s="776">
        <f>+[4]เรียงจังหวัด!AB950</f>
        <v>6333567.3700000001</v>
      </c>
      <c r="K70" s="768">
        <f t="shared" si="7"/>
        <v>10984896.670000002</v>
      </c>
      <c r="L70" s="768">
        <f t="shared" si="8"/>
        <v>56.45091612193719</v>
      </c>
      <c r="M70" s="769">
        <f t="shared" si="10"/>
        <v>8474303.3299999982</v>
      </c>
      <c r="N70" s="770">
        <f t="shared" si="5"/>
        <v>56.45091612193719</v>
      </c>
      <c r="O70" s="771"/>
    </row>
    <row r="71" spans="1:15" s="772" customFormat="1">
      <c r="A71" s="774">
        <v>63</v>
      </c>
      <c r="B71" s="796">
        <v>8100</v>
      </c>
      <c r="C71" s="797" t="s">
        <v>1166</v>
      </c>
      <c r="D71" s="775">
        <v>15</v>
      </c>
      <c r="E71" s="776">
        <f>[4]เรียงจังหวัด!Z1144</f>
        <v>4434800</v>
      </c>
      <c r="F71" s="776">
        <f>135600</f>
        <v>135600</v>
      </c>
      <c r="G71" s="768">
        <f t="shared" si="9"/>
        <v>4299200</v>
      </c>
      <c r="H71" s="776">
        <f>+[4]เรียงจังหวัด!AA1144</f>
        <v>1310657.24</v>
      </c>
      <c r="I71" s="776">
        <f t="shared" si="6"/>
        <v>29.553919906196448</v>
      </c>
      <c r="J71" s="776">
        <f>+[4]เรียงจังหวัด!AB1144</f>
        <v>1105533.5</v>
      </c>
      <c r="K71" s="768">
        <f t="shared" si="7"/>
        <v>2416190.7400000002</v>
      </c>
      <c r="L71" s="768">
        <f t="shared" si="8"/>
        <v>54.482518715612883</v>
      </c>
      <c r="M71" s="769">
        <f t="shared" si="10"/>
        <v>1883009.2599999998</v>
      </c>
      <c r="N71" s="770">
        <f t="shared" si="5"/>
        <v>54.482518715612883</v>
      </c>
      <c r="O71" s="771"/>
    </row>
    <row r="72" spans="1:15" s="772" customFormat="1">
      <c r="A72" s="774">
        <v>64</v>
      </c>
      <c r="B72" s="796">
        <v>8200</v>
      </c>
      <c r="C72" s="797" t="s">
        <v>1151</v>
      </c>
      <c r="D72" s="775">
        <v>14</v>
      </c>
      <c r="E72" s="776">
        <f>[4]เรียงจังหวัด!Z936</f>
        <v>5662200</v>
      </c>
      <c r="F72" s="776"/>
      <c r="G72" s="768">
        <f t="shared" si="9"/>
        <v>5662200</v>
      </c>
      <c r="H72" s="776">
        <f>+[4]เรียงจังหวัด!AA936</f>
        <v>2794347.66</v>
      </c>
      <c r="I72" s="776">
        <f t="shared" ref="I72:I84" si="11">H72/E72*100</f>
        <v>49.350917664512025</v>
      </c>
      <c r="J72" s="776">
        <f>+[4]เรียงจังหวัด!AB936</f>
        <v>227320</v>
      </c>
      <c r="K72" s="768">
        <f t="shared" ref="K72:K84" si="12">H72+J72</f>
        <v>3021667.66</v>
      </c>
      <c r="L72" s="768">
        <f t="shared" ref="L72:L84" si="13">K72/E72*100</f>
        <v>53.365611599731558</v>
      </c>
      <c r="M72" s="769">
        <f t="shared" si="10"/>
        <v>2640532.34</v>
      </c>
      <c r="N72" s="770">
        <f t="shared" si="5"/>
        <v>53.365611599731551</v>
      </c>
      <c r="O72" s="771"/>
    </row>
    <row r="73" spans="1:15" s="772" customFormat="1">
      <c r="A73" s="774">
        <v>65</v>
      </c>
      <c r="B73" s="796">
        <v>8300</v>
      </c>
      <c r="C73" s="797" t="s">
        <v>909</v>
      </c>
      <c r="D73" s="775">
        <v>7</v>
      </c>
      <c r="E73" s="776">
        <f>[4]เรียงจังหวัด!Z1291</f>
        <v>2503359</v>
      </c>
      <c r="F73" s="776"/>
      <c r="G73" s="768">
        <f t="shared" ref="G73:G84" si="14">E73-F73</f>
        <v>2503359</v>
      </c>
      <c r="H73" s="776">
        <f>+[4]เรียงจังหวัด!AA1291</f>
        <v>1059542.1599999999</v>
      </c>
      <c r="I73" s="776">
        <f t="shared" si="11"/>
        <v>42.324818773495927</v>
      </c>
      <c r="J73" s="776">
        <f>+[4]เรียงจังหวัด!AB1291</f>
        <v>208000</v>
      </c>
      <c r="K73" s="768">
        <f t="shared" si="12"/>
        <v>1267542.1599999999</v>
      </c>
      <c r="L73" s="768">
        <f t="shared" si="13"/>
        <v>50.633655021113633</v>
      </c>
      <c r="M73" s="769">
        <f t="shared" ref="M73:M84" si="15">+G73-K73</f>
        <v>1235816.8400000001</v>
      </c>
      <c r="N73" s="770">
        <f t="shared" si="5"/>
        <v>50.633655021113626</v>
      </c>
      <c r="O73" s="771"/>
    </row>
    <row r="74" spans="1:15" s="772" customFormat="1">
      <c r="A74" s="774">
        <v>66</v>
      </c>
      <c r="B74" s="796">
        <v>8400</v>
      </c>
      <c r="C74" s="797" t="s">
        <v>1156</v>
      </c>
      <c r="D74" s="775">
        <v>53</v>
      </c>
      <c r="E74" s="776">
        <f>[4]เรียงจังหวัด!Z517</f>
        <v>25335115.350000001</v>
      </c>
      <c r="F74" s="776"/>
      <c r="G74" s="768">
        <f t="shared" si="14"/>
        <v>25335115.350000001</v>
      </c>
      <c r="H74" s="776">
        <f>+[4]เรียงจังหวัด!AA517</f>
        <v>10533828.440000001</v>
      </c>
      <c r="I74" s="776">
        <f t="shared" si="11"/>
        <v>41.57797702705151</v>
      </c>
      <c r="J74" s="776">
        <f>+[4]เรียงจังหวัด!AB517</f>
        <v>2167143.8200000003</v>
      </c>
      <c r="K74" s="768">
        <f t="shared" si="12"/>
        <v>12700972.260000002</v>
      </c>
      <c r="L74" s="768">
        <f t="shared" si="13"/>
        <v>50.131890400096403</v>
      </c>
      <c r="M74" s="769">
        <f t="shared" si="15"/>
        <v>12634143.09</v>
      </c>
      <c r="N74" s="770">
        <f t="shared" ref="N74:N84" si="16">+K74*100/E74</f>
        <v>50.13189040009641</v>
      </c>
      <c r="O74" s="771"/>
    </row>
    <row r="75" spans="1:15" s="772" customFormat="1">
      <c r="A75" s="774">
        <v>67</v>
      </c>
      <c r="B75" s="796">
        <v>8500</v>
      </c>
      <c r="C75" s="797" t="s">
        <v>1172</v>
      </c>
      <c r="D75" s="775">
        <v>3</v>
      </c>
      <c r="E75" s="776">
        <f>[4]เรียงจังหวัด!Z1136</f>
        <v>343600</v>
      </c>
      <c r="F75" s="776">
        <f>135600</f>
        <v>135600</v>
      </c>
      <c r="G75" s="768">
        <f t="shared" si="14"/>
        <v>208000</v>
      </c>
      <c r="H75" s="776">
        <f>+[4]เรียงจังหวัด!AA1136</f>
        <v>0</v>
      </c>
      <c r="I75" s="776">
        <f t="shared" si="11"/>
        <v>0</v>
      </c>
      <c r="J75" s="776">
        <f>+[4]เรียงจังหวัด!AB1136</f>
        <v>145964.42000000001</v>
      </c>
      <c r="K75" s="768">
        <f t="shared" si="12"/>
        <v>145964.42000000001</v>
      </c>
      <c r="L75" s="768">
        <f t="shared" si="13"/>
        <v>42.480913853317816</v>
      </c>
      <c r="M75" s="769">
        <f t="shared" si="15"/>
        <v>62035.579999999987</v>
      </c>
      <c r="N75" s="770">
        <f t="shared" si="16"/>
        <v>42.480913853317816</v>
      </c>
      <c r="O75" s="771"/>
    </row>
    <row r="76" spans="1:15" s="772" customFormat="1">
      <c r="A76" s="781">
        <v>68</v>
      </c>
      <c r="B76" s="801">
        <v>8600</v>
      </c>
      <c r="C76" s="802" t="s">
        <v>944</v>
      </c>
      <c r="D76" s="782">
        <v>10</v>
      </c>
      <c r="E76" s="783">
        <f>[4]เรียงจังหวัด!Z1281</f>
        <v>3371500</v>
      </c>
      <c r="F76" s="783">
        <f>100+400+22544</f>
        <v>23044</v>
      </c>
      <c r="G76" s="768">
        <f t="shared" si="14"/>
        <v>3348456</v>
      </c>
      <c r="H76" s="783">
        <f>+[4]เรียงจังหวัด!AA1281</f>
        <v>914600.3</v>
      </c>
      <c r="I76" s="783">
        <f t="shared" si="11"/>
        <v>27.127400266943496</v>
      </c>
      <c r="J76" s="783">
        <f>+[4]เรียงจังหวัด!AB1281</f>
        <v>501061</v>
      </c>
      <c r="K76" s="783">
        <f t="shared" si="12"/>
        <v>1415661.3</v>
      </c>
      <c r="L76" s="783">
        <f t="shared" si="13"/>
        <v>41.989064214741212</v>
      </c>
      <c r="M76" s="769">
        <f t="shared" si="15"/>
        <v>1932794.7</v>
      </c>
      <c r="N76" s="770">
        <f t="shared" si="16"/>
        <v>41.989064214741212</v>
      </c>
      <c r="O76" s="771"/>
    </row>
    <row r="77" spans="1:15" s="772" customFormat="1">
      <c r="A77" s="784">
        <v>69</v>
      </c>
      <c r="B77" s="803">
        <v>9000</v>
      </c>
      <c r="C77" s="804" t="s">
        <v>1171</v>
      </c>
      <c r="D77" s="785">
        <v>15</v>
      </c>
      <c r="E77" s="786">
        <f>[4]เรียงจังหวัด!Z781</f>
        <v>7328200</v>
      </c>
      <c r="F77" s="786">
        <f>19200</f>
        <v>19200</v>
      </c>
      <c r="G77" s="768">
        <f t="shared" si="14"/>
        <v>7309000</v>
      </c>
      <c r="H77" s="786">
        <f>+[4]เรียงจังหวัด!AA781</f>
        <v>2724143.1900000004</v>
      </c>
      <c r="I77" s="786">
        <f t="shared" si="11"/>
        <v>37.173428536339081</v>
      </c>
      <c r="J77" s="786">
        <f>+[4]เรียงจังหวัด!AB781</f>
        <v>123300</v>
      </c>
      <c r="K77" s="786">
        <f t="shared" si="12"/>
        <v>2847443.1900000004</v>
      </c>
      <c r="L77" s="786">
        <f t="shared" si="13"/>
        <v>38.855969951693467</v>
      </c>
      <c r="M77" s="769">
        <f t="shared" si="15"/>
        <v>4461556.8099999996</v>
      </c>
      <c r="N77" s="770">
        <f t="shared" si="16"/>
        <v>38.855969951693467</v>
      </c>
      <c r="O77" s="771"/>
    </row>
    <row r="78" spans="1:15" s="772" customFormat="1">
      <c r="A78" s="774">
        <v>70</v>
      </c>
      <c r="B78" s="796">
        <v>9100</v>
      </c>
      <c r="C78" s="797" t="s">
        <v>1152</v>
      </c>
      <c r="D78" s="775">
        <v>5</v>
      </c>
      <c r="E78" s="776">
        <f>[4]เรียงจังหวัด!Z1139+32000.34</f>
        <v>1419600</v>
      </c>
      <c r="F78" s="776">
        <f>32000.34+768400</f>
        <v>800400.34</v>
      </c>
      <c r="G78" s="768">
        <f t="shared" si="14"/>
        <v>619199.66</v>
      </c>
      <c r="H78" s="776">
        <f>+[4]เรียงจังหวัด!AA1139</f>
        <v>365999.66</v>
      </c>
      <c r="I78" s="776">
        <f t="shared" si="11"/>
        <v>25.781886446886443</v>
      </c>
      <c r="J78" s="776">
        <f>+[4]เรียงจังหวัด!AB1139</f>
        <v>104000</v>
      </c>
      <c r="K78" s="768">
        <f t="shared" si="12"/>
        <v>469999.66</v>
      </c>
      <c r="L78" s="768">
        <f t="shared" si="13"/>
        <v>33.107893772893767</v>
      </c>
      <c r="M78" s="769">
        <f t="shared" si="15"/>
        <v>149200.00000000006</v>
      </c>
      <c r="N78" s="770">
        <f t="shared" si="16"/>
        <v>33.107893772893775</v>
      </c>
      <c r="O78" s="771"/>
    </row>
    <row r="79" spans="1:15" s="772" customFormat="1">
      <c r="A79" s="774">
        <v>71</v>
      </c>
      <c r="B79" s="796">
        <v>9200</v>
      </c>
      <c r="C79" s="797" t="s">
        <v>933</v>
      </c>
      <c r="D79" s="775">
        <v>8</v>
      </c>
      <c r="E79" s="776">
        <v>1401600</v>
      </c>
      <c r="F79" s="776">
        <v>746000</v>
      </c>
      <c r="G79" s="768">
        <f t="shared" si="14"/>
        <v>655600</v>
      </c>
      <c r="H79" s="776">
        <f>+[4]เรียงจังหวัด!AA23</f>
        <v>424679</v>
      </c>
      <c r="I79" s="776">
        <f t="shared" si="11"/>
        <v>30.299586187214611</v>
      </c>
      <c r="J79" s="776">
        <f>+[4]เรียงจังหวัด!AB23</f>
        <v>0</v>
      </c>
      <c r="K79" s="768">
        <f t="shared" si="12"/>
        <v>424679</v>
      </c>
      <c r="L79" s="768">
        <f t="shared" si="13"/>
        <v>30.299586187214611</v>
      </c>
      <c r="M79" s="769">
        <f t="shared" si="15"/>
        <v>230921</v>
      </c>
      <c r="N79" s="770">
        <f t="shared" si="16"/>
        <v>30.299586187214611</v>
      </c>
      <c r="O79" s="771"/>
    </row>
    <row r="80" spans="1:15" s="772" customFormat="1">
      <c r="A80" s="774">
        <v>72</v>
      </c>
      <c r="B80" s="796">
        <v>9300</v>
      </c>
      <c r="C80" s="797" t="s">
        <v>941</v>
      </c>
      <c r="D80" s="775">
        <v>26</v>
      </c>
      <c r="E80" s="776">
        <f>[4]เรียงจังหวัด!Z1061</f>
        <v>5650400</v>
      </c>
      <c r="F80" s="776">
        <f>4000+1934800</f>
        <v>1938800</v>
      </c>
      <c r="G80" s="768">
        <f t="shared" si="14"/>
        <v>3711600</v>
      </c>
      <c r="H80" s="776">
        <f>+[4]เรียงจังหวัด!AA1061</f>
        <v>1053258.8</v>
      </c>
      <c r="I80" s="776">
        <f t="shared" si="11"/>
        <v>18.640428996177263</v>
      </c>
      <c r="J80" s="776">
        <f>+[4]เรียงจังหวัด!AB1061</f>
        <v>510200</v>
      </c>
      <c r="K80" s="768">
        <f t="shared" si="12"/>
        <v>1563458.8</v>
      </c>
      <c r="L80" s="768">
        <f t="shared" si="13"/>
        <v>27.669878238708769</v>
      </c>
      <c r="M80" s="769">
        <f t="shared" si="15"/>
        <v>2148141.2000000002</v>
      </c>
      <c r="N80" s="770">
        <f t="shared" si="16"/>
        <v>27.669878238708765</v>
      </c>
      <c r="O80" s="771"/>
    </row>
    <row r="81" spans="1:15" s="772" customFormat="1">
      <c r="A81" s="774">
        <v>73</v>
      </c>
      <c r="B81" s="796">
        <v>9400</v>
      </c>
      <c r="C81" s="797" t="s">
        <v>1160</v>
      </c>
      <c r="D81" s="775">
        <v>5</v>
      </c>
      <c r="E81" s="776">
        <f>[4]เรียงจังหวัด!Z17</f>
        <v>330000</v>
      </c>
      <c r="F81" s="776">
        <f>239600</f>
        <v>239600</v>
      </c>
      <c r="G81" s="768">
        <f t="shared" si="14"/>
        <v>90400</v>
      </c>
      <c r="H81" s="776">
        <f>+[4]เรียงจังหวัด!AA17</f>
        <v>45200</v>
      </c>
      <c r="I81" s="776">
        <f t="shared" si="11"/>
        <v>13.696969696969695</v>
      </c>
      <c r="J81" s="776">
        <f>+[4]เรียงจังหวัด!AB17</f>
        <v>36000</v>
      </c>
      <c r="K81" s="768">
        <f t="shared" si="12"/>
        <v>81200</v>
      </c>
      <c r="L81" s="768">
        <f t="shared" si="13"/>
        <v>24.606060606060606</v>
      </c>
      <c r="M81" s="769">
        <f t="shared" si="15"/>
        <v>9200</v>
      </c>
      <c r="N81" s="770">
        <f t="shared" si="16"/>
        <v>24.606060606060606</v>
      </c>
      <c r="O81" s="771"/>
    </row>
    <row r="82" spans="1:15" s="772" customFormat="1">
      <c r="A82" s="774">
        <v>74</v>
      </c>
      <c r="B82" s="796">
        <v>9500</v>
      </c>
      <c r="C82" s="797" t="s">
        <v>1157</v>
      </c>
      <c r="D82" s="775">
        <v>18</v>
      </c>
      <c r="E82" s="776">
        <f>[4]เรียงจังหวัด!Z172</f>
        <v>4628600</v>
      </c>
      <c r="F82" s="776"/>
      <c r="G82" s="768">
        <f t="shared" si="14"/>
        <v>4628600</v>
      </c>
      <c r="H82" s="776">
        <f>[4]เรียงจังหวัด!AA172</f>
        <v>616420.74000000011</v>
      </c>
      <c r="I82" s="776">
        <f t="shared" si="11"/>
        <v>13.317649829322043</v>
      </c>
      <c r="J82" s="776">
        <f>[4]เรียงจังหวัด!AB172</f>
        <v>485000</v>
      </c>
      <c r="K82" s="768">
        <f t="shared" si="12"/>
        <v>1101420.7400000002</v>
      </c>
      <c r="L82" s="768">
        <f t="shared" si="13"/>
        <v>23.795980209998707</v>
      </c>
      <c r="M82" s="769">
        <f t="shared" si="15"/>
        <v>3527179.26</v>
      </c>
      <c r="N82" s="770">
        <f t="shared" si="16"/>
        <v>23.79598020999871</v>
      </c>
      <c r="O82" s="771"/>
    </row>
    <row r="83" spans="1:15" s="772" customFormat="1">
      <c r="A83" s="774">
        <v>75</v>
      </c>
      <c r="B83" s="796">
        <v>9600</v>
      </c>
      <c r="C83" s="797" t="s">
        <v>1159</v>
      </c>
      <c r="D83" s="775">
        <v>13</v>
      </c>
      <c r="E83" s="776">
        <f>[4]เรียงจังหวัด!Z1123</f>
        <v>3734400</v>
      </c>
      <c r="F83" s="776"/>
      <c r="G83" s="768">
        <f t="shared" si="14"/>
        <v>3734400</v>
      </c>
      <c r="H83" s="776">
        <f>+[4]เรียงจังหวัด!AA1123</f>
        <v>395235.62</v>
      </c>
      <c r="I83" s="776">
        <f t="shared" si="11"/>
        <v>10.583644494430162</v>
      </c>
      <c r="J83" s="776">
        <f>+[4]เรียงจังหวัด!AB1123</f>
        <v>264486.59999999998</v>
      </c>
      <c r="K83" s="768">
        <f t="shared" si="12"/>
        <v>659722.22</v>
      </c>
      <c r="L83" s="768">
        <f t="shared" si="13"/>
        <v>17.666083440445586</v>
      </c>
      <c r="M83" s="769">
        <f t="shared" si="15"/>
        <v>3074677.7800000003</v>
      </c>
      <c r="N83" s="770">
        <f t="shared" si="16"/>
        <v>17.666083440445586</v>
      </c>
      <c r="O83" s="771"/>
    </row>
    <row r="84" spans="1:15" s="772" customFormat="1">
      <c r="A84" s="774">
        <v>76</v>
      </c>
      <c r="B84" s="796">
        <v>3800</v>
      </c>
      <c r="C84" s="797" t="s">
        <v>932</v>
      </c>
      <c r="D84" s="775">
        <v>8</v>
      </c>
      <c r="E84" s="776">
        <f>[4]เรียงจังหวัด!Z7</f>
        <v>1853600</v>
      </c>
      <c r="F84" s="776">
        <v>90400</v>
      </c>
      <c r="G84" s="768">
        <f t="shared" si="14"/>
        <v>1763200</v>
      </c>
      <c r="H84" s="776">
        <f>+[4]เรียงจังหวัด!AA7</f>
        <v>0</v>
      </c>
      <c r="I84" s="776">
        <f t="shared" si="11"/>
        <v>0</v>
      </c>
      <c r="J84" s="776">
        <f>+[4]เรียงจังหวัด!AB7</f>
        <v>0</v>
      </c>
      <c r="K84" s="768">
        <f t="shared" si="12"/>
        <v>0</v>
      </c>
      <c r="L84" s="768">
        <f t="shared" si="13"/>
        <v>0</v>
      </c>
      <c r="M84" s="769">
        <f t="shared" si="15"/>
        <v>1763200</v>
      </c>
      <c r="N84" s="770">
        <f t="shared" si="16"/>
        <v>0</v>
      </c>
      <c r="O84" s="771"/>
    </row>
    <row r="85" spans="1:15">
      <c r="A85" s="787"/>
      <c r="B85" s="781"/>
      <c r="C85" s="805"/>
      <c r="D85" s="788"/>
      <c r="E85" s="789"/>
      <c r="F85" s="789"/>
      <c r="G85" s="789"/>
      <c r="H85" s="789"/>
      <c r="I85" s="789"/>
      <c r="J85" s="789"/>
      <c r="K85" s="789"/>
      <c r="L85" s="789"/>
      <c r="M85" s="788"/>
      <c r="N85" s="788"/>
      <c r="O85" s="790"/>
    </row>
    <row r="86" spans="1:15">
      <c r="A86" s="791"/>
      <c r="B86" s="806"/>
      <c r="C86" s="807"/>
      <c r="D86" s="792"/>
      <c r="E86" s="793"/>
      <c r="F86" s="793"/>
      <c r="G86" s="793"/>
      <c r="H86" s="793"/>
      <c r="I86" s="793"/>
      <c r="J86" s="793"/>
      <c r="K86" s="793"/>
      <c r="L86" s="793"/>
      <c r="M86" s="792"/>
      <c r="O86" s="790"/>
    </row>
  </sheetData>
  <sortState xmlns:xlrd2="http://schemas.microsoft.com/office/spreadsheetml/2017/richdata2" ref="C9:M84">
    <sortCondition descending="1" ref="L9:L84"/>
  </sortState>
  <mergeCells count="14">
    <mergeCell ref="J4:J6"/>
    <mergeCell ref="K4:L6"/>
    <mergeCell ref="M4:M7"/>
    <mergeCell ref="N4:N6"/>
    <mergeCell ref="A1:M1"/>
    <mergeCell ref="A2:M2"/>
    <mergeCell ref="A4:A8"/>
    <mergeCell ref="B4:B6"/>
    <mergeCell ref="C4:C7"/>
    <mergeCell ref="D4:D7"/>
    <mergeCell ref="E4:E7"/>
    <mergeCell ref="F4:F7"/>
    <mergeCell ref="G4:G7"/>
    <mergeCell ref="H4:I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EC52-5ADD-418A-BB2C-A7A455A2B2E6}">
  <sheetPr>
    <tabColor theme="7" tint="0.39997558519241921"/>
  </sheetPr>
  <dimension ref="A1:S20"/>
  <sheetViews>
    <sheetView zoomScale="70" zoomScaleNormal="70" workbookViewId="0">
      <pane xSplit="2" ySplit="6" topLeftCell="C16" activePane="bottomRight" state="frozen"/>
      <selection activeCell="W15" sqref="W15"/>
      <selection pane="topRight" activeCell="W15" sqref="W15"/>
      <selection pane="bottomLeft" activeCell="W15" sqref="W15"/>
      <selection pane="bottomRight" activeCell="O22" sqref="O22"/>
    </sheetView>
  </sheetViews>
  <sheetFormatPr defaultRowHeight="24"/>
  <cols>
    <col min="1" max="1" width="6.42578125" style="905" customWidth="1"/>
    <col min="2" max="2" width="29.85546875" style="906" customWidth="1"/>
    <col min="3" max="3" width="11" style="905" customWidth="1"/>
    <col min="4" max="4" width="19" style="907" customWidth="1"/>
    <col min="5" max="5" width="16.42578125" style="907" customWidth="1"/>
    <col min="6" max="6" width="16.42578125" style="908" hidden="1" customWidth="1"/>
    <col min="7" max="7" width="18.5703125" style="907" customWidth="1"/>
    <col min="8" max="8" width="19" style="907" customWidth="1"/>
    <col min="9" max="9" width="12.7109375" style="907" customWidth="1"/>
    <col min="10" max="10" width="19.42578125" style="907" customWidth="1"/>
    <col min="11" max="11" width="19.140625" style="907" customWidth="1"/>
    <col min="12" max="12" width="11.7109375" style="907" customWidth="1"/>
    <col min="13" max="13" width="21.28515625" style="907" customWidth="1"/>
    <col min="14" max="14" width="19.28515625" style="909" hidden="1" customWidth="1"/>
    <col min="15" max="15" width="23.28515625" style="883" customWidth="1"/>
    <col min="16" max="16" width="17.42578125" style="676" bestFit="1" customWidth="1"/>
    <col min="17" max="18" width="14" style="676" bestFit="1" customWidth="1"/>
    <col min="19" max="16384" width="9.140625" style="883"/>
  </cols>
  <sheetData>
    <row r="1" spans="1:19" s="882" customFormat="1" ht="30.75" customHeight="1">
      <c r="A1" s="2268" t="s">
        <v>6048</v>
      </c>
      <c r="B1" s="2268"/>
      <c r="C1" s="2268"/>
      <c r="D1" s="2268"/>
      <c r="E1" s="2268"/>
      <c r="F1" s="2268"/>
      <c r="G1" s="2268"/>
      <c r="H1" s="2268"/>
      <c r="I1" s="2268"/>
      <c r="J1" s="2268"/>
      <c r="K1" s="2268"/>
      <c r="L1" s="2268"/>
      <c r="M1" s="2268"/>
      <c r="P1" s="676"/>
      <c r="Q1" s="676"/>
      <c r="R1" s="676"/>
      <c r="S1" s="883"/>
    </row>
    <row r="2" spans="1:19" s="882" customFormat="1" ht="30.75" customHeight="1">
      <c r="A2" s="2268" t="s">
        <v>836</v>
      </c>
      <c r="B2" s="2268"/>
      <c r="C2" s="2268"/>
      <c r="D2" s="2268"/>
      <c r="E2" s="2268"/>
      <c r="F2" s="2268"/>
      <c r="G2" s="2268"/>
      <c r="H2" s="2268"/>
      <c r="I2" s="2268"/>
      <c r="J2" s="2268"/>
      <c r="K2" s="2268"/>
      <c r="L2" s="2268"/>
      <c r="M2" s="2268"/>
      <c r="P2" s="884"/>
      <c r="Q2" s="884"/>
      <c r="R2" s="884"/>
      <c r="S2" s="883"/>
    </row>
    <row r="3" spans="1:19" s="882" customFormat="1" ht="30.75" customHeight="1">
      <c r="A3" s="2268" t="str">
        <f>[10]งบลงทุน!A2</f>
        <v xml:space="preserve">ข้อมูลสะสมตั้งแต่วันที่ 1 ตุลาคม 2566  ถึงวันที่  15 กันยายน 2567 </v>
      </c>
      <c r="B3" s="2268"/>
      <c r="C3" s="2268"/>
      <c r="D3" s="2268"/>
      <c r="E3" s="2268"/>
      <c r="F3" s="2268"/>
      <c r="G3" s="2268"/>
      <c r="H3" s="2268"/>
      <c r="I3" s="2268"/>
      <c r="J3" s="2268"/>
      <c r="K3" s="2268"/>
      <c r="L3" s="2268"/>
      <c r="M3" s="2268"/>
      <c r="P3" s="676"/>
      <c r="Q3" s="676"/>
      <c r="R3" s="676"/>
      <c r="S3" s="883"/>
    </row>
    <row r="4" spans="1:19" s="885" customFormat="1" ht="34.5" customHeight="1">
      <c r="A4" s="2269" t="s">
        <v>376</v>
      </c>
      <c r="B4" s="2269" t="s">
        <v>899</v>
      </c>
      <c r="C4" s="2270" t="s">
        <v>3</v>
      </c>
      <c r="D4" s="2273" t="s">
        <v>837</v>
      </c>
      <c r="E4" s="2274"/>
      <c r="F4" s="2274"/>
      <c r="G4" s="2275"/>
      <c r="H4" s="2269" t="s">
        <v>272</v>
      </c>
      <c r="I4" s="2269"/>
      <c r="J4" s="2276" t="s">
        <v>851</v>
      </c>
      <c r="K4" s="2277" t="s">
        <v>4556</v>
      </c>
      <c r="L4" s="2277"/>
      <c r="M4" s="2277" t="s">
        <v>4</v>
      </c>
      <c r="N4" s="2278" t="s">
        <v>1148</v>
      </c>
      <c r="P4" s="886"/>
      <c r="Q4" s="886"/>
      <c r="R4" s="676"/>
      <c r="S4" s="887"/>
    </row>
    <row r="5" spans="1:19" s="885" customFormat="1" ht="21" customHeight="1">
      <c r="A5" s="2269"/>
      <c r="B5" s="2269"/>
      <c r="C5" s="2271"/>
      <c r="D5" s="2277" t="s">
        <v>901</v>
      </c>
      <c r="E5" s="2277" t="s">
        <v>902</v>
      </c>
      <c r="F5" s="2280" t="s">
        <v>4443</v>
      </c>
      <c r="G5" s="2282" t="s">
        <v>2</v>
      </c>
      <c r="H5" s="2277" t="s">
        <v>803</v>
      </c>
      <c r="I5" s="2277" t="s">
        <v>12</v>
      </c>
      <c r="J5" s="2277"/>
      <c r="K5" s="2277" t="s">
        <v>803</v>
      </c>
      <c r="L5" s="2277" t="s">
        <v>12</v>
      </c>
      <c r="M5" s="2277"/>
      <c r="N5" s="2279"/>
      <c r="P5" s="886"/>
      <c r="Q5" s="886"/>
      <c r="R5" s="676"/>
      <c r="S5" s="887"/>
    </row>
    <row r="6" spans="1:19" s="885" customFormat="1" ht="31.5" customHeight="1">
      <c r="A6" s="2269"/>
      <c r="B6" s="2269"/>
      <c r="C6" s="2272"/>
      <c r="D6" s="2277"/>
      <c r="E6" s="2277"/>
      <c r="F6" s="2281"/>
      <c r="G6" s="2283"/>
      <c r="H6" s="2277"/>
      <c r="I6" s="2277"/>
      <c r="J6" s="2277"/>
      <c r="K6" s="2277"/>
      <c r="L6" s="2277"/>
      <c r="M6" s="2277"/>
      <c r="N6" s="2279"/>
      <c r="P6" s="886"/>
      <c r="Q6" s="886"/>
      <c r="R6" s="676"/>
      <c r="S6" s="887"/>
    </row>
    <row r="7" spans="1:19" s="885" customFormat="1" ht="30" customHeight="1" thickBot="1">
      <c r="A7" s="888"/>
      <c r="B7" s="888" t="s">
        <v>1137</v>
      </c>
      <c r="C7" s="888">
        <f>C8</f>
        <v>27</v>
      </c>
      <c r="D7" s="889">
        <f>+D8</f>
        <v>4561900</v>
      </c>
      <c r="E7" s="889">
        <f>+E8</f>
        <v>0</v>
      </c>
      <c r="F7" s="890"/>
      <c r="G7" s="889">
        <f>+G8</f>
        <v>4561900</v>
      </c>
      <c r="H7" s="889">
        <f>+H8</f>
        <v>2488900</v>
      </c>
      <c r="I7" s="889">
        <f>+H7*100/G7</f>
        <v>54.558407681010102</v>
      </c>
      <c r="J7" s="889">
        <f>+J8</f>
        <v>2073000</v>
      </c>
      <c r="K7" s="889">
        <f>+K8</f>
        <v>4561900</v>
      </c>
      <c r="L7" s="889">
        <f>+K7*100/G7</f>
        <v>100</v>
      </c>
      <c r="M7" s="889">
        <f>+G7-K7</f>
        <v>0</v>
      </c>
      <c r="N7" s="891"/>
      <c r="P7" s="886"/>
      <c r="Q7" s="886"/>
      <c r="R7" s="676"/>
      <c r="S7" s="887"/>
    </row>
    <row r="8" spans="1:19" s="896" customFormat="1" ht="30" customHeight="1" thickTop="1">
      <c r="A8" s="892"/>
      <c r="B8" s="892" t="s">
        <v>930</v>
      </c>
      <c r="C8" s="892">
        <f>SUM(C9:C19)</f>
        <v>27</v>
      </c>
      <c r="D8" s="893">
        <f>SUM(D9:D19)</f>
        <v>4561900</v>
      </c>
      <c r="E8" s="893">
        <f>SUM(E9:E19)</f>
        <v>0</v>
      </c>
      <c r="F8" s="894"/>
      <c r="G8" s="893">
        <f>SUM(G9:G19)</f>
        <v>4561900</v>
      </c>
      <c r="H8" s="893">
        <f>SUM(H9:H19)</f>
        <v>2488900</v>
      </c>
      <c r="I8" s="893">
        <f>+H8*100/G8</f>
        <v>54.558407681010102</v>
      </c>
      <c r="J8" s="893">
        <f>SUM(J9:J19)</f>
        <v>2073000</v>
      </c>
      <c r="K8" s="893">
        <f>SUM(K9:K19)</f>
        <v>4561900</v>
      </c>
      <c r="L8" s="893">
        <f>+K8*100/G8</f>
        <v>100</v>
      </c>
      <c r="M8" s="893">
        <f>+G8-K8</f>
        <v>0</v>
      </c>
      <c r="N8" s="895"/>
      <c r="P8" s="897"/>
      <c r="Q8" s="897"/>
      <c r="R8" s="897"/>
      <c r="S8" s="898"/>
    </row>
    <row r="9" spans="1:19" s="899" customFormat="1" ht="34.5" customHeight="1">
      <c r="A9" s="1184">
        <v>1</v>
      </c>
      <c r="B9" s="1185" t="s">
        <v>725</v>
      </c>
      <c r="C9" s="1184">
        <v>2</v>
      </c>
      <c r="D9" s="1186">
        <f>[10]งบลงทุน!G250+'[10]NFMA47 (2)'!K165</f>
        <v>206000</v>
      </c>
      <c r="E9" s="1186"/>
      <c r="F9" s="1187"/>
      <c r="G9" s="1188">
        <f t="shared" ref="G9:G14" si="0">D9+E9-F9</f>
        <v>206000</v>
      </c>
      <c r="H9" s="1188">
        <f>[10]งบลงทุน!N250+'[10]NFMA47 (2)'!N165</f>
        <v>206000</v>
      </c>
      <c r="I9" s="1188">
        <f>H9/G9*100</f>
        <v>100</v>
      </c>
      <c r="J9" s="1188">
        <f>[10]งบลงทุน!P250+'[10]NFMA47 (2)'!M165</f>
        <v>0</v>
      </c>
      <c r="K9" s="1188">
        <f>J9+H9</f>
        <v>206000</v>
      </c>
      <c r="L9" s="1188">
        <f>K9/G9*100</f>
        <v>100</v>
      </c>
      <c r="M9" s="1188">
        <f>G9-K9</f>
        <v>0</v>
      </c>
      <c r="N9" s="1189"/>
      <c r="P9" s="900"/>
      <c r="Q9" s="900"/>
      <c r="R9" s="900"/>
    </row>
    <row r="10" spans="1:19" s="899" customFormat="1" ht="34.5" customHeight="1">
      <c r="A10" s="2845">
        <v>2</v>
      </c>
      <c r="B10" s="2846" t="s">
        <v>726</v>
      </c>
      <c r="C10" s="2845">
        <v>2</v>
      </c>
      <c r="D10" s="1894">
        <f>[10]งบลงทุน!G213+'[10]NFMA47 (2)'!K167</f>
        <v>491900</v>
      </c>
      <c r="E10" s="1894">
        <f>[10]งบลงทุน!F213</f>
        <v>0</v>
      </c>
      <c r="F10" s="2847"/>
      <c r="G10" s="2848">
        <f t="shared" si="0"/>
        <v>491900</v>
      </c>
      <c r="H10" s="2848">
        <f>[10]งบลงทุน!N213+'[10]NFMA47 (2)'!N167</f>
        <v>491900</v>
      </c>
      <c r="I10" s="2848">
        <f>H10/G10*100</f>
        <v>100</v>
      </c>
      <c r="J10" s="2848">
        <f>[10]งบลงทุน!P213+'[10]NFMA47 (2)'!M167</f>
        <v>0</v>
      </c>
      <c r="K10" s="2848">
        <f>J10+H10</f>
        <v>491900</v>
      </c>
      <c r="L10" s="2848">
        <f>K10/G10*100</f>
        <v>100</v>
      </c>
      <c r="M10" s="2848">
        <f>D10-K10</f>
        <v>0</v>
      </c>
      <c r="N10" s="1189"/>
      <c r="P10" s="900"/>
      <c r="Q10" s="900"/>
      <c r="R10" s="900"/>
    </row>
    <row r="11" spans="1:19" s="899" customFormat="1" ht="34.5" customHeight="1">
      <c r="A11" s="2845">
        <v>3</v>
      </c>
      <c r="B11" s="2846" t="s">
        <v>727</v>
      </c>
      <c r="C11" s="2845">
        <v>1</v>
      </c>
      <c r="D11" s="1894">
        <f>'[10]NFMA47 (2)'!K169</f>
        <v>8000</v>
      </c>
      <c r="E11" s="1894"/>
      <c r="F11" s="2847"/>
      <c r="G11" s="2848">
        <f t="shared" si="0"/>
        <v>8000</v>
      </c>
      <c r="H11" s="2848">
        <f>'[10]NFMA47 (2)'!N169</f>
        <v>8000</v>
      </c>
      <c r="I11" s="2848">
        <f>H11/G11*100</f>
        <v>100</v>
      </c>
      <c r="J11" s="2848">
        <f>'[10]NFMA47 (2)'!M169</f>
        <v>0</v>
      </c>
      <c r="K11" s="2848">
        <f>J11+H11</f>
        <v>8000</v>
      </c>
      <c r="L11" s="2848">
        <f>K11/G11*100</f>
        <v>100</v>
      </c>
      <c r="M11" s="2848">
        <f>D11-K11</f>
        <v>0</v>
      </c>
      <c r="N11" s="1189"/>
      <c r="P11" s="900"/>
      <c r="Q11" s="900"/>
      <c r="R11" s="900"/>
    </row>
    <row r="12" spans="1:19" s="899" customFormat="1" ht="34.5" customHeight="1">
      <c r="A12" s="2845">
        <v>4</v>
      </c>
      <c r="B12" s="2846" t="s">
        <v>728</v>
      </c>
      <c r="C12" s="2845">
        <v>3</v>
      </c>
      <c r="D12" s="1894">
        <f>[10]งบลงทุน!G210+[10]งบลงทุน!G248+'[10]NFMA47 (2)'!K171</f>
        <v>508000</v>
      </c>
      <c r="E12" s="1894"/>
      <c r="F12" s="2847"/>
      <c r="G12" s="2848">
        <f t="shared" si="0"/>
        <v>508000</v>
      </c>
      <c r="H12" s="2848">
        <f>[10]งบลงทุน!N210+[10]งบลงทุน!N248+'[10]NFMA47 (2)'!N171</f>
        <v>362000</v>
      </c>
      <c r="I12" s="2848">
        <f>H12/G12*100</f>
        <v>71.259842519685037</v>
      </c>
      <c r="J12" s="2848">
        <f>[10]งบลงทุน!P210+[10]งบลงทุน!P248+'[10]NFMA47 (2)'!M171</f>
        <v>146000</v>
      </c>
      <c r="K12" s="2848">
        <f>H12+J12</f>
        <v>508000</v>
      </c>
      <c r="L12" s="2848">
        <f t="shared" ref="L12:L19" si="1">K12/G12*100</f>
        <v>100</v>
      </c>
      <c r="M12" s="2848">
        <f t="shared" ref="M12:M19" si="2">G12-K12</f>
        <v>0</v>
      </c>
      <c r="N12" s="1189"/>
      <c r="P12" s="900"/>
      <c r="Q12" s="900"/>
      <c r="R12" s="900"/>
    </row>
    <row r="13" spans="1:19" s="899" customFormat="1" ht="34.5" customHeight="1">
      <c r="A13" s="2845">
        <v>5</v>
      </c>
      <c r="B13" s="2846" t="s">
        <v>904</v>
      </c>
      <c r="C13" s="2845">
        <v>2</v>
      </c>
      <c r="D13" s="1894">
        <f>[10]งบลงทุน!G216+'[10]NFMA47 (2)'!K173</f>
        <v>515000</v>
      </c>
      <c r="E13" s="1894"/>
      <c r="F13" s="2847"/>
      <c r="G13" s="2848">
        <f t="shared" si="0"/>
        <v>515000</v>
      </c>
      <c r="H13" s="2848">
        <f>[10]งบลงทุน!N216+'[10]NFMA47 (2)'!N173</f>
        <v>16000</v>
      </c>
      <c r="I13" s="2848">
        <f t="shared" ref="I13:I19" si="3">H13/G13*100</f>
        <v>3.1067961165048543</v>
      </c>
      <c r="J13" s="2848">
        <f>[10]งบลงทุน!P216+'[10]NFMA47 (2)'!M173</f>
        <v>499000</v>
      </c>
      <c r="K13" s="2848">
        <f>J13+H13</f>
        <v>515000</v>
      </c>
      <c r="L13" s="2848">
        <f t="shared" si="1"/>
        <v>100</v>
      </c>
      <c r="M13" s="2848">
        <f t="shared" si="2"/>
        <v>0</v>
      </c>
      <c r="N13" s="1189"/>
      <c r="P13" s="900"/>
      <c r="Q13" s="900"/>
      <c r="R13" s="900"/>
    </row>
    <row r="14" spans="1:19" s="899" customFormat="1" ht="34.5" customHeight="1">
      <c r="A14" s="2845">
        <v>6</v>
      </c>
      <c r="B14" s="2846" t="s">
        <v>729</v>
      </c>
      <c r="C14" s="2845">
        <v>4</v>
      </c>
      <c r="D14" s="1894">
        <f>[10]งบลงทุน!G242+[10]งบลงทุน!G244+[10]งบลงทุน!G247+'[10]NFMA47 (2)'!K175</f>
        <v>1412000</v>
      </c>
      <c r="E14" s="1894"/>
      <c r="F14" s="2847"/>
      <c r="G14" s="2848">
        <f t="shared" si="0"/>
        <v>1412000</v>
      </c>
      <c r="H14" s="2848">
        <f>[10]งบลงทุน!N242+[10]งบลงทุน!N244+[10]งบลงทุน!N247+'[10]NFMA47 (2)'!N175</f>
        <v>0</v>
      </c>
      <c r="I14" s="2848">
        <f t="shared" si="3"/>
        <v>0</v>
      </c>
      <c r="J14" s="2848">
        <f>[10]งบลงทุน!P242+[10]งบลงทุน!P244+[10]งบลงทุน!P247+'[10]NFMA47 (2)'!M175</f>
        <v>1412000</v>
      </c>
      <c r="K14" s="2848">
        <f>H14+J14</f>
        <v>1412000</v>
      </c>
      <c r="L14" s="2848">
        <f t="shared" si="1"/>
        <v>100</v>
      </c>
      <c r="M14" s="2848">
        <f t="shared" si="2"/>
        <v>0</v>
      </c>
      <c r="N14" s="1189"/>
      <c r="P14" s="900"/>
      <c r="Q14" s="900"/>
      <c r="R14" s="900"/>
    </row>
    <row r="15" spans="1:19" s="899" customFormat="1" ht="34.5" customHeight="1">
      <c r="A15" s="2845">
        <v>7</v>
      </c>
      <c r="B15" s="2846" t="s">
        <v>4644</v>
      </c>
      <c r="C15" s="2845">
        <v>2</v>
      </c>
      <c r="D15" s="1894">
        <f>'[10]NFMA47 (2)'!K177</f>
        <v>16000</v>
      </c>
      <c r="E15" s="1894"/>
      <c r="F15" s="2847"/>
      <c r="G15" s="2848">
        <f>'[10]NFMA47 (2)'!K177</f>
        <v>16000</v>
      </c>
      <c r="H15" s="2848">
        <f>'[10]NFMA47 (2)'!M177</f>
        <v>0</v>
      </c>
      <c r="I15" s="2848"/>
      <c r="J15" s="2848">
        <f>'[10]NFMA47 (2)'!N177</f>
        <v>16000</v>
      </c>
      <c r="K15" s="2848">
        <f>H15+J15</f>
        <v>16000</v>
      </c>
      <c r="L15" s="2848">
        <f t="shared" ref="L15" si="4">K15/G15*100</f>
        <v>100</v>
      </c>
      <c r="M15" s="2848"/>
      <c r="N15" s="1189"/>
      <c r="P15" s="900"/>
      <c r="Q15" s="900"/>
      <c r="R15" s="900"/>
    </row>
    <row r="16" spans="1:19" s="899" customFormat="1" ht="34.5" customHeight="1">
      <c r="A16" s="901">
        <v>8</v>
      </c>
      <c r="B16" s="902" t="s">
        <v>4645</v>
      </c>
      <c r="C16" s="901">
        <v>4</v>
      </c>
      <c r="D16" s="903">
        <f>[10]งบลงทุน!G203+[10]งบลงทุน!G214+[10]งบลงทุน!G215+'[10]NFMA47 (2)'!K179</f>
        <v>603000</v>
      </c>
      <c r="E16" s="903"/>
      <c r="F16" s="904"/>
      <c r="G16" s="808">
        <f>D16+E16-F16</f>
        <v>603000</v>
      </c>
      <c r="H16" s="808">
        <f>[10]งบลงทุน!N203+[10]งบลงทุน!N214+[10]งบลงทุน!N215+'[10]NFMA47 (2)'!N179</f>
        <v>603000</v>
      </c>
      <c r="I16" s="2848">
        <f t="shared" si="3"/>
        <v>100</v>
      </c>
      <c r="J16" s="808">
        <f>[10]งบลงทุน!P203+[10]งบลงทุน!P215+[10]งบลงทุน!P214+'[10]NFMA47 (2)'!M179</f>
        <v>0</v>
      </c>
      <c r="K16" s="808">
        <f>H16+J16</f>
        <v>603000</v>
      </c>
      <c r="L16" s="2848">
        <f t="shared" si="1"/>
        <v>100</v>
      </c>
      <c r="M16" s="808">
        <f t="shared" si="2"/>
        <v>0</v>
      </c>
      <c r="N16" s="1190"/>
      <c r="P16" s="900"/>
      <c r="Q16" s="900"/>
      <c r="R16" s="900"/>
    </row>
    <row r="17" spans="1:18" s="899" customFormat="1" ht="34.5" customHeight="1">
      <c r="A17" s="2849">
        <v>9</v>
      </c>
      <c r="B17" s="2850" t="s">
        <v>6049</v>
      </c>
      <c r="C17" s="2849">
        <v>1</v>
      </c>
      <c r="D17" s="2851">
        <f>'[10]NFMA47 (2)'!K181</f>
        <v>8000</v>
      </c>
      <c r="E17" s="2851"/>
      <c r="F17" s="2852"/>
      <c r="G17" s="2853">
        <f>'[10]NFMA47 (2)'!K181</f>
        <v>8000</v>
      </c>
      <c r="H17" s="2853">
        <f>'[10]NFMA47 (2)'!N181</f>
        <v>8000</v>
      </c>
      <c r="I17" s="2848"/>
      <c r="J17" s="2853">
        <f>'[10]NFMA47 (2)'!M181</f>
        <v>0</v>
      </c>
      <c r="K17" s="808">
        <f t="shared" ref="K17:K19" si="5">H17+J17</f>
        <v>8000</v>
      </c>
      <c r="L17" s="2848">
        <f t="shared" ref="L17:L19" si="6">K17/G17*100</f>
        <v>100</v>
      </c>
      <c r="M17" s="2853"/>
      <c r="N17" s="2854"/>
      <c r="P17" s="900"/>
      <c r="Q17" s="900"/>
      <c r="R17" s="900"/>
    </row>
    <row r="18" spans="1:18" s="899" customFormat="1" ht="34.5" customHeight="1">
      <c r="A18" s="2849">
        <v>10</v>
      </c>
      <c r="B18" s="2850" t="s">
        <v>733</v>
      </c>
      <c r="C18" s="2849">
        <v>2</v>
      </c>
      <c r="D18" s="2851">
        <f>[10]งบลงทุน!G204+'[10]NFMA47 (2)'!K183</f>
        <v>180000</v>
      </c>
      <c r="E18" s="2851"/>
      <c r="F18" s="2852"/>
      <c r="G18" s="2853">
        <f>D18+E18-F18</f>
        <v>180000</v>
      </c>
      <c r="H18" s="2853">
        <f>[10]งบลงทุน!N204+'[10]NFMA47 (2)'!N183</f>
        <v>180000</v>
      </c>
      <c r="I18" s="2848">
        <f t="shared" si="3"/>
        <v>100</v>
      </c>
      <c r="J18" s="2853">
        <f>[10]งบลงทุน!P204+'[10]NFMA47 (2)'!M183</f>
        <v>0</v>
      </c>
      <c r="K18" s="808">
        <f t="shared" si="5"/>
        <v>180000</v>
      </c>
      <c r="L18" s="2848">
        <f t="shared" si="6"/>
        <v>100</v>
      </c>
      <c r="M18" s="2853">
        <f t="shared" si="2"/>
        <v>0</v>
      </c>
      <c r="N18" s="2854"/>
      <c r="P18" s="900"/>
      <c r="Q18" s="900"/>
      <c r="R18" s="900"/>
    </row>
    <row r="19" spans="1:18" s="899" customFormat="1" ht="34.5" customHeight="1">
      <c r="A19" s="1404">
        <v>11</v>
      </c>
      <c r="B19" s="1099" t="s">
        <v>734</v>
      </c>
      <c r="C19" s="1404">
        <v>4</v>
      </c>
      <c r="D19" s="1346">
        <f>[10]งบลงทุน!G251+[10]งบลงทุน!G217+'[10]NFMA47 (2)'!K185</f>
        <v>614000</v>
      </c>
      <c r="E19" s="1346"/>
      <c r="F19" s="1405"/>
      <c r="G19" s="878">
        <f>D19+E19-F19</f>
        <v>614000</v>
      </c>
      <c r="H19" s="1346">
        <f>[10]งบลงทุน!N251+[10]งบลงทุน!N217+'[10]NFMA47 (2)'!N185</f>
        <v>614000</v>
      </c>
      <c r="I19" s="878">
        <f t="shared" si="3"/>
        <v>100</v>
      </c>
      <c r="J19" s="1346">
        <f>[10]งบลงทุน!P251+[10]งบลงทุน!P217+'[10]NFMA47 (2)'!M185</f>
        <v>0</v>
      </c>
      <c r="K19" s="808">
        <f t="shared" si="5"/>
        <v>614000</v>
      </c>
      <c r="L19" s="2848">
        <f t="shared" si="6"/>
        <v>100</v>
      </c>
      <c r="M19" s="878">
        <f t="shared" si="2"/>
        <v>0</v>
      </c>
      <c r="N19" s="2854"/>
      <c r="P19" s="900"/>
      <c r="Q19" s="900"/>
      <c r="R19" s="900"/>
    </row>
    <row r="20" spans="1:18" s="898" customFormat="1" ht="34.5" customHeight="1">
      <c r="N20" s="887"/>
      <c r="P20" s="897"/>
      <c r="Q20" s="897"/>
      <c r="R20" s="897"/>
    </row>
  </sheetData>
  <mergeCells count="20">
    <mergeCell ref="M4:M6"/>
    <mergeCell ref="N4:N6"/>
    <mergeCell ref="D5:D6"/>
    <mergeCell ref="E5:E6"/>
    <mergeCell ref="F5:F6"/>
    <mergeCell ref="G5:G6"/>
    <mergeCell ref="H5:H6"/>
    <mergeCell ref="I5:I6"/>
    <mergeCell ref="K5:K6"/>
    <mergeCell ref="L5:L6"/>
    <mergeCell ref="A1:M1"/>
    <mergeCell ref="A2:M2"/>
    <mergeCell ref="A3:M3"/>
    <mergeCell ref="A4:A6"/>
    <mergeCell ref="B4:B6"/>
    <mergeCell ref="C4:C6"/>
    <mergeCell ref="D4:G4"/>
    <mergeCell ref="H4:I4"/>
    <mergeCell ref="J4:J6"/>
    <mergeCell ref="K4:L4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9EE2-03F2-4CEE-A402-8D493206E5B2}">
  <sheetPr>
    <tabColor rgb="FFFF0000"/>
  </sheetPr>
  <dimension ref="A1:Y118"/>
  <sheetViews>
    <sheetView topLeftCell="A71" zoomScale="72" zoomScaleNormal="72" workbookViewId="0">
      <selection activeCell="W86" sqref="W86"/>
    </sheetView>
  </sheetViews>
  <sheetFormatPr defaultRowHeight="22.5"/>
  <cols>
    <col min="1" max="1" width="7.140625" style="1265" customWidth="1"/>
    <col min="2" max="2" width="11.140625" style="1266" customWidth="1"/>
    <col min="3" max="3" width="19.28515625" style="1267" customWidth="1"/>
    <col min="4" max="4" width="19.7109375" style="1265" customWidth="1"/>
    <col min="5" max="7" width="19.7109375" style="2898" hidden="1" customWidth="1"/>
    <col min="8" max="8" width="19.7109375" style="2899" hidden="1" customWidth="1"/>
    <col min="9" max="9" width="19.7109375" style="2900" customWidth="1"/>
    <col min="10" max="10" width="21.140625" style="2898" customWidth="1"/>
    <col min="11" max="11" width="11.7109375" style="2898" customWidth="1"/>
    <col min="12" max="12" width="20.28515625" style="2898" customWidth="1"/>
    <col min="13" max="13" width="20.28515625" style="2900" customWidth="1"/>
    <col min="14" max="14" width="12.140625" style="2900" customWidth="1"/>
    <col min="15" max="15" width="19.5703125" style="1265" customWidth="1"/>
    <col min="16" max="16" width="22.7109375" style="761" hidden="1" customWidth="1"/>
    <col min="17" max="17" width="19.140625" style="761" hidden="1" customWidth="1"/>
    <col min="18" max="18" width="20.7109375" style="1723" hidden="1" customWidth="1"/>
    <col min="19" max="19" width="22.5703125" style="761" hidden="1" customWidth="1"/>
    <col min="20" max="21" width="0" style="761" hidden="1" customWidth="1"/>
    <col min="22" max="22" width="9.140625" style="761"/>
    <col min="23" max="23" width="22.5703125" style="761" customWidth="1"/>
    <col min="24" max="24" width="13.5703125" style="761" customWidth="1"/>
    <col min="25" max="25" width="19.5703125" style="761" customWidth="1"/>
    <col min="26" max="16384" width="9.140625" style="761"/>
  </cols>
  <sheetData>
    <row r="1" spans="1:25" s="738" customFormat="1" ht="33">
      <c r="A1" s="2296" t="s">
        <v>6048</v>
      </c>
      <c r="B1" s="2296"/>
      <c r="C1" s="2296"/>
      <c r="D1" s="2296"/>
      <c r="E1" s="2296"/>
      <c r="F1" s="2296"/>
      <c r="G1" s="2296"/>
      <c r="H1" s="2296"/>
      <c r="I1" s="2296"/>
      <c r="J1" s="2296"/>
      <c r="K1" s="2296"/>
      <c r="L1" s="2296"/>
      <c r="M1" s="2296"/>
      <c r="N1" s="2296"/>
      <c r="O1" s="2296"/>
      <c r="R1" s="1717"/>
      <c r="S1" s="676"/>
      <c r="T1" s="676"/>
      <c r="U1" s="740"/>
    </row>
    <row r="2" spans="1:25" s="738" customFormat="1" ht="24" customHeight="1">
      <c r="A2" s="2296" t="s">
        <v>6050</v>
      </c>
      <c r="B2" s="2296"/>
      <c r="C2" s="2296"/>
      <c r="D2" s="2296"/>
      <c r="E2" s="2296"/>
      <c r="F2" s="2296"/>
      <c r="G2" s="2296"/>
      <c r="H2" s="2296"/>
      <c r="I2" s="2296"/>
      <c r="J2" s="2296"/>
      <c r="K2" s="2296"/>
      <c r="L2" s="2296"/>
      <c r="M2" s="2296"/>
      <c r="N2" s="2296"/>
      <c r="O2" s="2296"/>
      <c r="R2" s="1717"/>
      <c r="S2" s="676"/>
      <c r="T2" s="676"/>
      <c r="U2" s="740"/>
    </row>
    <row r="3" spans="1:25" s="738" customFormat="1" ht="33">
      <c r="A3" s="2296" t="str">
        <f>[10]งบลงทุน!A2</f>
        <v xml:space="preserve">ข้อมูลสะสมตั้งแต่วันที่ 1 ตุลาคม 2566  ถึงวันที่  15 กันยายน 2567 </v>
      </c>
      <c r="B3" s="2296"/>
      <c r="C3" s="2296"/>
      <c r="D3" s="2296"/>
      <c r="E3" s="2296"/>
      <c r="F3" s="2296"/>
      <c r="G3" s="2296"/>
      <c r="H3" s="2296"/>
      <c r="I3" s="2296"/>
      <c r="J3" s="2296"/>
      <c r="K3" s="2296"/>
      <c r="L3" s="2296"/>
      <c r="M3" s="2296"/>
      <c r="N3" s="2296"/>
      <c r="O3" s="2296"/>
      <c r="R3" s="1717"/>
      <c r="S3" s="676"/>
      <c r="T3" s="676"/>
      <c r="U3" s="740"/>
    </row>
    <row r="4" spans="1:25" s="738" customFormat="1" ht="15" hidden="1" customHeight="1">
      <c r="A4" s="1411"/>
      <c r="B4" s="1411"/>
      <c r="C4" s="2855"/>
      <c r="D4" s="2856"/>
      <c r="E4" s="1411"/>
      <c r="F4" s="1411"/>
      <c r="G4" s="1411"/>
      <c r="H4" s="1893"/>
      <c r="I4" s="1411"/>
      <c r="J4" s="1411"/>
      <c r="K4" s="1411"/>
      <c r="L4" s="1411"/>
      <c r="M4" s="1411"/>
      <c r="N4" s="1411"/>
      <c r="O4" s="1411"/>
      <c r="R4" s="1717"/>
      <c r="S4" s="676"/>
      <c r="T4" s="676"/>
      <c r="U4" s="740"/>
    </row>
    <row r="5" spans="1:25" s="745" customFormat="1" ht="27" customHeight="1">
      <c r="A5" s="2293" t="s">
        <v>376</v>
      </c>
      <c r="B5" s="2297" t="s">
        <v>1177</v>
      </c>
      <c r="C5" s="2297" t="s">
        <v>724</v>
      </c>
      <c r="D5" s="2293" t="s">
        <v>3</v>
      </c>
      <c r="E5" s="2300" t="s">
        <v>837</v>
      </c>
      <c r="F5" s="2303" t="s">
        <v>1247</v>
      </c>
      <c r="G5" s="2300"/>
      <c r="H5" s="2306" t="s">
        <v>1240</v>
      </c>
      <c r="I5" s="2284" t="s">
        <v>1241</v>
      </c>
      <c r="J5" s="2857" t="s">
        <v>22</v>
      </c>
      <c r="K5" s="2858"/>
      <c r="L5" s="2859" t="s">
        <v>851</v>
      </c>
      <c r="M5" s="2287" t="s">
        <v>1227</v>
      </c>
      <c r="N5" s="2288"/>
      <c r="O5" s="2293" t="s">
        <v>4</v>
      </c>
      <c r="Q5" s="1718"/>
      <c r="R5" s="1718"/>
    </row>
    <row r="6" spans="1:25" s="745" customFormat="1" ht="27" customHeight="1">
      <c r="A6" s="2294"/>
      <c r="B6" s="2298"/>
      <c r="C6" s="2298"/>
      <c r="D6" s="2294"/>
      <c r="E6" s="2301"/>
      <c r="F6" s="2304"/>
      <c r="G6" s="2301"/>
      <c r="H6" s="2307"/>
      <c r="I6" s="2285"/>
      <c r="J6" s="2860"/>
      <c r="K6" s="2861"/>
      <c r="L6" s="2862"/>
      <c r="M6" s="2289"/>
      <c r="N6" s="2290"/>
      <c r="O6" s="2294"/>
      <c r="R6" s="1718"/>
    </row>
    <row r="7" spans="1:25" s="745" customFormat="1" ht="3" customHeight="1">
      <c r="A7" s="2294"/>
      <c r="B7" s="2298"/>
      <c r="C7" s="2298"/>
      <c r="D7" s="2294"/>
      <c r="E7" s="2301"/>
      <c r="F7" s="2304"/>
      <c r="G7" s="2301"/>
      <c r="H7" s="2307"/>
      <c r="I7" s="2285"/>
      <c r="J7" s="2863"/>
      <c r="K7" s="2864"/>
      <c r="L7" s="2865"/>
      <c r="M7" s="2291"/>
      <c r="N7" s="2292"/>
      <c r="O7" s="2294"/>
      <c r="Q7" s="1220"/>
      <c r="R7" s="1718"/>
    </row>
    <row r="8" spans="1:25" s="745" customFormat="1" ht="31.5" customHeight="1">
      <c r="A8" s="2294"/>
      <c r="B8" s="2299"/>
      <c r="C8" s="2299"/>
      <c r="D8" s="2295"/>
      <c r="E8" s="2302"/>
      <c r="F8" s="2305"/>
      <c r="G8" s="2302"/>
      <c r="H8" s="2308"/>
      <c r="I8" s="2286"/>
      <c r="J8" s="1982" t="s">
        <v>803</v>
      </c>
      <c r="K8" s="1982" t="s">
        <v>12</v>
      </c>
      <c r="L8" s="2866" t="s">
        <v>803</v>
      </c>
      <c r="M8" s="1410" t="s">
        <v>803</v>
      </c>
      <c r="N8" s="1410" t="s">
        <v>12</v>
      </c>
      <c r="O8" s="2295"/>
      <c r="R8" s="1718"/>
    </row>
    <row r="9" spans="1:25" s="758" customFormat="1" ht="24.75" thickBot="1">
      <c r="A9" s="2867"/>
      <c r="B9" s="1253"/>
      <c r="C9" s="1254"/>
      <c r="D9" s="1255">
        <f>SUM(D10:D86)</f>
        <v>541</v>
      </c>
      <c r="E9" s="2868">
        <f>SUM(E10:E86)</f>
        <v>78229371.939999998</v>
      </c>
      <c r="F9" s="2868">
        <f>SUM(F11:F87)</f>
        <v>0</v>
      </c>
      <c r="G9" s="2868"/>
      <c r="H9" s="2869">
        <f>SUM(H11:H86)</f>
        <v>0</v>
      </c>
      <c r="I9" s="2868">
        <f>SUM(I11:I86)</f>
        <v>72824545.659999996</v>
      </c>
      <c r="J9" s="2868">
        <f>SUM(J10:J87)</f>
        <v>40916504.220000006</v>
      </c>
      <c r="K9" s="2868">
        <f>J9/E9*100</f>
        <v>52.303250307802493</v>
      </c>
      <c r="L9" s="2868">
        <f>SUM(L10:L87)</f>
        <v>29183019.150000002</v>
      </c>
      <c r="M9" s="2868">
        <f>J9+L9</f>
        <v>70099523.370000005</v>
      </c>
      <c r="N9" s="2868">
        <f>M9/I9*100</f>
        <v>96.258099154202142</v>
      </c>
      <c r="O9" s="2868">
        <f>SUM(O10:O86)</f>
        <v>2725022.29</v>
      </c>
      <c r="P9" s="1221"/>
      <c r="Q9" s="759"/>
      <c r="R9" s="1719"/>
    </row>
    <row r="10" spans="1:25" s="740" customFormat="1" ht="49.5" hidden="1" customHeight="1" thickTop="1">
      <c r="A10" s="1256"/>
      <c r="B10" s="1257"/>
      <c r="C10" s="1258"/>
      <c r="D10" s="2870"/>
      <c r="E10" s="2871"/>
      <c r="F10" s="2871"/>
      <c r="G10" s="2871"/>
      <c r="H10" s="2872"/>
      <c r="I10" s="2871"/>
      <c r="J10" s="2871"/>
      <c r="K10" s="2871"/>
      <c r="L10" s="2871"/>
      <c r="M10" s="2871"/>
      <c r="N10" s="2871"/>
      <c r="O10" s="2873">
        <f t="shared" ref="O10:O73" si="0">I10-M10</f>
        <v>0</v>
      </c>
      <c r="P10" s="1222">
        <v>3550684</v>
      </c>
      <c r="Q10" s="1223">
        <f t="shared" ref="Q10:Q73" si="1">I10-P10</f>
        <v>-3550684</v>
      </c>
      <c r="R10" s="1720">
        <v>96684</v>
      </c>
      <c r="S10" s="1222">
        <f>Q10-R10</f>
        <v>-3647368</v>
      </c>
    </row>
    <row r="11" spans="1:25" s="740" customFormat="1" ht="33.75" customHeight="1" thickTop="1">
      <c r="A11" s="1256">
        <v>1</v>
      </c>
      <c r="B11" s="1256">
        <v>1200</v>
      </c>
      <c r="C11" s="2874" t="str">
        <f>'[10]NFMA47 (2)'!F17</f>
        <v>นนทบุรี</v>
      </c>
      <c r="D11" s="2870">
        <v>1</v>
      </c>
      <c r="E11" s="2871"/>
      <c r="F11" s="2875"/>
      <c r="G11" s="2871"/>
      <c r="H11" s="2876"/>
      <c r="I11" s="2871">
        <f>'[10]NFMA47 (2)'!K17</f>
        <v>8000</v>
      </c>
      <c r="J11" s="2871">
        <f>'[10]NFMA47 (2)'!N17</f>
        <v>8000</v>
      </c>
      <c r="K11" s="2871">
        <f>J11/I11*100</f>
        <v>100</v>
      </c>
      <c r="L11" s="2871">
        <f>'[10]NFMA47 (2)'!M17</f>
        <v>0</v>
      </c>
      <c r="M11" s="2871">
        <f>L11+J11</f>
        <v>8000</v>
      </c>
      <c r="N11" s="2871">
        <f>M11/I11*100</f>
        <v>100</v>
      </c>
      <c r="O11" s="2873">
        <f>I11-M11</f>
        <v>0</v>
      </c>
      <c r="P11" s="1222"/>
      <c r="Q11" s="1223"/>
      <c r="R11" s="2877"/>
      <c r="S11" s="1222"/>
    </row>
    <row r="12" spans="1:25" s="740" customFormat="1" ht="33.75" customHeight="1">
      <c r="A12" s="1256">
        <v>2</v>
      </c>
      <c r="B12" s="1256">
        <v>1300</v>
      </c>
      <c r="C12" s="2874" t="str">
        <f>'[10]NFMA47 (2)'!F19</f>
        <v>ปทุมธานี</v>
      </c>
      <c r="D12" s="2870">
        <v>1</v>
      </c>
      <c r="E12" s="2871"/>
      <c r="F12" s="2875"/>
      <c r="G12" s="2871"/>
      <c r="H12" s="2876"/>
      <c r="I12" s="2871">
        <f>'[10]NFMA47 (2)'!K19</f>
        <v>8000</v>
      </c>
      <c r="J12" s="2871">
        <f>'[10]NFMA47 (2)'!N19</f>
        <v>8000</v>
      </c>
      <c r="K12" s="2871">
        <f>J12/I12*100</f>
        <v>100</v>
      </c>
      <c r="L12" s="2871">
        <f>'[10]NFMA47 (2)'!M19</f>
        <v>0</v>
      </c>
      <c r="M12" s="2871">
        <f>L12+J12</f>
        <v>8000</v>
      </c>
      <c r="N12" s="2871">
        <f>M12/I12*100</f>
        <v>100</v>
      </c>
      <c r="O12" s="2873">
        <f>I12-M12</f>
        <v>0</v>
      </c>
      <c r="P12" s="1222"/>
      <c r="Q12" s="1223"/>
      <c r="R12" s="2877"/>
      <c r="S12" s="1222"/>
    </row>
    <row r="13" spans="1:25" s="740" customFormat="1" ht="33.75" customHeight="1">
      <c r="A13" s="1256">
        <v>3</v>
      </c>
      <c r="B13" s="1256">
        <v>2000</v>
      </c>
      <c r="C13" s="2874" t="s">
        <v>786</v>
      </c>
      <c r="D13" s="2870">
        <v>3</v>
      </c>
      <c r="E13" s="2871">
        <f>'[10]งบลงทุน (จังหวัด)'!F71+'[10]งบลงทุน (จังหวัด)'!F284</f>
        <v>90400</v>
      </c>
      <c r="F13" s="2875"/>
      <c r="G13" s="2871"/>
      <c r="H13" s="2876"/>
      <c r="I13" s="2871">
        <f>'[10]งบลงทุน (จังหวัด)'!M55+'[10]งบลงทุน (จังหวัด)'!M56+'[10]NFMA47 (2)'!K33</f>
        <v>202400</v>
      </c>
      <c r="J13" s="2871">
        <f>'[10]งบลงทุน (จังหวัด)'!N55+'[10]งบลงทุน (จังหวัด)'!N56+'[10]NFMA47 (2)'!N33</f>
        <v>202400</v>
      </c>
      <c r="K13" s="2871">
        <f>J13/I13*100</f>
        <v>100</v>
      </c>
      <c r="L13" s="2871">
        <f>'[10]งบลงทุน (จังหวัด)'!P55+'[10]งบลงทุน (จังหวัด)'!P56+'[10]NFMA47 (2)'!M33</f>
        <v>0</v>
      </c>
      <c r="M13" s="2871">
        <f>L13+J13</f>
        <v>202400</v>
      </c>
      <c r="N13" s="2871">
        <f>M13/I13*100</f>
        <v>100</v>
      </c>
      <c r="O13" s="2873">
        <f>I13-M13</f>
        <v>0</v>
      </c>
      <c r="P13" s="1222"/>
      <c r="Q13" s="1223"/>
      <c r="R13" s="2877"/>
      <c r="S13" s="1222"/>
    </row>
    <row r="14" spans="1:25" s="740" customFormat="1" ht="24">
      <c r="A14" s="1260">
        <v>4</v>
      </c>
      <c r="B14" s="1260">
        <v>2600</v>
      </c>
      <c r="C14" s="2878" t="str">
        <f>'[10]NFMA47 (2)'!F45</f>
        <v>นครนายก</v>
      </c>
      <c r="D14" s="2879">
        <v>1</v>
      </c>
      <c r="E14" s="2880"/>
      <c r="F14" s="2881"/>
      <c r="G14" s="2880"/>
      <c r="H14" s="2882"/>
      <c r="I14" s="2871">
        <f>'[10]NFMA47 (2)'!K45</f>
        <v>8000</v>
      </c>
      <c r="J14" s="2880">
        <f>'[10]NFMA47 (2)'!N45</f>
        <v>8000</v>
      </c>
      <c r="K14" s="2880">
        <f>J14/I14*100</f>
        <v>100</v>
      </c>
      <c r="L14" s="2880">
        <f>'[10]NFMA47 (2)'!M45</f>
        <v>0</v>
      </c>
      <c r="M14" s="2871">
        <f>L14+J14</f>
        <v>8000</v>
      </c>
      <c r="N14" s="2871">
        <f>M14/I14*100</f>
        <v>100</v>
      </c>
      <c r="O14" s="2873">
        <f>I14-M14</f>
        <v>0</v>
      </c>
      <c r="P14" s="1222">
        <v>1004189.1599999999</v>
      </c>
      <c r="Q14" s="1223">
        <f t="shared" si="1"/>
        <v>-996189.15999999992</v>
      </c>
      <c r="R14" s="2877">
        <v>1004189.1599999999</v>
      </c>
      <c r="S14" s="1222">
        <f t="shared" ref="S14:S75" si="2">Q14-R14</f>
        <v>-2000378.3199999998</v>
      </c>
      <c r="W14" s="1222"/>
      <c r="X14" s="1222"/>
      <c r="Y14" s="1222"/>
    </row>
    <row r="15" spans="1:25" s="740" customFormat="1" ht="24">
      <c r="A15" s="1260">
        <v>5</v>
      </c>
      <c r="B15" s="1260">
        <v>3700</v>
      </c>
      <c r="C15" s="2878" t="s">
        <v>553</v>
      </c>
      <c r="D15" s="2879">
        <v>7</v>
      </c>
      <c r="E15" s="2880">
        <f>'[10]งบลงทุน (จังหวัด)'!F252+'[10]งบลงทุน (จังหวัด)'!F253+'[10]งบลงทุน (จังหวัด)'!F254+'[10]งบลงทุน (จังหวัด)'!F255+'[10]งบลงทุน (จังหวัด)'!F256+'[10]งบลงทุน (จังหวัด)'!F412</f>
        <v>1650400</v>
      </c>
      <c r="F15" s="2881"/>
      <c r="G15" s="2880"/>
      <c r="H15" s="2882"/>
      <c r="I15" s="2871">
        <f>'[10]งบลงทุน (จังหวัด)'!M445+'[10]งบลงทุน (จังหวัด)'!M446+'[10]งบลงทุน (จังหวัด)'!M447+'[10]งบลงทุน (จังหวัด)'!M448+'[10]งบลงทุน (จังหวัด)'!M449+'[10]งบลงทุน (จังหวัด)'!M450+'[10]NFMA47 (2)'!K63</f>
        <v>1146453.01</v>
      </c>
      <c r="J15" s="2880">
        <f>'[10]งบลงทุน (จังหวัด)'!N445+'[10]งบลงทุน (จังหวัด)'!N446+'[10]งบลงทุน (จังหวัด)'!N447+'[10]งบลงทุน (จังหวัด)'!N448+'[10]งบลงทุน (จังหวัด)'!N449+'[10]งบลงทุน (จังหวัด)'!N450+'[10]NFMA47 (2)'!N63</f>
        <v>1146453.01</v>
      </c>
      <c r="K15" s="2880">
        <f>J15/I15*100</f>
        <v>100</v>
      </c>
      <c r="L15" s="2880">
        <f>'[10]งบลงทุน (จังหวัด)'!P445+'[10]งบลงทุน (จังหวัด)'!P446+'[10]งบลงทุน (จังหวัด)'!P447+'[10]งบลงทุน (จังหวัด)'!P448+'[10]งบลงทุน (จังหวัด)'!P449+'[10]งบลงทุน (จังหวัด)'!P450+'[10]NFMA47 (2)'!M63</f>
        <v>0</v>
      </c>
      <c r="M15" s="2871">
        <f>L15+J15</f>
        <v>1146453.01</v>
      </c>
      <c r="N15" s="2871">
        <f>M15/I15*100</f>
        <v>100</v>
      </c>
      <c r="O15" s="2873">
        <f>I15-M15</f>
        <v>0</v>
      </c>
      <c r="P15" s="1222">
        <v>1058493.31</v>
      </c>
      <c r="Q15" s="1223">
        <f t="shared" si="1"/>
        <v>87959.699999999953</v>
      </c>
      <c r="R15" s="2877">
        <v>583593.30999999994</v>
      </c>
      <c r="S15" s="1222">
        <f t="shared" si="2"/>
        <v>-495633.61</v>
      </c>
      <c r="W15" s="1222"/>
      <c r="X15" s="1222"/>
      <c r="Y15" s="1222"/>
    </row>
    <row r="16" spans="1:25" s="740" customFormat="1" ht="24">
      <c r="A16" s="1260">
        <v>6</v>
      </c>
      <c r="B16" s="1260">
        <v>6500</v>
      </c>
      <c r="C16" s="2878" t="s">
        <v>571</v>
      </c>
      <c r="D16" s="2879">
        <v>2</v>
      </c>
      <c r="E16" s="2880">
        <f>'[10]งบลงทุน (จังหวัด)'!F160</f>
        <v>104000</v>
      </c>
      <c r="F16" s="2881"/>
      <c r="G16" s="2880"/>
      <c r="H16" s="2882"/>
      <c r="I16" s="2871">
        <f>'[10]งบลงทุน (จังหวัด)'!M240+'[10]NFMA47 (2)'!K115</f>
        <v>8000</v>
      </c>
      <c r="J16" s="2880">
        <f>'[10]งบลงทุน (จังหวัด)'!N240+'[10]NFMA47 (2)'!N115</f>
        <v>8000</v>
      </c>
      <c r="K16" s="2880">
        <f>J16/I16*100</f>
        <v>100</v>
      </c>
      <c r="L16" s="2880">
        <f>'[10]งบลงทุน (จังหวัด)'!P240+'[10]NFMA47 (2)'!M115</f>
        <v>0</v>
      </c>
      <c r="M16" s="2871">
        <f>L16+J16</f>
        <v>8000</v>
      </c>
      <c r="N16" s="2871">
        <f>M16/I16*100</f>
        <v>100</v>
      </c>
      <c r="O16" s="2873">
        <f>I16-M16</f>
        <v>0</v>
      </c>
      <c r="P16" s="1222">
        <v>736028.84</v>
      </c>
      <c r="Q16" s="1223">
        <f t="shared" si="1"/>
        <v>-728028.84</v>
      </c>
      <c r="R16" s="2877">
        <v>736028.84</v>
      </c>
      <c r="S16" s="1222">
        <f t="shared" si="2"/>
        <v>-1464057.68</v>
      </c>
      <c r="W16" s="1222"/>
      <c r="X16" s="1222"/>
      <c r="Y16" s="1222"/>
    </row>
    <row r="17" spans="1:25" s="740" customFormat="1" ht="24">
      <c r="A17" s="1256">
        <v>7</v>
      </c>
      <c r="B17" s="1260">
        <v>7200</v>
      </c>
      <c r="C17" s="2878" t="s">
        <v>798</v>
      </c>
      <c r="D17" s="2879">
        <v>4</v>
      </c>
      <c r="E17" s="2880">
        <f>'[10]งบลงทุน (จังหวัด)'!F11+'[10]งบลงทุน (จังหวัด)'!F236+'[10]งบลงทุน (จังหวัด)'!F460</f>
        <v>253200</v>
      </c>
      <c r="F17" s="2881"/>
      <c r="G17" s="2880"/>
      <c r="H17" s="2882"/>
      <c r="I17" s="2871">
        <f>'[10]งบลงทุน (จังหวัด)'!M400+'[10]งบลงทุน (จังหวัด)'!M401+'[10]งบลงทุน (จังหวัด)'!M402+'[10]NFMA47 (2)'!K125</f>
        <v>503965.7</v>
      </c>
      <c r="J17" s="2880">
        <f>'[10]งบลงทุน (จังหวัด)'!N400+'[10]งบลงทุน (จังหวัด)'!N401+'[10]งบลงทุน (จังหวัด)'!N402+'[10]NFMA47 (2)'!N125</f>
        <v>503965.7</v>
      </c>
      <c r="K17" s="2880">
        <f>J17/I17*100</f>
        <v>100</v>
      </c>
      <c r="L17" s="2880">
        <f>'[10]งบลงทุน (จังหวัด)'!P400+'[10]งบลงทุน (จังหวัด)'!P401+'[10]งบลงทุน (จังหวัด)'!P402+'[10]NFMA47 (2)'!M125</f>
        <v>0</v>
      </c>
      <c r="M17" s="2871">
        <f>L17+J17</f>
        <v>503965.7</v>
      </c>
      <c r="N17" s="2871">
        <f>M17/I17*100</f>
        <v>100</v>
      </c>
      <c r="O17" s="2873">
        <f>I17-M17</f>
        <v>0</v>
      </c>
      <c r="P17" s="1222">
        <v>1891615.68</v>
      </c>
      <c r="Q17" s="1223">
        <f t="shared" si="1"/>
        <v>-1387649.98</v>
      </c>
      <c r="R17" s="2877">
        <v>1891615.68</v>
      </c>
      <c r="S17" s="1222">
        <f t="shared" si="2"/>
        <v>-3279265.66</v>
      </c>
      <c r="W17" s="1222"/>
      <c r="X17" s="1222"/>
      <c r="Y17" s="1222"/>
    </row>
    <row r="18" spans="1:25" s="740" customFormat="1" ht="24">
      <c r="A18" s="1256">
        <v>8</v>
      </c>
      <c r="B18" s="1260">
        <v>7500</v>
      </c>
      <c r="C18" s="2878" t="s">
        <v>575</v>
      </c>
      <c r="D18" s="2879">
        <v>1</v>
      </c>
      <c r="E18" s="2880"/>
      <c r="F18" s="2881"/>
      <c r="G18" s="2880"/>
      <c r="H18" s="2882"/>
      <c r="I18" s="2871">
        <f>'[10]NFMA47 (2)'!K131</f>
        <v>8000</v>
      </c>
      <c r="J18" s="2880">
        <f>'[10]NFMA47 (2)'!N131</f>
        <v>8000</v>
      </c>
      <c r="K18" s="2880">
        <f>J18/I18*100</f>
        <v>100</v>
      </c>
      <c r="L18" s="2880">
        <f>'[10]NFMA47 (2)'!M131</f>
        <v>0</v>
      </c>
      <c r="M18" s="2871">
        <f>L18+J18</f>
        <v>8000</v>
      </c>
      <c r="N18" s="2871">
        <f>M18/I18*100</f>
        <v>100</v>
      </c>
      <c r="O18" s="2873">
        <f>I18-M18</f>
        <v>0</v>
      </c>
      <c r="P18" s="1222">
        <v>764177.48</v>
      </c>
      <c r="Q18" s="1223">
        <f t="shared" si="1"/>
        <v>-756177.48</v>
      </c>
      <c r="R18" s="2877">
        <v>492777.48</v>
      </c>
      <c r="S18" s="1222">
        <f t="shared" si="2"/>
        <v>-1248954.96</v>
      </c>
      <c r="W18" s="1222"/>
      <c r="X18" s="1222"/>
      <c r="Y18" s="1222"/>
    </row>
    <row r="19" spans="1:25" s="740" customFormat="1" ht="24">
      <c r="A19" s="1260">
        <v>9</v>
      </c>
      <c r="B19" s="1260">
        <v>7600</v>
      </c>
      <c r="C19" s="2878" t="s">
        <v>799</v>
      </c>
      <c r="D19" s="2879">
        <v>3</v>
      </c>
      <c r="E19" s="2880">
        <f>'[10]งบลงทุน (จังหวัด)'!F161+'[10]งบลงทุน (จังหวัด)'!F162</f>
        <v>149200</v>
      </c>
      <c r="F19" s="2881"/>
      <c r="G19" s="2880"/>
      <c r="H19" s="2882"/>
      <c r="I19" s="2871">
        <f>'[10]งบลงทุน (จังหวัด)'!M241+'[10]งบลงทุน (จังหวัด)'!M242+'[10]NFMA47 (2)'!K133</f>
        <v>195720</v>
      </c>
      <c r="J19" s="2880">
        <f>'[10]งบลงทุน (จังหวัด)'!N241+'[10]งบลงทุน (จังหวัด)'!N242+'[10]NFMA47 (2)'!N133</f>
        <v>195720</v>
      </c>
      <c r="K19" s="2880">
        <f>J19/I19*100</f>
        <v>100</v>
      </c>
      <c r="L19" s="2880">
        <f>'[10]งบลงทุน (จังหวัด)'!P241+'[10]งบลงทุน (จังหวัด)'!P242+'[10]NFMA47 (2)'!M133</f>
        <v>0</v>
      </c>
      <c r="M19" s="2871">
        <f>L19+J19</f>
        <v>195720</v>
      </c>
      <c r="N19" s="2871">
        <f>M19/I19*100</f>
        <v>100</v>
      </c>
      <c r="O19" s="2873">
        <f>I19-M19</f>
        <v>0</v>
      </c>
      <c r="P19" s="1222">
        <v>2393364.98</v>
      </c>
      <c r="Q19" s="1223">
        <f t="shared" si="1"/>
        <v>-2197644.98</v>
      </c>
      <c r="R19" s="2877">
        <v>2393364.98</v>
      </c>
      <c r="S19" s="1222">
        <f t="shared" si="2"/>
        <v>-4591009.96</v>
      </c>
      <c r="W19" s="1222"/>
      <c r="X19" s="1222"/>
      <c r="Y19" s="1222"/>
    </row>
    <row r="20" spans="1:25" s="740" customFormat="1" ht="24">
      <c r="A20" s="1260">
        <v>10</v>
      </c>
      <c r="B20" s="1260">
        <v>7700</v>
      </c>
      <c r="C20" s="2878" t="s">
        <v>343</v>
      </c>
      <c r="D20" s="2879">
        <v>2</v>
      </c>
      <c r="E20" s="2880">
        <f>'[10]งบลงทุน (จังหวัด)'!F461</f>
        <v>104000</v>
      </c>
      <c r="F20" s="2881"/>
      <c r="G20" s="2880"/>
      <c r="H20" s="2882"/>
      <c r="I20" s="2871">
        <f>'[10]งบลงทุน (จังหวัด)'!M210+'[10]NFMA47 (2)'!K135</f>
        <v>112000</v>
      </c>
      <c r="J20" s="2880">
        <f>'[10]งบลงทุน (จังหวัด)'!N210+'[10]NFMA47 (2)'!N133</f>
        <v>112000</v>
      </c>
      <c r="K20" s="2880">
        <f>J20/I20*100</f>
        <v>100</v>
      </c>
      <c r="L20" s="2880">
        <f>'[10]งบลงทุน (จังหวัด)'!P210+'[10]NFMA47 (2)'!M135</f>
        <v>0</v>
      </c>
      <c r="M20" s="2871">
        <f>L20+J20</f>
        <v>112000</v>
      </c>
      <c r="N20" s="2871">
        <f>M20/I20*100</f>
        <v>100</v>
      </c>
      <c r="O20" s="2873">
        <f>I20-M20</f>
        <v>0</v>
      </c>
      <c r="P20" s="1222">
        <v>4860217.34</v>
      </c>
      <c r="Q20" s="1223">
        <f t="shared" si="1"/>
        <v>-4748217.34</v>
      </c>
      <c r="R20" s="2877">
        <v>4860217.34</v>
      </c>
      <c r="S20" s="1222">
        <f t="shared" si="2"/>
        <v>-9608434.6799999997</v>
      </c>
      <c r="W20" s="1222"/>
      <c r="X20" s="1222"/>
      <c r="Y20" s="1222"/>
    </row>
    <row r="21" spans="1:25" s="740" customFormat="1" ht="24">
      <c r="A21" s="1260">
        <v>11</v>
      </c>
      <c r="B21" s="1260">
        <v>8200</v>
      </c>
      <c r="C21" s="2878" t="str">
        <f>'[10]NFMA47 (2)'!F141</f>
        <v>พังงา</v>
      </c>
      <c r="D21" s="2879">
        <v>1</v>
      </c>
      <c r="E21" s="2880"/>
      <c r="F21" s="2881"/>
      <c r="G21" s="2880"/>
      <c r="H21" s="2882"/>
      <c r="I21" s="2871">
        <f>'[10]NFMA47 (2)'!K143</f>
        <v>8000</v>
      </c>
      <c r="J21" s="2880">
        <f>'[10]NFMA47 (2)'!N141</f>
        <v>8000</v>
      </c>
      <c r="K21" s="2880">
        <f>J21/I21*100</f>
        <v>100</v>
      </c>
      <c r="L21" s="2880">
        <f>'[10]NFMA47 (2)'!M141</f>
        <v>0</v>
      </c>
      <c r="M21" s="2871">
        <f>L21+J21</f>
        <v>8000</v>
      </c>
      <c r="N21" s="2871">
        <f>M21/I21*100</f>
        <v>100</v>
      </c>
      <c r="O21" s="2873">
        <f>I21-M21</f>
        <v>0</v>
      </c>
      <c r="P21" s="1222">
        <v>1306960</v>
      </c>
      <c r="Q21" s="1223">
        <f t="shared" si="1"/>
        <v>-1298960</v>
      </c>
      <c r="R21" s="2877">
        <v>1306960</v>
      </c>
      <c r="S21" s="1222">
        <f t="shared" si="2"/>
        <v>-2605920</v>
      </c>
      <c r="W21" s="1222"/>
      <c r="X21" s="1222"/>
      <c r="Y21" s="1222"/>
    </row>
    <row r="22" spans="1:25" s="740" customFormat="1" ht="24">
      <c r="A22" s="1256">
        <v>12</v>
      </c>
      <c r="B22" s="1260">
        <v>8600</v>
      </c>
      <c r="C22" s="2878" t="s">
        <v>580</v>
      </c>
      <c r="D22" s="2879">
        <v>3</v>
      </c>
      <c r="E22" s="2880">
        <f>'[10]งบลงทุน (จังหวัด)'!F82+'[10]งบลงทุน (จังหวัด)'!F83</f>
        <v>208000</v>
      </c>
      <c r="F22" s="2881"/>
      <c r="G22" s="2880"/>
      <c r="H22" s="2882"/>
      <c r="I22" s="2871">
        <f>'[10]งบลงทุน (จังหวัด)'!M72+'[10]งบลงทุน (จังหวัด)'!M73+'[10]NFMA47 (2)'!K149</f>
        <v>216000</v>
      </c>
      <c r="J22" s="2880">
        <f>'[10]งบลงทุน (จังหวัด)'!N72+'[10]งบลงทุน (จังหวัด)'!N73+'[10]NFMA47 (2)'!N149</f>
        <v>216000</v>
      </c>
      <c r="K22" s="2880">
        <f>J22/I22*100</f>
        <v>100</v>
      </c>
      <c r="L22" s="2880">
        <f>'[10]งบลงทุน (จังหวัด)'!P72+'[10]งบลงทุน (จังหวัด)'!P73+'[10]NFMA47 (2)'!M149</f>
        <v>0</v>
      </c>
      <c r="M22" s="2871">
        <f>L22+J22</f>
        <v>216000</v>
      </c>
      <c r="N22" s="2871">
        <f>M22/I22*100</f>
        <v>100</v>
      </c>
      <c r="O22" s="2873">
        <f>I22-M22</f>
        <v>0</v>
      </c>
      <c r="P22" s="1222"/>
      <c r="Q22" s="1223"/>
      <c r="R22" s="2877"/>
      <c r="S22" s="1222"/>
      <c r="W22" s="1222"/>
      <c r="X22" s="1222"/>
      <c r="Y22" s="1222"/>
    </row>
    <row r="23" spans="1:25" s="740" customFormat="1" ht="24">
      <c r="A23" s="1256">
        <v>13</v>
      </c>
      <c r="B23" s="1260">
        <v>9200</v>
      </c>
      <c r="C23" s="2878" t="s">
        <v>378</v>
      </c>
      <c r="D23" s="2879">
        <v>1</v>
      </c>
      <c r="E23" s="2880">
        <v>0</v>
      </c>
      <c r="F23" s="2881"/>
      <c r="G23" s="2880"/>
      <c r="H23" s="2882"/>
      <c r="I23" s="2871">
        <f>'[10]NFMA47 (2)'!K155</f>
        <v>8000</v>
      </c>
      <c r="J23" s="2880">
        <f>'[10]NFMA47 (2)'!N155</f>
        <v>8000</v>
      </c>
      <c r="K23" s="2880">
        <f>J23/I23*100</f>
        <v>100</v>
      </c>
      <c r="L23" s="2880">
        <f>'[10]NFMA47 (2)'!M155</f>
        <v>0</v>
      </c>
      <c r="M23" s="2871">
        <f>L23+J23</f>
        <v>8000</v>
      </c>
      <c r="N23" s="2871">
        <f>M23/I23*100</f>
        <v>100</v>
      </c>
      <c r="O23" s="2873">
        <f>I23-M23</f>
        <v>0</v>
      </c>
      <c r="P23" s="1222"/>
      <c r="Q23" s="1223"/>
      <c r="R23" s="2877"/>
      <c r="S23" s="1222"/>
      <c r="W23" s="1222"/>
      <c r="X23" s="1222"/>
      <c r="Y23" s="1222"/>
    </row>
    <row r="24" spans="1:25" s="740" customFormat="1" ht="24">
      <c r="A24" s="1260">
        <v>14</v>
      </c>
      <c r="B24" s="1260">
        <v>9400</v>
      </c>
      <c r="C24" s="2878" t="s">
        <v>802</v>
      </c>
      <c r="D24" s="2879">
        <v>7</v>
      </c>
      <c r="E24" s="2880">
        <f>'[10]งบลงทุน (จังหวัด)'!F25+'[10]งบลงทุน (จังหวัด)'!F26+'[10]งบลงทุน (จังหวัด)'!F152+'[10]งบลงทุน (จังหวัด)'!F332+'[10]งบลงทุน (จังหวัด)'!F333+'[10]งบลงทุน (จังหวัด)'!F334</f>
        <v>718800</v>
      </c>
      <c r="F24" s="2881"/>
      <c r="G24" s="2880"/>
      <c r="H24" s="2882"/>
      <c r="I24" s="2871">
        <f>'[10]งบลงทุน (จังหวัด)'!M216+'[10]งบลงทุน (จังหวัด)'!M217+'[10]งบลงทุน (จังหวัด)'!M218+'[10]งบลงทุน (จังหวัด)'!M219+'[10]งบลงทุน (จังหวัด)'!M220+'[10]งบลงทุน (จังหวัด)'!M221+'[10]NFMA47 (2)'!K159</f>
        <v>848900</v>
      </c>
      <c r="J24" s="2880">
        <f>'[10]งบลงทุน (จังหวัด)'!N216+'[10]งบลงทุน (จังหวัด)'!N217+'[10]งบลงทุน (จังหวัด)'!N218+'[10]งบลงทุน (จังหวัด)'!N219+'[10]งบลงทุน (จังหวัด)'!N220+'[10]งบลงทุน (จังหวัด)'!N221+'[10]NFMA47 (2)'!N159</f>
        <v>803700</v>
      </c>
      <c r="K24" s="2880">
        <f>J24/I24*100</f>
        <v>94.675462363058074</v>
      </c>
      <c r="L24" s="2880">
        <f>'[10]งบลงทุน (จังหวัด)'!P216+'[10]งบลงทุน (จังหวัด)'!P217+'[10]งบลงทุน (จังหวัด)'!P218+'[10]งบลงทุน (จังหวัด)'!P219+'[10]งบลงทุน (จังหวัด)'!P220+'[10]งบลงทุน (จังหวัด)'!P221+'[10]NFMA47 (2)'!M159</f>
        <v>45200</v>
      </c>
      <c r="M24" s="2871">
        <f>L24+J24</f>
        <v>848900</v>
      </c>
      <c r="N24" s="2871">
        <f>M24/I24*100</f>
        <v>100</v>
      </c>
      <c r="O24" s="2873">
        <f>I24-M24</f>
        <v>0</v>
      </c>
      <c r="P24" s="1222">
        <v>1509570.51</v>
      </c>
      <c r="Q24" s="1223">
        <f t="shared" si="1"/>
        <v>-660670.51</v>
      </c>
      <c r="R24" s="2877">
        <v>1509570.51</v>
      </c>
      <c r="S24" s="1222">
        <f t="shared" si="2"/>
        <v>-2170241.02</v>
      </c>
      <c r="W24" s="1222"/>
      <c r="X24" s="1222"/>
      <c r="Y24" s="1222"/>
    </row>
    <row r="25" spans="1:25" s="740" customFormat="1" ht="24">
      <c r="A25" s="1260">
        <v>15</v>
      </c>
      <c r="B25" s="1260">
        <v>3200</v>
      </c>
      <c r="C25" s="2878" t="s">
        <v>550</v>
      </c>
      <c r="D25" s="2879">
        <v>16</v>
      </c>
      <c r="E25" s="2880">
        <f>'[10]งบลงทุน (จังหวัด)'!F426+'[10]งบลงทุน (จังหวัด)'!F425+'[10]งบลงทุน (จังหวัด)'!F424+'[10]งบลงทุน (จังหวัด)'!F423+'[10]งบลงทุน (จังหวัด)'!F416+'[10]งบลงทุน (จังหวัด)'!F402+'[10]งบลงทุน (จังหวัด)'!F401+'[10]งบลงทุน (จังหวัด)'!F400+'[10]งบลงทุน (จังหวัด)'!F399+'[10]งบลงทุน (จังหวัด)'!F398+'[10]งบลงทุน (จังหวัด)'!F397+'[10]งบลงทุน (จังหวัด)'!F242+'[10]งบลงทุน (จังหวัด)'!F241+'[10]งบลงทุน (จังหวัด)'!F240+'[10]งบลงทุน (จังหวัด)'!F239</f>
        <v>1646922.7</v>
      </c>
      <c r="F25" s="2881"/>
      <c r="G25" s="2880"/>
      <c r="H25" s="2882"/>
      <c r="I25" s="2871">
        <f>'[10]งบลงทุน (จังหวัด)'!M407+'[10]งบลงทุน (จังหวัด)'!M408+'[10]งบลงทุน (จังหวัด)'!M409+'[10]งบลงทุน (จังหวัด)'!M410+'[10]งบลงทุน (จังหวัด)'!M411+'[10]งบลงทุน (จังหวัด)'!M412+'[10]งบลงทุน (จังหวัด)'!M413+'[10]งบลงทุน (จังหวัด)'!M414+'[10]งบลงทุน (จังหวัด)'!M415+'[10]งบลงทุน (จังหวัด)'!M416+'[10]งบลงทุน (จังหวัด)'!M417+'[10]งบลงทุน (จังหวัด)'!M418+'[10]งบลงทุน (จังหวัด)'!M419+'[10]งบลงทุน (จังหวัด)'!M420+'[10]งบลงทุน (จังหวัด)'!M421+'[10]NFMA47 (2)'!K53</f>
        <v>1771200</v>
      </c>
      <c r="J25" s="2880">
        <f>'[10]งบลงทุน (จังหวัด)'!N407+'[10]งบลงทุน (จังหวัด)'!N408+'[10]งบลงทุน (จังหวัด)'!N409+'[10]งบลงทุน (จังหวัด)'!N410+'[10]งบลงทุน (จังหวัด)'!N411+'[10]งบลงทุน (จังหวัด)'!N412+'[10]งบลงทุน (จังหวัด)'!N413+'[10]งบลงทุน (จังหวัด)'!N414+'[10]งบลงทุน (จังหวัด)'!N415+'[10]งบลงทุน (จังหวัด)'!N416+'[10]งบลงทุน (จังหวัด)'!N417+'[10]งบลงทุน (จังหวัด)'!N418+'[10]งบลงทุน (จังหวัด)'!N419+'[10]งบลงทุน (จังหวัด)'!N420+'[10]งบลงทุน (จังหวัด)'!N421+'[10]NFMA47 (2)'!N53</f>
        <v>1347200</v>
      </c>
      <c r="K25" s="2880">
        <f>J25/I25*100</f>
        <v>76.061427280939469</v>
      </c>
      <c r="L25" s="2880">
        <f>'[10]งบลงทุน (จังหวัด)'!P407+'[10]งบลงทุน (จังหวัด)'!P408+'[10]งบลงทุน (จังหวัด)'!P409+'[10]งบลงทุน (จังหวัด)'!P410+'[10]งบลงทุน (จังหวัด)'!P411+'[10]งบลงทุน (จังหวัด)'!P412+'[10]งบลงทุน (จังหวัด)'!P413+'[10]งบลงทุน (จังหวัด)'!P414+'[10]งบลงทุน (จังหวัด)'!P415+'[10]งบลงทุน (จังหวัด)'!P416+'[10]งบลงทุน (จังหวัด)'!P417+'[10]งบลงทุน (จังหวัด)'!P418+'[10]งบลงทุน (จังหวัด)'!P419+'[10]งบลงทุน (จังหวัด)'!P420+'[10]งบลงทุน (จังหวัด)'!P421+'[10]NFMA47 (2)'!M53</f>
        <v>424000</v>
      </c>
      <c r="M25" s="2871">
        <f>L25+J25</f>
        <v>1771200</v>
      </c>
      <c r="N25" s="2871">
        <f>M25/I25*100</f>
        <v>100</v>
      </c>
      <c r="O25" s="2873">
        <f>I25-M25</f>
        <v>0</v>
      </c>
      <c r="P25" s="1222">
        <v>2973300</v>
      </c>
      <c r="Q25" s="1223">
        <f t="shared" si="1"/>
        <v>-1202100</v>
      </c>
      <c r="R25" s="2877">
        <v>2973300</v>
      </c>
      <c r="S25" s="1222">
        <f t="shared" si="2"/>
        <v>-4175400</v>
      </c>
      <c r="W25" s="1222"/>
      <c r="X25" s="1222"/>
      <c r="Y25" s="1222"/>
    </row>
    <row r="26" spans="1:25" s="740" customFormat="1" ht="24">
      <c r="A26" s="1260">
        <v>16</v>
      </c>
      <c r="B26" s="1260">
        <v>9100</v>
      </c>
      <c r="C26" s="2878" t="s">
        <v>582</v>
      </c>
      <c r="D26" s="2879">
        <v>5</v>
      </c>
      <c r="E26" s="2883">
        <f>'[10]งบลงทุน (จังหวัด)'!F10+'[10]งบลงทุน (จังหวัด)'!F227+'[10]งบลงทุน (จังหวัด)'!F390+'[10]งบลงทุน (จังหวัด)'!F467</f>
        <v>337039</v>
      </c>
      <c r="F26" s="2881"/>
      <c r="G26" s="2880"/>
      <c r="H26" s="2882"/>
      <c r="I26" s="2871">
        <f>'[10]งบลงทุน (จังหวัด)'!M380+'[10]งบลงทุน (จังหวัด)'!M381+'[10]งบลงทุน (จังหวัด)'!M382+'[10]งบลงทุน (จังหวัด)'!M383+'[10]NFMA47 (2)'!K153</f>
        <v>727600</v>
      </c>
      <c r="J26" s="2901">
        <f>'[10]งบลงทุน (จังหวัด)'!N380+'[10]งบลงทุน (จังหวัด)'!N381+'[10]งบลงทุน (จังหวัด)'!N382+'[10]งบลงทุน (จังหวัด)'!N383+'[10]NFMA47 (2)'!N153</f>
        <v>488000</v>
      </c>
      <c r="K26" s="2880">
        <f>J26/I26*100</f>
        <v>67.069818581638259</v>
      </c>
      <c r="L26" s="2880">
        <f>'[10]งบลงทุน (จังหวัด)'!P380+'[10]งบลงทุน (จังหวัด)'!P381+'[10]งบลงทุน (จังหวัด)'!P382+'[10]งบลงทุน (จังหวัด)'!P383+'[10]NFMA47 (2)'!M153</f>
        <v>239600</v>
      </c>
      <c r="M26" s="2871">
        <f>L26+J26</f>
        <v>727600</v>
      </c>
      <c r="N26" s="2871">
        <f>M26/I26*100</f>
        <v>100</v>
      </c>
      <c r="O26" s="2873">
        <f>I26-M26</f>
        <v>0</v>
      </c>
      <c r="P26" s="1222"/>
      <c r="Q26" s="1223"/>
      <c r="R26" s="2877"/>
      <c r="S26" s="1222"/>
      <c r="W26" s="1222"/>
      <c r="X26" s="1222"/>
      <c r="Y26" s="1222"/>
    </row>
    <row r="27" spans="1:25" s="740" customFormat="1" ht="24">
      <c r="A27" s="1256">
        <v>17</v>
      </c>
      <c r="B27" s="1260">
        <v>5800</v>
      </c>
      <c r="C27" s="2878" t="s">
        <v>359</v>
      </c>
      <c r="D27" s="2879">
        <v>3</v>
      </c>
      <c r="E27" s="2883">
        <f>'[10]งบลงทุน (จังหวัด)'!F13+'[10]งบลงทุน (จังหวัด)'!F457</f>
        <v>208000</v>
      </c>
      <c r="F27" s="2881"/>
      <c r="G27" s="2880"/>
      <c r="H27" s="2882"/>
      <c r="I27" s="2880">
        <f>'[10]งบลงทุน (จังหวัด)'!M271+'[10]งบลงทุน (จังหวัด)'!M272+'[10]NFMA47 (2)'!K103</f>
        <v>315200</v>
      </c>
      <c r="J27" s="2901">
        <f>'[10]งบลงทุน (จังหวัด)'!N271+'[10]งบลงทุน (จังหวัด)'!N272+'[10]NFMA47 (2)'!N103</f>
        <v>53200</v>
      </c>
      <c r="K27" s="2880">
        <f>J27/I27*100</f>
        <v>16.878172588832488</v>
      </c>
      <c r="L27" s="2880">
        <f>'[10]งบลงทุน (จังหวัด)'!P271+'[10]งบลงทุน (จังหวัด)'!P272+'[10]NFMA47 (2)'!M103</f>
        <v>262000</v>
      </c>
      <c r="M27" s="2871">
        <f>L27+J27</f>
        <v>315200</v>
      </c>
      <c r="N27" s="2871">
        <f>M27/I27*100</f>
        <v>100</v>
      </c>
      <c r="O27" s="2873">
        <f>I27-M27</f>
        <v>0</v>
      </c>
      <c r="P27" s="1222"/>
      <c r="Q27" s="1223"/>
      <c r="R27" s="2877"/>
      <c r="S27" s="1222"/>
      <c r="W27" s="1222"/>
      <c r="X27" s="1222"/>
      <c r="Y27" s="1222"/>
    </row>
    <row r="28" spans="1:25" s="740" customFormat="1" ht="24">
      <c r="A28" s="1256">
        <v>18</v>
      </c>
      <c r="B28" s="1260">
        <v>5600</v>
      </c>
      <c r="C28" s="2878" t="s">
        <v>564</v>
      </c>
      <c r="D28" s="2879">
        <v>5</v>
      </c>
      <c r="E28" s="2880">
        <f>'[10]งบลงทุน (จังหวัด)'!F155+'[10]งบลงทุน (จังหวัด)'!F156+'[10]งบลงทุน (จังหวัด)'!F454+'[10]งบลงทุน (จังหวัด)'!F455</f>
        <v>596800</v>
      </c>
      <c r="F28" s="2881"/>
      <c r="G28" s="2880"/>
      <c r="H28" s="2882"/>
      <c r="I28" s="2880">
        <f>'[10]งบลงทุน (จังหวัด)'!M228+'[10]งบลงทุน (จังหวัด)'!M229+'[10]งบลงทุน (จังหวัด)'!M230+'[10]งบลงทุน (จังหวัด)'!M231+'[10]NFMA47 (2)'!K99</f>
        <v>351600</v>
      </c>
      <c r="J28" s="2880">
        <f>'[10]งบลงทุน (จังหวัด)'!N228+'[10]งบลงทุน (จังหวัด)'!N229+'[10]งบลงทุน (จังหวัด)'!N230+'[10]งบลงทุน (จังหวัด)'!N231+'[10]NFMA47 (2)'!N99</f>
        <v>53200</v>
      </c>
      <c r="K28" s="2880">
        <f>J28/I28*100</f>
        <v>15.130830489192265</v>
      </c>
      <c r="L28" s="2880">
        <f>'[10]งบลงทุน (จังหวัด)'!P228+'[10]งบลงทุน (จังหวัด)'!P229+'[10]งบลงทุน (จังหวัด)'!P230+'[10]งบลงทุน (จังหวัด)'!P231+'[10]NFMA47 (2)'!M99</f>
        <v>298400</v>
      </c>
      <c r="M28" s="2871">
        <f>L28+J28</f>
        <v>351600</v>
      </c>
      <c r="N28" s="2871">
        <f>M28/I28*100</f>
        <v>100</v>
      </c>
      <c r="O28" s="2873">
        <f>I28-M28</f>
        <v>0</v>
      </c>
      <c r="P28" s="1222">
        <v>24098627.760000002</v>
      </c>
      <c r="Q28" s="1223" t="e">
        <f>#REF!-P28</f>
        <v>#REF!</v>
      </c>
      <c r="R28" s="2877">
        <v>24098627.760000002</v>
      </c>
      <c r="S28" s="1222" t="e">
        <f t="shared" si="2"/>
        <v>#REF!</v>
      </c>
      <c r="W28" s="1222"/>
      <c r="X28" s="1222"/>
      <c r="Y28" s="1222"/>
    </row>
    <row r="29" spans="1:25" s="740" customFormat="1" ht="24">
      <c r="A29" s="1260">
        <v>19</v>
      </c>
      <c r="B29" s="1260">
        <v>6100</v>
      </c>
      <c r="C29" s="2878" t="s">
        <v>567</v>
      </c>
      <c r="D29" s="2879">
        <v>2</v>
      </c>
      <c r="E29" s="2880">
        <f>'[10]งบลงทุน (จังหวัด)'!F264</f>
        <v>45200</v>
      </c>
      <c r="F29" s="2881"/>
      <c r="G29" s="2880"/>
      <c r="H29" s="2882"/>
      <c r="I29" s="2871">
        <f>'[10]งบลงทุน (จังหวัด)'!M464+'[10]NFMA47 (2)'!K107</f>
        <v>112000</v>
      </c>
      <c r="J29" s="2880">
        <f>'[10]งบลงทุน (จังหวัด)'!N464+'[10]NFMA47 (2)'!N107</f>
        <v>8000</v>
      </c>
      <c r="K29" s="2880">
        <f>J29/I29*100</f>
        <v>7.1428571428571423</v>
      </c>
      <c r="L29" s="2880">
        <f>'[10]งบลงทุน (จังหวัด)'!P464+'[10]NFMA47 (2)'!M107</f>
        <v>104000</v>
      </c>
      <c r="M29" s="2871">
        <f>L29+J29</f>
        <v>112000</v>
      </c>
      <c r="N29" s="2871">
        <f>M29/I29*100</f>
        <v>100</v>
      </c>
      <c r="O29" s="2873">
        <f>I29-M29</f>
        <v>0</v>
      </c>
      <c r="P29" s="1222">
        <v>8292000</v>
      </c>
      <c r="Q29" s="1223">
        <f t="shared" si="1"/>
        <v>-8180000</v>
      </c>
      <c r="R29" s="2877">
        <v>8292000</v>
      </c>
      <c r="S29" s="1222">
        <f t="shared" si="2"/>
        <v>-16472000</v>
      </c>
      <c r="W29" s="1222"/>
      <c r="X29" s="1222"/>
      <c r="Y29" s="1222"/>
    </row>
    <row r="30" spans="1:25" s="740" customFormat="1" ht="24">
      <c r="A30" s="1260">
        <v>20</v>
      </c>
      <c r="B30" s="2884">
        <v>8500</v>
      </c>
      <c r="C30" s="2885" t="s">
        <v>579</v>
      </c>
      <c r="D30" s="2886">
        <v>3</v>
      </c>
      <c r="E30" s="2887">
        <f>'[10]งบลงทุน (จังหวัด)'!F22+'[10]งบลงทุน (จังหวัด)'!F46</f>
        <v>73325.3</v>
      </c>
      <c r="F30" s="2888"/>
      <c r="G30" s="2887"/>
      <c r="H30" s="2889"/>
      <c r="I30" s="2871">
        <f>'[10]งบลงทุน (จังหวัด)'!M307+'[10]งบลงทุน (จังหวัด)'!M308+'[10]NFMA47 (2)'!K147</f>
        <v>155000</v>
      </c>
      <c r="J30" s="2887">
        <f>'[10]งบลงทุน (จังหวัด)'!N307+'[10]งบลงทุน (จังหวัด)'!N308+'[10]NFMA47 (2)'!N147</f>
        <v>8000</v>
      </c>
      <c r="K30" s="2880">
        <f>J30/I30*100</f>
        <v>5.161290322580645</v>
      </c>
      <c r="L30" s="2887">
        <f>'[10]งบลงทุน (จังหวัด)'!P307+'[10]งบลงทุน (จังหวัด)'!P308+'[10]NFMA47 (2)'!M147</f>
        <v>147000</v>
      </c>
      <c r="M30" s="2871">
        <f>L30+J30</f>
        <v>155000</v>
      </c>
      <c r="N30" s="2871">
        <f>M30/I30*100</f>
        <v>100</v>
      </c>
      <c r="O30" s="2873">
        <f>I30-M30</f>
        <v>0</v>
      </c>
      <c r="P30" s="1222">
        <v>7573986.04</v>
      </c>
      <c r="Q30" s="1223">
        <f t="shared" si="1"/>
        <v>-7418986.04</v>
      </c>
      <c r="R30" s="2877">
        <v>7076986.04</v>
      </c>
      <c r="S30" s="1222">
        <f t="shared" si="2"/>
        <v>-14495972.08</v>
      </c>
      <c r="W30" s="1222"/>
      <c r="X30" s="1222"/>
      <c r="Y30" s="1222"/>
    </row>
    <row r="31" spans="1:25" s="740" customFormat="1" ht="24">
      <c r="A31" s="1260">
        <v>21</v>
      </c>
      <c r="B31" s="1260">
        <v>2100</v>
      </c>
      <c r="C31" s="2878" t="s">
        <v>543</v>
      </c>
      <c r="D31" s="2879">
        <v>4</v>
      </c>
      <c r="E31" s="2880">
        <f>'[10]งบลงทุน (จังหวัด)'!F360+'[10]งบลงทุน (จังหวัด)'!F361+'[10]งบลงทุน (จังหวัด)'!F362</f>
        <v>416000</v>
      </c>
      <c r="F31" s="2881"/>
      <c r="G31" s="2880"/>
      <c r="H31" s="2882"/>
      <c r="I31" s="2871">
        <f>'[10]งบลงทุน (จังหวัด)'!M309+'[10]งบลงทุน (จังหวัด)'!M310+'[10]งบลงทุน (จังหวัด)'!M311+'[10]NFMA47 (2)'!K35</f>
        <v>143600</v>
      </c>
      <c r="J31" s="2880">
        <f>'[10]งบลงทุน (จังหวัด)'!N309+'[10]งบลงทุน (จังหวัด)'!N310+'[10]งบลงทุน (จังหวัด)'!N311+'[10]NFMA47 (2)'!N35</f>
        <v>8000</v>
      </c>
      <c r="K31" s="2880">
        <f>J31/I31*100</f>
        <v>5.5710306406685239</v>
      </c>
      <c r="L31" s="2880">
        <f>'[10]งบลงทุน (จังหวัด)'!P309+'[10]งบลงทุน (จังหวัด)'!P310+'[10]งบลงทุน (จังหวัด)'!P311+'[10]NFMA47 (2)'!M35</f>
        <v>135600</v>
      </c>
      <c r="M31" s="2871">
        <f>L31+J31</f>
        <v>143600</v>
      </c>
      <c r="N31" s="2871">
        <f>M31/I31*100</f>
        <v>100</v>
      </c>
      <c r="O31" s="2873">
        <f>I31-M31</f>
        <v>0</v>
      </c>
      <c r="P31" s="1222">
        <v>6288528.4099999992</v>
      </c>
      <c r="Q31" s="1223">
        <f t="shared" si="1"/>
        <v>-6144928.4099999992</v>
      </c>
      <c r="R31" s="2877">
        <v>5131628.4099999992</v>
      </c>
      <c r="S31" s="1222">
        <f t="shared" si="2"/>
        <v>-11276556.819999998</v>
      </c>
      <c r="W31" s="1222"/>
      <c r="X31" s="1222"/>
      <c r="Y31" s="1222"/>
    </row>
    <row r="32" spans="1:25" s="740" customFormat="1" ht="24">
      <c r="A32" s="1256">
        <v>22</v>
      </c>
      <c r="B32" s="1260">
        <v>7400</v>
      </c>
      <c r="C32" s="2878" t="s">
        <v>344</v>
      </c>
      <c r="D32" s="2879">
        <v>2</v>
      </c>
      <c r="E32" s="2880">
        <f>'[10]งบลงทุน (จังหวัด)'!F7</f>
        <v>499000</v>
      </c>
      <c r="F32" s="2881"/>
      <c r="G32" s="2880"/>
      <c r="H32" s="2882"/>
      <c r="I32" s="2871">
        <f>'[10]งบลงทุน (จังหวัด)'!M385+'[10]NFMA47 (2)'!K129</f>
        <v>368000</v>
      </c>
      <c r="J32" s="2880">
        <f>'[10]NFMA47 (2)'!N129</f>
        <v>8000</v>
      </c>
      <c r="K32" s="2880">
        <f>J32/I32*100</f>
        <v>2.1739130434782608</v>
      </c>
      <c r="L32" s="2880">
        <f>'[10]งบลงทุน (จังหวัด)'!P385+'[10]NFMA47 (2)'!M129</f>
        <v>360000</v>
      </c>
      <c r="M32" s="2871">
        <f>L32+J32</f>
        <v>368000</v>
      </c>
      <c r="N32" s="2871">
        <f>M32/I32*100</f>
        <v>100</v>
      </c>
      <c r="O32" s="2873">
        <f>I32-M32</f>
        <v>0</v>
      </c>
      <c r="P32" s="1222">
        <v>7448382.3899999997</v>
      </c>
      <c r="Q32" s="1223">
        <f t="shared" si="1"/>
        <v>-7080382.3899999997</v>
      </c>
      <c r="R32" s="2877">
        <v>7448382.3899999997</v>
      </c>
      <c r="S32" s="1222">
        <f t="shared" si="2"/>
        <v>-14528764.779999999</v>
      </c>
      <c r="W32" s="1222"/>
      <c r="X32" s="1222"/>
      <c r="Y32" s="1222"/>
    </row>
    <row r="33" spans="1:25" s="740" customFormat="1" ht="24">
      <c r="A33" s="1256">
        <v>23</v>
      </c>
      <c r="B33" s="1260">
        <v>7000</v>
      </c>
      <c r="C33" s="2878" t="s">
        <v>796</v>
      </c>
      <c r="D33" s="2879">
        <v>2</v>
      </c>
      <c r="E33" s="2880">
        <f>'[10]งบลงทุน (จังหวัด)'!F190</f>
        <v>45200</v>
      </c>
      <c r="F33" s="2881"/>
      <c r="G33" s="2880"/>
      <c r="H33" s="2882"/>
      <c r="I33" s="2871">
        <f>'[10]งบลงทุน (จังหวัด)'!M312+'[10]NFMA47 (2)'!K121</f>
        <v>424000</v>
      </c>
      <c r="J33" s="2880">
        <f>'[10]งบลงทุน (จังหวัด)'!N312+'[10]NFMA47 (2)'!N121</f>
        <v>112000</v>
      </c>
      <c r="K33" s="2880">
        <f>J33/I33*100</f>
        <v>26.415094339622641</v>
      </c>
      <c r="L33" s="2880">
        <f>'[10]งบลงทุน (จังหวัด)'!P312+'[10]NFMA47 (2)'!M121</f>
        <v>312000</v>
      </c>
      <c r="M33" s="2871">
        <f>L33+J33</f>
        <v>424000</v>
      </c>
      <c r="N33" s="2871">
        <f>M33/I33*100</f>
        <v>100</v>
      </c>
      <c r="O33" s="2873">
        <f>I33-M33</f>
        <v>0</v>
      </c>
      <c r="P33" s="1222">
        <v>3681047.05</v>
      </c>
      <c r="Q33" s="1223">
        <f t="shared" si="1"/>
        <v>-3257047.05</v>
      </c>
      <c r="R33" s="2877">
        <v>3568447.05</v>
      </c>
      <c r="S33" s="1222">
        <f t="shared" si="2"/>
        <v>-6825494.0999999996</v>
      </c>
      <c r="W33" s="1222"/>
      <c r="X33" s="1222"/>
      <c r="Y33" s="1222"/>
    </row>
    <row r="34" spans="1:25" s="740" customFormat="1" ht="24">
      <c r="A34" s="1260">
        <v>24</v>
      </c>
      <c r="B34" s="1260">
        <v>1800</v>
      </c>
      <c r="C34" s="2878" t="s">
        <v>542</v>
      </c>
      <c r="D34" s="2879">
        <v>5</v>
      </c>
      <c r="E34" s="2880">
        <f>'[10]งบลงทุน (จังหวัด)'!F16+'[10]งบลงทุน (จังหวัด)'!F35+'[10]งบลงทุน (จังหวัด)'!F72+'[10]งบลงทุน (จังหวัด)'!F73</f>
        <v>506400</v>
      </c>
      <c r="F34" s="2881"/>
      <c r="G34" s="2880"/>
      <c r="H34" s="2882"/>
      <c r="I34" s="2871">
        <f>'[10]งบลงทุน (จังหวัด)'!M57+'[10]งบลงทุน (จังหวัด)'!M58+'[10]งบลงทุน (จังหวัด)'!M59+'[10]งบลงทุน (จังหวัด)'!M60+'[10]NFMA47 (2)'!K29</f>
        <v>556000</v>
      </c>
      <c r="J34" s="2880">
        <f>'[10]งบลงทุน (จังหวัด)'!N57+'[10]งบลงทุน (จังหวัด)'!N58+'[10]งบลงทุน (จังหวัด)'!N59+'[10]งบลงทุน (จังหวัด)'!N60+'[10]NFMA47 (2)'!N29</f>
        <v>8000</v>
      </c>
      <c r="K34" s="2880">
        <f>J34/I34*100</f>
        <v>1.4388489208633095</v>
      </c>
      <c r="L34" s="2880">
        <f>'[10]งบลงทุน (จังหวัด)'!P57+'[10]งบลงทุน (จังหวัด)'!P58+'[10]งบลงทุน (จังหวัด)'!P59+'[10]งบลงทุน (จังหวัด)'!P60+'[10]NFMA47 (2)'!M29</f>
        <v>548000</v>
      </c>
      <c r="M34" s="2871">
        <f>L34+J34</f>
        <v>556000</v>
      </c>
      <c r="N34" s="2871">
        <f>M34/I34*100</f>
        <v>100</v>
      </c>
      <c r="O34" s="2873">
        <f>I34-M34</f>
        <v>0</v>
      </c>
      <c r="P34" s="1222">
        <v>6989027.6200000001</v>
      </c>
      <c r="Q34" s="1223">
        <f t="shared" si="1"/>
        <v>-6433027.6200000001</v>
      </c>
      <c r="R34" s="2877">
        <v>6989027.6200000001</v>
      </c>
      <c r="S34" s="1222">
        <f t="shared" si="2"/>
        <v>-13422055.24</v>
      </c>
      <c r="W34" s="1222"/>
      <c r="X34" s="1222"/>
      <c r="Y34" s="1222"/>
    </row>
    <row r="35" spans="1:25" s="740" customFormat="1" ht="24">
      <c r="A35" s="1260">
        <v>25</v>
      </c>
      <c r="B35" s="1260">
        <v>8100</v>
      </c>
      <c r="C35" s="2878" t="s">
        <v>800</v>
      </c>
      <c r="D35" s="2879">
        <v>3</v>
      </c>
      <c r="E35" s="2880">
        <f>'[10]งบลงทุน (จังหวัด)'!F50+'[10]งบลงทุน (จังหวัด)'!F47</f>
        <v>208528</v>
      </c>
      <c r="F35" s="2881"/>
      <c r="G35" s="2880"/>
      <c r="H35" s="2882"/>
      <c r="I35" s="2871">
        <f>'[10]งบลงทุน (จังหวัด)'!M7+'[10]งบลงทุน (จังหวัด)'!M8+'[10]NFMA47 (2)'!K139</f>
        <v>611000</v>
      </c>
      <c r="J35" s="2880">
        <f>'[10]งบลงทุน (จังหวัด)'!N7+'[10]งบลงทุน (จังหวัด)'!N8+'[10]NFMA47 (2)'!N139</f>
        <v>8000</v>
      </c>
      <c r="K35" s="2880">
        <f>J35/I35*100</f>
        <v>1.3093289689034371</v>
      </c>
      <c r="L35" s="2880">
        <f>'[10]งบลงทุน (จังหวัด)'!P7+'[10]งบลงทุน (จังหวัด)'!P8+'[10]NFMA47 (2)'!M139</f>
        <v>603000</v>
      </c>
      <c r="M35" s="2871">
        <f>L35+J35</f>
        <v>611000</v>
      </c>
      <c r="N35" s="2871">
        <f>M35/I35*100</f>
        <v>100</v>
      </c>
      <c r="O35" s="2873">
        <f>I35-M35</f>
        <v>0</v>
      </c>
      <c r="P35" s="1222">
        <v>3061160.08</v>
      </c>
      <c r="Q35" s="1223">
        <f t="shared" si="1"/>
        <v>-2450160.08</v>
      </c>
      <c r="R35" s="2877">
        <v>3061160.08</v>
      </c>
      <c r="S35" s="1222">
        <f t="shared" si="2"/>
        <v>-5511320.1600000001</v>
      </c>
      <c r="W35" s="1222"/>
      <c r="X35" s="1222"/>
      <c r="Y35" s="1222"/>
    </row>
    <row r="36" spans="1:25" s="740" customFormat="1" ht="24">
      <c r="A36" s="1260">
        <v>26</v>
      </c>
      <c r="B36" s="1260">
        <v>2500</v>
      </c>
      <c r="C36" s="2878" t="s">
        <v>788</v>
      </c>
      <c r="D36" s="2879">
        <v>6</v>
      </c>
      <c r="E36" s="2880">
        <f>'[10]งบลงทุน (จังหวัด)'!F149+'[10]งบลงทุน (จังหวัด)'!F150+'[10]งบลงทุน (จังหวัด)'!F151+'[10]งบลงทุน (จังหวัด)'!F331+'[10]งบลงทุน (จังหวัด)'!F420</f>
        <v>388800</v>
      </c>
      <c r="F36" s="2881"/>
      <c r="G36" s="2880"/>
      <c r="H36" s="2882"/>
      <c r="I36" s="2871">
        <f>'[10]งบลงทุน (จังหวัด)'!M211+'[10]งบลงทุน (จังหวัด)'!M212+'[10]งบลงทุน (จังหวัด)'!M213+'[10]งบลงทุน (จังหวัด)'!M214+'[10]งบลงทุน (จังหวัด)'!M215+'[10]NFMA47 (2)'!K43</f>
        <v>618400</v>
      </c>
      <c r="J36" s="2880">
        <f>'[10]งบลงทุน (จังหวัด)'!N211+'[10]งบลงทุน (จังหวัด)'!N212+'[10]งบลงทุน (จังหวัด)'!N213+'[10]งบลงทุน (จังหวัด)'!N214+'[10]งบลงทุน (จังหวัด)'!N215+'[10]NFMA47 (2)'!N43</f>
        <v>8000</v>
      </c>
      <c r="K36" s="2880">
        <f>J36/I36*100</f>
        <v>1.29366106080207</v>
      </c>
      <c r="L36" s="2880">
        <f>'[10]งบลงทุน (จังหวัด)'!P211+'[10]งบลงทุน (จังหวัด)'!P212+'[10]งบลงทุน (จังหวัด)'!P213+'[10]งบลงทุน (จังหวัด)'!P214+'[10]งบลงทุน (จังหวัด)'!P215+'[10]NFMA47 (2)'!M43</f>
        <v>610400</v>
      </c>
      <c r="M36" s="2871">
        <f>L36+J36</f>
        <v>618400</v>
      </c>
      <c r="N36" s="2871">
        <f>M36/I36*100</f>
        <v>100</v>
      </c>
      <c r="O36" s="2873">
        <f>I36-M36</f>
        <v>0</v>
      </c>
      <c r="P36" s="1222">
        <v>2785844.02</v>
      </c>
      <c r="Q36" s="1223">
        <f t="shared" si="1"/>
        <v>-2167444.02</v>
      </c>
      <c r="R36" s="2877">
        <v>2785844.02</v>
      </c>
      <c r="S36" s="1222">
        <f t="shared" si="2"/>
        <v>-4953288.04</v>
      </c>
      <c r="W36" s="1222"/>
      <c r="X36" s="1222"/>
      <c r="Y36" s="1222"/>
    </row>
    <row r="37" spans="1:25" s="740" customFormat="1" ht="24">
      <c r="A37" s="1256">
        <v>27</v>
      </c>
      <c r="B37" s="1260">
        <v>6700</v>
      </c>
      <c r="C37" s="2878" t="s">
        <v>573</v>
      </c>
      <c r="D37" s="2879">
        <v>5</v>
      </c>
      <c r="E37" s="2880">
        <f>'[10]งบลงทุน (จังหวัด)'!F48+'[10]งบลงทุน (จังหวัด)'!F163+'[10]งบลงทุน (จังหวัด)'!F164+'[10]งบลงทุน (จังหวัด)'!F458</f>
        <v>397740</v>
      </c>
      <c r="F37" s="2881"/>
      <c r="G37" s="2880"/>
      <c r="H37" s="2882"/>
      <c r="I37" s="2871">
        <f>'[10]งบลงทุน (จังหวัด)'!M243+'[10]งบลงทุน (จังหวัด)'!M244+'[10]งบลงทุน (จังหวัด)'!M245+'[10]งบลงทุน (จังหวัด)'!M246+'[10]NFMA47 (2)'!K119</f>
        <v>696000</v>
      </c>
      <c r="J37" s="2880">
        <f>'[10]งบลงทุน (จังหวัด)'!N243+'[10]งบลงทุน (จังหวัด)'!N244+'[10]งบลงทุน (จังหวัด)'!N245+'[10]งบลงทุน (จังหวัด)'!N246+'[10]NFMA47 (2)'!N119</f>
        <v>0</v>
      </c>
      <c r="K37" s="2880">
        <f>J37/I37*100</f>
        <v>0</v>
      </c>
      <c r="L37" s="2880">
        <f>'[10]งบลงทุน (จังหวัด)'!P243+'[10]งบลงทุน (จังหวัด)'!P244+'[10]งบลงทุน (จังหวัด)'!P245+'[10]งบลงทุน (จังหวัด)'!P246+'[10]NFMA47 (2)'!M119</f>
        <v>696000</v>
      </c>
      <c r="M37" s="2871">
        <f>L37+J37</f>
        <v>696000</v>
      </c>
      <c r="N37" s="2871">
        <f>M37/I37*100</f>
        <v>100</v>
      </c>
      <c r="O37" s="2873">
        <f>I37-M37</f>
        <v>0</v>
      </c>
      <c r="P37" s="1222">
        <v>17432941.030000001</v>
      </c>
      <c r="Q37" s="1223">
        <f t="shared" si="1"/>
        <v>-16736941.030000001</v>
      </c>
      <c r="R37" s="2877">
        <v>17432941.030000001</v>
      </c>
      <c r="S37" s="1222">
        <f t="shared" si="2"/>
        <v>-34169882.060000002</v>
      </c>
      <c r="W37" s="1222"/>
      <c r="X37" s="1222"/>
      <c r="Y37" s="1222"/>
    </row>
    <row r="38" spans="1:25" s="740" customFormat="1" ht="24">
      <c r="A38" s="1256">
        <v>28</v>
      </c>
      <c r="B38" s="1260">
        <v>7300</v>
      </c>
      <c r="C38" s="2878" t="str">
        <f>'[10]NFMA47 (2)'!F127</f>
        <v>นครปฐม</v>
      </c>
      <c r="D38" s="2879">
        <v>1</v>
      </c>
      <c r="E38" s="2880"/>
      <c r="F38" s="2881"/>
      <c r="G38" s="2880"/>
      <c r="H38" s="2882"/>
      <c r="I38" s="2871">
        <f>'[10]NFMA47 (2)'!K127</f>
        <v>8000</v>
      </c>
      <c r="J38" s="2880">
        <f>'[10]NFMA47 (2)'!N127</f>
        <v>8000</v>
      </c>
      <c r="K38" s="2880"/>
      <c r="L38" s="2880">
        <f>'[10]NFMA47 (2)'!M127</f>
        <v>0</v>
      </c>
      <c r="M38" s="2871">
        <f>L38+J38</f>
        <v>8000</v>
      </c>
      <c r="N38" s="2871">
        <f>M38/I38*100</f>
        <v>100</v>
      </c>
      <c r="O38" s="2873">
        <f>I38-M38</f>
        <v>0</v>
      </c>
      <c r="P38" s="1222">
        <v>8291543.71</v>
      </c>
      <c r="Q38" s="1223">
        <f t="shared" si="1"/>
        <v>-8283543.71</v>
      </c>
      <c r="R38" s="2877">
        <v>6708543.71</v>
      </c>
      <c r="S38" s="1222">
        <f t="shared" si="2"/>
        <v>-14992087.42</v>
      </c>
      <c r="W38" s="1222"/>
      <c r="X38" s="1222"/>
      <c r="Y38" s="1222"/>
    </row>
    <row r="39" spans="1:25" s="740" customFormat="1" ht="24">
      <c r="A39" s="1260">
        <v>29</v>
      </c>
      <c r="B39" s="1260">
        <v>4200</v>
      </c>
      <c r="C39" s="2878" t="s">
        <v>555</v>
      </c>
      <c r="D39" s="2879">
        <v>17</v>
      </c>
      <c r="E39" s="2880">
        <f>'[10]งบลงทุน (จังหวัด)'!F197+'[10]งบลงทุน (จังหวัด)'!F198+'[10]งบลงทุน (จังหวัด)'!F199+'[10]งบลงทุน (จังหวัด)'!F200+'[10]งบลงทุน (จังหวัด)'!F201+'[10]งบลงทุน (จังหวัด)'!F202+'[10]งบลงทุน (จังหวัด)'!F203+'[10]งบลงทุน (จังหวัด)'!F204+'[10]งบลงทุน (จังหวัด)'!F366+'[10]งบลงทุน (จังหวัด)'!F367+'[10]งบลงทุน (จังหวัด)'!F368+'[10]งบลงทุน (จังหวัด)'!F369+'[10]งบลงทุน (จังหวัด)'!F370+'[10]งบลงทุน (จังหวัด)'!F371+'[10]งบลงทุน (จังหวัด)'!F372+'[10]งบลงทุน (จังหวัด)'!F373</f>
        <v>2002800</v>
      </c>
      <c r="F39" s="2881"/>
      <c r="G39" s="2880"/>
      <c r="H39" s="2882"/>
      <c r="I39" s="2871">
        <f>'[10]งบลงทุน (จังหวัด)'!M322+'[10]งบลงทุน (จังหวัด)'!M323+'[10]งบลงทุน (จังหวัด)'!M324+'[10]งบลงทุน (จังหวัด)'!M325+'[10]งบลงทุน (จังหวัด)'!M326+'[10]งบลงทุน (จังหวัด)'!M327+'[10]งบลงทุน (จังหวัด)'!M328+'[10]งบลงทุน (จังหวัด)'!M329+'[10]งบลงทุน (จังหวัด)'!M330+'[10]งบลงทุน (จังหวัด)'!M331+'[10]งบลงทุน (จังหวัด)'!M332+'[10]งบลงทุน (จังหวัด)'!M333+'[10]งบลงทุน (จังหวัด)'!M334+'[10]งบลงทุน (จังหวัด)'!M335+'[10]งบลงทุน (จังหวัด)'!M336+'[10]งบลงทุน (จังหวัด)'!M337+'[10]NFMA47 (2)'!K71</f>
        <v>2197600</v>
      </c>
      <c r="J39" s="2880">
        <f>'[10]งบลงทุน (จังหวัด)'!N322+'[10]งบลงทุน (จังหวัด)'!N323+'[10]งบลงทุน (จังหวัด)'!N324+'[10]งบลงทุน (จังหวัด)'!N325+'[10]งบลงทุน (จังหวัด)'!N326+'[10]งบลงทุน (จังหวัด)'!N327+'[10]งบลงทุน (จังหวัด)'!N328+'[10]งบลงทุน (จังหวัด)'!N329+'[10]งบลงทุน (จังหวัด)'!N330+'[10]งบลงทุน (จังหวัด)'!N331+'[10]งบลงทุน (จังหวัด)'!N332+'[10]งบลงทุน (จังหวัด)'!N333+'[10]งบลงทุน (จังหวัด)'!N334+'[10]งบลงทุน (จังหวัด)'!N335+'[10]งบลงทุน (จังหวัด)'!N336+'[10]งบลงทุน (จังหวัด)'!N337+'[10]NFMA47 (2)'!N71</f>
        <v>2189600</v>
      </c>
      <c r="K39" s="2880">
        <f>J39/I39*100</f>
        <v>99.635966508918813</v>
      </c>
      <c r="L39" s="2880">
        <f>'[10]งบลงทุน (จังหวัด)'!P322+'[10]งบลงทุน (จังหวัด)'!P323+'[10]งบลงทุน (จังหวัด)'!P324+'[10]งบลงทุน (จังหวัด)'!P325+'[10]งบลงทุน (จังหวัด)'!P326+'[10]งบลงทุน (จังหวัด)'!P327+'[10]งบลงทุน (จังหวัด)'!P328+'[10]งบลงทุน (จังหวัด)'!P329+'[10]งบลงทุน (จังหวัด)'!P330+'[10]งบลงทุน (จังหวัด)'!P331+'[10]งบลงทุน (จังหวัด)'!P332+'[10]งบลงทุน (จังหวัด)'!P333+'[10]งบลงทุน (จังหวัด)'!P334+'[10]งบลงทุน (จังหวัด)'!P335+'[10]งบลงทุน (จังหวัด)'!P336+'[10]งบลงทุน (จังหวัด)'!P337+'[10]NFMA47 (2)'!M71</f>
        <v>8000</v>
      </c>
      <c r="M39" s="2871">
        <f>L39+J39</f>
        <v>2197600</v>
      </c>
      <c r="N39" s="2871">
        <f>M39/I39*100</f>
        <v>100</v>
      </c>
      <c r="O39" s="2873">
        <f>I39-M39</f>
        <v>0</v>
      </c>
      <c r="P39" s="1222">
        <v>1245828.08</v>
      </c>
      <c r="Q39" s="1223">
        <f t="shared" si="1"/>
        <v>951771.91999999993</v>
      </c>
      <c r="R39" s="2877">
        <v>1245828.08</v>
      </c>
      <c r="S39" s="1222">
        <f t="shared" si="2"/>
        <v>-294056.16000000015</v>
      </c>
      <c r="W39" s="1222"/>
      <c r="X39" s="1222"/>
      <c r="Y39" s="1222"/>
    </row>
    <row r="40" spans="1:25" s="740" customFormat="1" ht="24">
      <c r="A40" s="1260">
        <v>30</v>
      </c>
      <c r="B40" s="1260">
        <v>4900</v>
      </c>
      <c r="C40" s="2878" t="s">
        <v>561</v>
      </c>
      <c r="D40" s="2879">
        <v>7</v>
      </c>
      <c r="E40" s="2880">
        <f>'[10]งบลงทุน (จังหวัด)'!F45+'[10]งบลงทุน (จังหวัด)'!F175+'[10]งบลงทุน (จังหวัด)'!F176+'[10]งบลงทุน (จังหวัด)'!F346+'[10]งบลงทุน (จังหวัด)'!F347+'[10]งบลงทุน (จังหวัด)'!F348</f>
        <v>1719515</v>
      </c>
      <c r="F40" s="2881"/>
      <c r="G40" s="2880"/>
      <c r="H40" s="2882"/>
      <c r="I40" s="2871">
        <f>'[10]งบลงทุน (จังหวัด)'!M265+'[10]งบลงทุน (จังหวัด)'!M266+'[10]งบลงทุน (จังหวัด)'!M267+'[10]งบลงทุน (จังหวัด)'!M268+'[10]งบลงทุน (จังหวัด)'!M269+'[10]งบลงทุน (จังหวัด)'!M270+'[10]NFMA47 (2)'!K85</f>
        <v>846214</v>
      </c>
      <c r="J40" s="2880">
        <f>'[10]งบลงทุน (จังหวัด)'!N265+'[10]งบลงทุน (จังหวัด)'!N266+'[10]งบลงทุน (จังหวัด)'!N267+'[10]งบลงทุน (จังหวัด)'!N268+'[10]งบลงทุน (จังหวัด)'!N269+'[10]งบลงทุน (จังหวัด)'!N270+'[10]NFMA47 (2)'!N85</f>
        <v>347214</v>
      </c>
      <c r="K40" s="2880">
        <f>J40/I40*100</f>
        <v>41.031464854044017</v>
      </c>
      <c r="L40" s="2880">
        <f>'[10]งบลงทุน (จังหวัด)'!P265+'[10]งบลงทุน (จังหวัด)'!P266+'[10]งบลงทุน (จังหวัด)'!P267+'[10]งบลงทุน (จังหวัด)'!P268+'[10]งบลงทุน (จังหวัด)'!P269+'[10]งบลงทุน (จังหวัด)'!P270+'[10]NFMA47 (2)'!M85</f>
        <v>499000</v>
      </c>
      <c r="M40" s="2871">
        <f>L40+J40</f>
        <v>846214</v>
      </c>
      <c r="N40" s="2871">
        <f>M40/I40*100</f>
        <v>100</v>
      </c>
      <c r="O40" s="2873">
        <f>I40-M40</f>
        <v>0</v>
      </c>
      <c r="P40" s="1222">
        <v>4694920.57</v>
      </c>
      <c r="Q40" s="1223">
        <f t="shared" si="1"/>
        <v>-3848706.5700000003</v>
      </c>
      <c r="R40" s="2877">
        <v>4689720.57</v>
      </c>
      <c r="S40" s="1222">
        <f t="shared" si="2"/>
        <v>-8538427.1400000006</v>
      </c>
      <c r="W40" s="1222"/>
      <c r="X40" s="1222"/>
      <c r="Y40" s="1222"/>
    </row>
    <row r="41" spans="1:25" s="740" customFormat="1" ht="24">
      <c r="A41" s="1260">
        <v>31</v>
      </c>
      <c r="B41" s="1260">
        <v>8000</v>
      </c>
      <c r="C41" s="2878" t="s">
        <v>576</v>
      </c>
      <c r="D41" s="2879">
        <v>9</v>
      </c>
      <c r="E41" s="2880">
        <f>'[10]งบลงทุน (จังหวัด)'!F17+'[10]งบลงทุน (จังหวัด)'!F125+'[10]งบลงทุน (จังหวัด)'!F126+'[10]งบลงทุน (จังหวัด)'!F317+'[10]งบลงทุน (จังหวัด)'!F462+'[10]งบลงทุน (จังหวัด)'!F463+'[10]งบลงทุน (จังหวัด)'!F464+'[10]งบลงทุน (จังหวัด)'!F465</f>
        <v>1147600</v>
      </c>
      <c r="F41" s="2881"/>
      <c r="G41" s="2880"/>
      <c r="H41" s="2882"/>
      <c r="I41" s="2871">
        <f>'[10]งบลงทุน (จังหวัด)'!M159+'[10]งบลงทุน (จังหวัด)'!M160+'[10]งบลงทุน (จังหวัด)'!M161+'[10]งบลงทุน (จังหวัด)'!M162+'[10]งบลงทุน (จังหวัด)'!M163+'[10]งบลงทุน (จังหวัด)'!M164+'[10]งบลงทุน (จังหวัด)'!M165+'[10]งบลงทุน (จังหวัด)'!M166+'[10]NFMA47 (2)'!K137</f>
        <v>2582899</v>
      </c>
      <c r="J41" s="2880">
        <f>'[10]งบลงทุน (จังหวัด)'!N159+'[10]งบลงทุน (จังหวัด)'!N160+'[10]งบลงทุน (จังหวัด)'!N161+'[10]งบลงทุน (จังหวัด)'!N162+'[10]งบลงทุน (จังหวัด)'!N163+'[10]งบลงทุน (จังหวัด)'!N164+'[10]งบลงทุน (จังหวัด)'!N165+'[10]งบลงทุน (จังหวัด)'!N166+'[10]NFMA47 (2)'!N137</f>
        <v>612900</v>
      </c>
      <c r="K41" s="2880">
        <f>J41/I41*100</f>
        <v>23.729150849491212</v>
      </c>
      <c r="L41" s="2880">
        <f>'[10]งบลงทุน (จังหวัด)'!P159+'[10]งบลงทุน (จังหวัด)'!P160+'[10]งบลงทุน (จังหวัด)'!P161+'[10]งบลงทุน (จังหวัด)'!P162+'[10]งบลงทุน (จังหวัด)'!P163+'[10]งบลงทุน (จังหวัด)'!P164+'[10]งบลงทุน (จังหวัด)'!P165+'[10]งบลงทุน (จังหวัด)'!P166+'[10]NFMA47 (2)'!M137</f>
        <v>1969999</v>
      </c>
      <c r="M41" s="2871">
        <f>L41+J41</f>
        <v>2582899</v>
      </c>
      <c r="N41" s="2871">
        <f>M41/I41*100</f>
        <v>100</v>
      </c>
      <c r="O41" s="2873">
        <f>I41-M41</f>
        <v>0</v>
      </c>
      <c r="P41" s="1222">
        <v>6140184.5700000003</v>
      </c>
      <c r="Q41" s="1223">
        <f t="shared" si="1"/>
        <v>-3557285.5700000003</v>
      </c>
      <c r="R41" s="2877">
        <v>6140184.5700000003</v>
      </c>
      <c r="S41" s="1222">
        <f t="shared" si="2"/>
        <v>-9697470.1400000006</v>
      </c>
      <c r="W41" s="1222"/>
      <c r="X41" s="1222"/>
      <c r="Y41" s="1222"/>
    </row>
    <row r="42" spans="1:25" s="740" customFormat="1" ht="25.5" customHeight="1">
      <c r="A42" s="1256">
        <v>32</v>
      </c>
      <c r="B42" s="1260">
        <v>3800</v>
      </c>
      <c r="C42" s="2878" t="s">
        <v>586</v>
      </c>
      <c r="D42" s="2879">
        <v>12</v>
      </c>
      <c r="E42" s="2880">
        <f>'[10]งบลงทุน (จังหวัด)'!F49+'[10]งบลงทุน (จังหวัด)'!F132+'[10]งบลงทุน (จังหวัด)'!F133+'[10]งบลงทุน (จังหวัด)'!F134+'[10]งบลงทุน (จังหวัด)'!F135+'[10]งบลงทุน (จังหวัด)'!F136+'[10]งบลงทุน (จังหวัด)'!F137+'[10]งบลงทุน (จังหวัด)'!F138+'[10]งบลงทุน (จังหวัด)'!F321+'[10]งบลงทุน (จังหวัด)'!F322+'[10]งบลงทุน (จังหวัด)'!F323</f>
        <v>1976000</v>
      </c>
      <c r="F42" s="2881"/>
      <c r="G42" s="2880"/>
      <c r="H42" s="2882"/>
      <c r="I42" s="2871">
        <f>'[10]งบลงทุน (จังหวัด)'!M180+'[10]งบลงทุน (จังหวัด)'!M181+'[10]งบลงทุน (จังหวัด)'!M182+'[10]งบลงทุน (จังหวัด)'!M183+'[10]งบลงทุน (จังหวัด)'!M184+'[10]งบลงทุน (จังหวัด)'!M185+'[10]งบลงทุน (จังหวัด)'!M186+'[10]งบลงทุน (จังหวัด)'!M187+'[10]งบลงทุน (จังหวัด)'!M188+'[10]งบลงทุน (จังหวัด)'!M189+'[10]งบลงทุน (จังหวัด)'!M190+'[10]NFMA47 (2)'!K187</f>
        <v>4468130</v>
      </c>
      <c r="J42" s="2880">
        <f>'[10]งบลงทุน (จังหวัด)'!N180+'[10]งบลงทุน (จังหวัด)'!N181+'[10]งบลงทุน (จังหวัด)'!N182+'[10]งบลงทุน (จังหวัด)'!N183+'[10]งบลงทุน (จังหวัด)'!N184+'[10]งบลงทุน (จังหวัด)'!N185+'[10]งบลงทุน (จังหวัด)'!N186+'[10]งบลงทุน (จังหวัด)'!N187+'[10]งบลงทุน (จังหวัด)'!N188+'[10]งบลงทุน (จังหวัด)'!N189+'[10]งบลงทุน (จังหวัด)'!N190+'[10]NFMA47 (2)'!N187</f>
        <v>1587430</v>
      </c>
      <c r="K42" s="2880">
        <f>J42/I42*100</f>
        <v>35.527838267910738</v>
      </c>
      <c r="L42" s="2880">
        <f>'[10]งบลงทุน (จังหวัด)'!P180+'[10]งบลงทุน (จังหวัด)'!P181+'[10]งบลงทุน (จังหวัด)'!P182+'[10]งบลงทุน (จังหวัด)'!P183+'[10]งบลงทุน (จังหวัด)'!P184+'[10]งบลงทุน (จังหวัด)'!P185+'[10]งบลงทุน (จังหวัด)'!P186+'[10]งบลงทุน (จังหวัด)'!P187+'[10]งบลงทุน (จังหวัด)'!P188+'[10]งบลงทุน (จังหวัด)'!P189+'[10]งบลงทุน (จังหวัด)'!P190+'[10]NFMA47 (2)'!M187</f>
        <v>2880700</v>
      </c>
      <c r="M42" s="2871">
        <f>L42+J42</f>
        <v>4468130</v>
      </c>
      <c r="N42" s="2871">
        <f>M42/I42*100</f>
        <v>100</v>
      </c>
      <c r="O42" s="2873">
        <f>I42-M42</f>
        <v>0</v>
      </c>
      <c r="P42" s="1222">
        <v>17132723.060000002</v>
      </c>
      <c r="Q42" s="1223">
        <f t="shared" si="1"/>
        <v>-12664593.060000002</v>
      </c>
      <c r="R42" s="2877">
        <v>6890723.0600000005</v>
      </c>
      <c r="S42" s="1222">
        <f t="shared" si="2"/>
        <v>-19555316.120000005</v>
      </c>
      <c r="W42" s="1222"/>
      <c r="X42" s="1222"/>
      <c r="Y42" s="1222"/>
    </row>
    <row r="43" spans="1:25" s="740" customFormat="1" ht="25.5" customHeight="1">
      <c r="A43" s="1256">
        <v>33</v>
      </c>
      <c r="B43" s="1260">
        <v>9300</v>
      </c>
      <c r="C43" s="2878" t="s">
        <v>583</v>
      </c>
      <c r="D43" s="2879">
        <v>7</v>
      </c>
      <c r="E43" s="2880">
        <f>'[10]งบลงทุน (จังหวัด)'!F157+'[10]งบลงทุน (จังหวัด)'!F158+'[10]งบลงทุน (จังหวัด)'!F336+'[10]งบลงทุน (จังหวัด)'!F337+'[10]งบลงทุน (จังหวัด)'!F468+'[10]งบลงทุน (จังหวัด)'!F469</f>
        <v>804800</v>
      </c>
      <c r="F43" s="2881"/>
      <c r="G43" s="2880"/>
      <c r="H43" s="2882"/>
      <c r="I43" s="2871">
        <f>'[10]งบลงทุน (จังหวัด)'!M232+'[10]งบลงทุน (จังหวัด)'!M233+'[10]งบลงทุน (จังหวัด)'!M234+'[10]งบลงทุน (จังหวัด)'!M235+'[10]งบลงทุน (จังหวัด)'!M236+'[10]งบลงทุน (จังหวัด)'!M237+'[10]NFMA47 (2)'!K157</f>
        <v>594300</v>
      </c>
      <c r="J43" s="2880">
        <f>'[10]งบลงทุน (จังหวัด)'!N232+'[10]งบลงทุน (จังหวัด)'!N233+'[10]งบลงทุน (จังหวัด)'!N235+'[10]งบลงทุน (จังหวัด)'!N234+'[10]งบลงทุน (จังหวัด)'!N236+'[10]งบลงทุน (จังหวัด)'!N237+'[10]NFMA47 (2)'!N157</f>
        <v>292800</v>
      </c>
      <c r="K43" s="2880">
        <f>J43/I43*100</f>
        <v>49.268046441191316</v>
      </c>
      <c r="L43" s="2880">
        <f>'[10]งบลงทุน (จังหวัด)'!P232+'[10]งบลงทุน (จังหวัด)'!P233+'[10]งบลงทุน (จังหวัด)'!P234+'[10]งบลงทุน (จังหวัด)'!P235+'[10]งบลงทุน (จังหวัด)'!P237+'[10]งบลงทุน (จังหวัด)'!P236+'[10]NFMA47 (2)'!M157</f>
        <v>301500</v>
      </c>
      <c r="M43" s="2871">
        <f>L43+J43</f>
        <v>594300</v>
      </c>
      <c r="N43" s="2871">
        <f>M43/I43*100</f>
        <v>100</v>
      </c>
      <c r="O43" s="2873">
        <f>I43-M43</f>
        <v>0</v>
      </c>
      <c r="P43" s="1222">
        <v>2655624.1399999997</v>
      </c>
      <c r="Q43" s="1223">
        <f t="shared" si="1"/>
        <v>-2061324.1399999997</v>
      </c>
      <c r="R43" s="2877">
        <v>2655624.1399999997</v>
      </c>
      <c r="S43" s="1222">
        <f t="shared" si="2"/>
        <v>-4716948.2799999993</v>
      </c>
      <c r="W43" s="1222"/>
      <c r="X43" s="1222"/>
      <c r="Y43" s="1222"/>
    </row>
    <row r="44" spans="1:25" s="740" customFormat="1" ht="24">
      <c r="A44" s="1260">
        <v>34</v>
      </c>
      <c r="B44" s="1260">
        <v>1900</v>
      </c>
      <c r="C44" s="2878" t="s">
        <v>785</v>
      </c>
      <c r="D44" s="2879">
        <v>5</v>
      </c>
      <c r="E44" s="2880">
        <f>'[10]งบลงทุน (จังหวัด)'!F38+'[10]งบลงทุน (จังหวัด)'!F231+'[10]งบลงทุน (จังหวัด)'!F391+'[10]งบลงทุน (จังหวัด)'!F392</f>
        <v>316400</v>
      </c>
      <c r="F44" s="2881"/>
      <c r="G44" s="2880"/>
      <c r="H44" s="2882"/>
      <c r="I44" s="2871">
        <f>'[10]งบลงทุน (จังหวัด)'!M389+'[10]งบลงทุน (จังหวัด)'!M390+'[10]งบลงทุน (จังหวัด)'!M391+'[10]งบลงทุน (จังหวัด)'!M392+'[10]NFMA47 (2)'!K31</f>
        <v>669061.16</v>
      </c>
      <c r="J44" s="2880">
        <f>'[10]งบลงทุน (จังหวัด)'!N389+'[10]งบลงทุน (จังหวัด)'!N390+'[10]งบลงทุน (จังหวัด)'!N391+'[10]งบลงทุน (จังหวัด)'!N392+'[10]NFMA47 (2)'!N31</f>
        <v>40861.160000000003</v>
      </c>
      <c r="K44" s="2880">
        <f>J44/I44*100</f>
        <v>6.1072383875937444</v>
      </c>
      <c r="L44" s="2880">
        <f>'[10]งบลงทุน (จังหวัด)'!P389+'[10]งบลงทุน (จังหวัด)'!P390+'[10]งบลงทุน (จังหวัด)'!P391+'[10]งบลงทุน (จังหวัด)'!P392+'[10]NFMA47 (2)'!M31</f>
        <v>628200</v>
      </c>
      <c r="M44" s="2871">
        <f>L44+J44</f>
        <v>669061.16</v>
      </c>
      <c r="N44" s="2871">
        <f>M44/I44*100</f>
        <v>100</v>
      </c>
      <c r="O44" s="2873">
        <f>I44-M44</f>
        <v>0</v>
      </c>
      <c r="P44" s="1222">
        <v>13634589.67</v>
      </c>
      <c r="Q44" s="1223">
        <f t="shared" si="1"/>
        <v>-12965528.51</v>
      </c>
      <c r="R44" s="2877">
        <v>13634589.67</v>
      </c>
      <c r="S44" s="1222">
        <f t="shared" si="2"/>
        <v>-26600118.18</v>
      </c>
      <c r="W44" s="1222"/>
      <c r="X44" s="1222"/>
      <c r="Y44" s="1222"/>
    </row>
    <row r="45" spans="1:25" s="740" customFormat="1" ht="24">
      <c r="A45" s="1260">
        <v>35</v>
      </c>
      <c r="B45" s="1260">
        <v>5400</v>
      </c>
      <c r="C45" s="2878" t="s">
        <v>795</v>
      </c>
      <c r="D45" s="2879">
        <v>5</v>
      </c>
      <c r="E45" s="2880">
        <f>'[10]งบลงทุน (จังหวัด)'!F165+'[10]งบลงทุน (จังหวัด)'!F166+'[10]งบลงทุน (จังหวัด)'!F339+'[10]งบลงทุน (จังหวัด)'!F453</f>
        <v>520000</v>
      </c>
      <c r="F45" s="2881"/>
      <c r="G45" s="2880"/>
      <c r="H45" s="2882"/>
      <c r="I45" s="2871">
        <f>'[10]งบลงทุน (จังหวัด)'!M247+'[10]งบลงทุน (จังหวัด)'!M248+'[10]งบลงทุน (จังหวัด)'!M249+'[10]งบลงทุน (จังหวัด)'!M250+'[10]NFMA47 (2)'!K95</f>
        <v>299250</v>
      </c>
      <c r="J45" s="2880">
        <f>'[10]งบลงทุน (จังหวัด)'!N247+'[10]งบลงทุน (จังหวัด)'!N248+'[10]งบลงทุน (จังหวัด)'!N249+'[10]งบลงทุน (จังหวัด)'!N250+'[10]NFMA47 (2)'!N95</f>
        <v>299250</v>
      </c>
      <c r="K45" s="2880">
        <f>J45/I45*100</f>
        <v>100</v>
      </c>
      <c r="L45" s="2880">
        <f>'[10]งบลงทุน (จังหวัด)'!P247+'[10]งบลงทุน (จังหวัด)'!P248+'[10]งบลงทุน (จังหวัด)'!P249+'[10]งบลงทุน (จังหวัด)'!P250+'[10]NFMA47 (2)'!M95</f>
        <v>0</v>
      </c>
      <c r="M45" s="2871">
        <f>L45+J45</f>
        <v>299250</v>
      </c>
      <c r="N45" s="2871">
        <f>M45/I45*100</f>
        <v>100</v>
      </c>
      <c r="O45" s="2873">
        <f>I45-M45</f>
        <v>0</v>
      </c>
      <c r="P45" s="1222">
        <v>11664307.32</v>
      </c>
      <c r="Q45" s="1223">
        <f t="shared" si="1"/>
        <v>-11365057.32</v>
      </c>
      <c r="R45" s="2877">
        <v>11664307.32</v>
      </c>
      <c r="S45" s="1222">
        <f t="shared" si="2"/>
        <v>-23029364.640000001</v>
      </c>
      <c r="W45" s="1222"/>
      <c r="X45" s="1222"/>
      <c r="Y45" s="1222"/>
    </row>
    <row r="46" spans="1:25" s="740" customFormat="1" ht="24">
      <c r="A46" s="1260">
        <v>36</v>
      </c>
      <c r="B46" s="1260">
        <v>3600</v>
      </c>
      <c r="C46" s="2878" t="s">
        <v>790</v>
      </c>
      <c r="D46" s="2879">
        <v>12</v>
      </c>
      <c r="E46" s="2880">
        <f>'[10]งบลงทุน (จังหวัด)'!F74+'[10]งบลงทุน (จังหวัด)'!F75+'[10]งบลงทุน (จังหวัด)'!F76+'[10]งบลงทุน (จังหวัด)'!F77+'[10]งบลงทุน (จังหวัด)'!F78+'[10]งบลงทุน (จังหวัด)'!F79+'[10]งบลงทุน (จังหวัด)'!F80+'[10]งบลงทุน (จังหวัด)'!F81+'[10]งบลงทุน (จังหวัด)'!F285+'[10]งบลงทุน (จังหวัด)'!F429+'[10]งบลงทุน (จังหวัด)'!F472</f>
        <v>1692450.94</v>
      </c>
      <c r="F46" s="2881"/>
      <c r="G46" s="2880"/>
      <c r="H46" s="2882"/>
      <c r="I46" s="2871">
        <f>'[10]งบลงทุน (จังหวัด)'!M61+'[10]งบลงทุน (จังหวัด)'!M62+'[10]งบลงทุน (จังหวัด)'!M63+'[10]งบลงทุน (จังหวัด)'!M64+'[10]งบลงทุน (จังหวัด)'!M65+'[10]งบลงทุน (จังหวัด)'!M66+'[10]งบลงทุน (จังหวัด)'!M67+'[10]งบลงทุน (จังหวัด)'!M68+'[10]งบลงทุน (จังหวัด)'!M69+'[10]งบลงทุน (จังหวัด)'!M70+'[10]งบลงทุน (จังหวัด)'!M71+'[10]NFMA47 (2)'!K61</f>
        <v>1856957.28</v>
      </c>
      <c r="J46" s="2880">
        <f>'[10]งบลงทุน (จังหวัด)'!N61+'[10]งบลงทุน (จังหวัด)'!N62+'[10]งบลงทุน (จังหวัด)'!N63+'[10]งบลงทุน (จังหวัด)'!N64+'[10]งบลงทุน (จังหวัด)'!N65+'[10]งบลงทุน (จังหวัด)'!N66+'[10]งบลงทุน (จังหวัด)'!N67+'[10]งบลงทุน (จังหวัด)'!N68+'[10]งบลงทุน (จังหวัด)'!N69+'[10]งบลงทุน (จังหวัด)'!N70+'[10]งบลงทุน (จังหวัด)'!N71+'[10]NFMA47 (2)'!N61</f>
        <v>1848957.28</v>
      </c>
      <c r="K46" s="2880">
        <f>J46/I46*100</f>
        <v>99.569187719816583</v>
      </c>
      <c r="L46" s="2880">
        <f>'[10]งบลงทุน (จังหวัด)'!P61+'[10]งบลงทุน (จังหวัด)'!P62+'[10]งบลงทุน (จังหวัด)'!P63+'[10]งบลงทุน (จังหวัด)'!P64+'[10]งบลงทุน (จังหวัด)'!P65+'[10]งบลงทุน (จังหวัด)'!P66+'[10]งบลงทุน (จังหวัด)'!P67+'[10]งบลงทุน (จังหวัด)'!P68+'[10]งบลงทุน (จังหวัด)'!P69+'[10]งบลงทุน (จังหวัด)'!P70+'[10]งบลงทุน (จังหวัด)'!P71+'[10]NFMA47 (2)'!M61</f>
        <v>8000</v>
      </c>
      <c r="M46" s="2871">
        <f>L46+J46</f>
        <v>1856957.28</v>
      </c>
      <c r="N46" s="2871">
        <f>M46/I46*100</f>
        <v>100</v>
      </c>
      <c r="O46" s="2873">
        <f>I46-M46</f>
        <v>0</v>
      </c>
      <c r="P46" s="1222">
        <v>1075840</v>
      </c>
      <c r="Q46" s="1223">
        <f t="shared" si="1"/>
        <v>781117.28</v>
      </c>
      <c r="R46" s="2877">
        <v>734840</v>
      </c>
      <c r="S46" s="1222">
        <f t="shared" si="2"/>
        <v>46277.280000000028</v>
      </c>
      <c r="W46" s="1222"/>
      <c r="X46" s="1222"/>
      <c r="Y46" s="1222"/>
    </row>
    <row r="47" spans="1:25" s="740" customFormat="1" ht="24">
      <c r="A47" s="1256">
        <v>37</v>
      </c>
      <c r="B47" s="1260">
        <v>4600</v>
      </c>
      <c r="C47" s="2878" t="s">
        <v>559</v>
      </c>
      <c r="D47" s="2879">
        <v>10</v>
      </c>
      <c r="E47" s="2880">
        <f>'[10]งบลงทุน (จังหวัด)'!F52+'[10]งบลงทุน (จังหวัด)'!F53+'[10]งบลงทุน (จังหวัด)'!F54+'[10]งบลงทุน (จังหวัด)'!F55+'[10]งบลงทุน (จังหวัด)'!F271+'[10]งบลงทุน (จังหวัด)'!F272+'[10]งบลงทุน (จังหวัด)'!F273+'[10]งบลงทุน (จังหวัด)'!F274+'[10]งบลงทุน (จังหวัด)'!F445</f>
        <v>1972600</v>
      </c>
      <c r="F47" s="2881"/>
      <c r="G47" s="2880"/>
      <c r="H47" s="2882"/>
      <c r="I47" s="2871">
        <f>'[10]งบลงทุน (จังหวัด)'!M12+'[10]งบลงทุน (จังหวัด)'!M13+'[10]งบลงทุน (จังหวัด)'!M14+'[10]งบลงทุน (จังหวัด)'!M15+'[10]งบลงทุน (จังหวัด)'!M16+'[10]งบลงทุน (จังหวัด)'!M17+'[10]งบลงทุน (จังหวัด)'!M18+'[10]งบลงทุน (จังหวัด)'!M19+'[10]งบลงทุน (จังหวัด)'!M20+'[10]NFMA47 (2)'!K79</f>
        <v>1029337.49</v>
      </c>
      <c r="J47" s="2880">
        <f>'[10]งบลงทุน (จังหวัด)'!N12+'[10]งบลงทุน (จังหวัด)'!N13+'[10]งบลงทุน (จังหวัด)'!N14+'[10]งบลงทุน (จังหวัด)'!N15+'[10]งบลงทุน (จังหวัด)'!N16+'[10]งบลงทุน (จังหวัด)'!N17+'[10]งบลงทุน (จังหวัด)'!N18+'[10]งบลงทุน (จังหวัด)'!N19+'[10]งบลงทุน (จังหวัด)'!N20+'[10]NFMA47 (2)'!N79</f>
        <v>925037.49</v>
      </c>
      <c r="K47" s="2880">
        <f>J47/I47*100</f>
        <v>89.867268897395363</v>
      </c>
      <c r="L47" s="2880">
        <f>'[10]งบลงทุน (จังหวัด)'!P12+'[10]งบลงทุน (จังหวัด)'!P13+'[10]งบลงทุน (จังหวัด)'!P14+'[10]งบลงทุน (จังหวัด)'!P15+'[10]งบลงทุน (จังหวัด)'!P16+'[10]งบลงทุน (จังหวัด)'!P17+'[10]งบลงทุน (จังหวัด)'!P18+'[10]งบลงทุน (จังหวัด)'!P19+'[10]งบลงทุน (จังหวัด)'!P20+'[10]NFMA47 (2)'!M79</f>
        <v>104300</v>
      </c>
      <c r="M47" s="2871">
        <f>L47+J47</f>
        <v>1029337.49</v>
      </c>
      <c r="N47" s="2871">
        <f>M47/I47*100</f>
        <v>100</v>
      </c>
      <c r="O47" s="2873">
        <f>I47-M47</f>
        <v>0</v>
      </c>
      <c r="P47" s="1222">
        <v>2111974.1500000004</v>
      </c>
      <c r="Q47" s="1223">
        <f t="shared" si="1"/>
        <v>-1082636.6600000004</v>
      </c>
      <c r="R47" s="2877">
        <v>2111974.1500000004</v>
      </c>
      <c r="S47" s="1222">
        <f t="shared" si="2"/>
        <v>-3194610.8100000005</v>
      </c>
      <c r="W47" s="1222"/>
      <c r="X47" s="1222"/>
      <c r="Y47" s="1222"/>
    </row>
    <row r="48" spans="1:25" s="740" customFormat="1" ht="24">
      <c r="A48" s="1256">
        <v>38</v>
      </c>
      <c r="B48" s="1260">
        <v>4400</v>
      </c>
      <c r="C48" s="2878" t="s">
        <v>557</v>
      </c>
      <c r="D48" s="2879">
        <v>14</v>
      </c>
      <c r="E48" s="2880">
        <f>'[10]งบลงทุน (จังหวัด)'!F167+'[10]งบลงทุน (จังหวัด)'!F168+'[10]งบลงทุน (จังหวัด)'!F169+'[10]งบลงทุน (จังหวัด)'!F170+'[10]งบลงทุน (จังหวัด)'!F171+'[10]งบลงทุน (จังหวัด)'!F172+'[10]งบลงทุน (จังหวัด)'!F173+'[10]งบลงทุน (จังหวัด)'!F174+'[10]งบลงทุน (จังหวัด)'!F341+'[10]งบลงทุน (จังหวัด)'!F342+'[10]งบลงทุน (จังหวัด)'!F343+'[10]งบลงทุน (จังหวัด)'!F344+'[10]งบลงทุน (จังหวัด)'!F345</f>
        <v>3535300</v>
      </c>
      <c r="F48" s="2881"/>
      <c r="G48" s="2880"/>
      <c r="H48" s="2882"/>
      <c r="I48" s="2871">
        <f>'[10]งบลงทุน (จังหวัด)'!M252+'[10]งบลงทุน (จังหวัด)'!M253+'[10]งบลงทุน (จังหวัด)'!M254+'[10]งบลงทุน (จังหวัด)'!M255+'[10]งบลงทุน (จังหวัด)'!M256+'[10]งบลงทุน (จังหวัด)'!M257+'[10]งบลงทุน (จังหวัด)'!M258+'[10]งบลงทุน (จังหวัด)'!M259+'[10]งบลงทุน (จังหวัด)'!M260+'[10]งบลงทุน (จังหวัด)'!M261+'[10]งบลงทุน (จังหวัด)'!M262+'[10]งบลงทุน (จังหวัด)'!M263+'[10]งบลงทุน (จังหวัด)'!M264+'[10]NFMA47 (2)'!K75</f>
        <v>2350221.87</v>
      </c>
      <c r="J48" s="2880">
        <f>'[10]งบลงทุน (จังหวัด)'!N252+'[10]งบลงทุน (จังหวัด)'!N253+'[10]งบลงทุน (จังหวัด)'!N254+'[10]งบลงทุน (จังหวัด)'!N255+'[10]งบลงทุน (จังหวัด)'!N256+'[10]งบลงทุน (จังหวัด)'!N257+'[10]งบลงทุน (จังหวัด)'!N258+'[10]งบลงทุน (จังหวัด)'!N259+'[10]งบลงทุน (จังหวัด)'!N260+'[10]งบลงทุน (จังหวัด)'!N261+'[10]งบลงทุน (จังหวัด)'!N262+'[10]งบลงทุน (จังหวัด)'!N263+'[10]งบลงทุน (จังหวัด)'!N264+'[10]NFMA47 (2)'!N75</f>
        <v>2342221.87</v>
      </c>
      <c r="K48" s="2880">
        <f>J48/I48*100</f>
        <v>99.659606605566992</v>
      </c>
      <c r="L48" s="2880">
        <f>'[10]งบลงทุน (จังหวัด)'!P252+'[10]งบลงทุน (จังหวัด)'!P253+'[10]งบลงทุน (จังหวัด)'!P254+'[10]งบลงทุน (จังหวัด)'!P255+'[10]งบลงทุน (จังหวัด)'!P256+'[10]งบลงทุน (จังหวัด)'!P257+'[10]งบลงทุน (จังหวัด)'!P258+'[10]งบลงทุน (จังหวัด)'!P259+'[10]งบลงทุน (จังหวัด)'!P260+'[10]งบลงทุน (จังหวัด)'!P261+'[10]งบลงทุน (จังหวัด)'!P262+'[10]งบลงทุน (จังหวัด)'!P263+'[10]งบลงทุน (จังหวัด)'!P264+'[10]NFMA47 (2)'!M75</f>
        <v>8000</v>
      </c>
      <c r="M48" s="2871">
        <f>L48+J48</f>
        <v>2350221.87</v>
      </c>
      <c r="N48" s="2871">
        <f>M48/I48*100</f>
        <v>100</v>
      </c>
      <c r="O48" s="2873">
        <f>I48-M48</f>
        <v>0</v>
      </c>
      <c r="P48" s="1222">
        <v>719831.70000000007</v>
      </c>
      <c r="Q48" s="1223">
        <f t="shared" si="1"/>
        <v>1630390.17</v>
      </c>
      <c r="R48" s="2877">
        <v>505631.70000000007</v>
      </c>
      <c r="S48" s="1222">
        <f t="shared" si="2"/>
        <v>1124758.4699999997</v>
      </c>
      <c r="W48" s="1222"/>
      <c r="X48" s="1222"/>
      <c r="Y48" s="1222"/>
    </row>
    <row r="49" spans="1:25" s="740" customFormat="1" ht="24">
      <c r="A49" s="1260">
        <v>39</v>
      </c>
      <c r="B49" s="1260">
        <v>4800</v>
      </c>
      <c r="C49" s="2878" t="s">
        <v>793</v>
      </c>
      <c r="D49" s="2879">
        <v>19</v>
      </c>
      <c r="E49" s="2880">
        <f>'[10]งบลงทุน (จังหวัด)'!F99+'[10]งบลงทุน (จังหวัด)'!F100+'[10]งบลงทุน (จังหวัด)'!F101+'[10]งบลงทุน (จังหวัด)'!F102+'[10]งบลงทุน (จังหวัด)'!F103+'[10]งบลงทุน (จังหวัด)'!F104+'[10]งบลงทุน (จังหวัด)'!F105+'[10]งบลงทุน (จังหวัด)'!F106+'[10]งบลงทุน (จังหวัด)'!F107+'[10]งบลงทุน (จังหวัด)'!F302+'[10]งบลงทุน (จังหวัด)'!F303+'[10]งบลงทุน (จังหวัด)'!F304+'[10]งบลงทุน (จังหวัด)'!F305+'[10]งบลงทุน (จังหวัด)'!F306+'[10]งบลงทุน (จังหวัด)'!F307+'[10]งบลงทุน (จังหวัด)'!F449+'[10]งบลงทุน (จังหวัด)'!F450+'[10]งบลงทุน (จังหวัด)'!F451</f>
        <v>1859930</v>
      </c>
      <c r="F49" s="2881"/>
      <c r="G49" s="2880"/>
      <c r="H49" s="2882"/>
      <c r="I49" s="2871">
        <f>'[10]งบลงทุน (จังหวัด)'!M115+'[10]งบลงทุน (จังหวัด)'!M116+'[10]งบลงทุน (จังหวัด)'!M117+'[10]งบลงทุน (จังหวัด)'!M118+'[10]งบลงทุน (จังหวัด)'!M119+'[10]งบลงทุน (จังหวัด)'!M120+'[10]งบลงทุน (จังหวัด)'!M121+'[10]งบลงทุน (จังหวัด)'!M122+'[10]งบลงทุน (จังหวัด)'!M123+'[10]งบลงทุน (จังหวัด)'!M124+'[10]งบลงทุน (จังหวัด)'!M125+'[10]งบลงทุน (จังหวัด)'!M126+'[10]งบลงทุน (จังหวัด)'!M127+'[10]งบลงทุน (จังหวัด)'!M128+'[10]งบลงทุน (จังหวัด)'!M129+'[10]งบลงทุน (จังหวัด)'!M130+'[10]งบลงทุน (จังหวัด)'!M131+'[10]งบลงทุน (จังหวัด)'!M132+'[10]NFMA47 (2)'!K83</f>
        <v>2233368</v>
      </c>
      <c r="J49" s="2880">
        <f>'[10]งบลงทุน (จังหวัด)'!N115+'[10]งบลงทุน (จังหวัด)'!N116+'[10]งบลงทุน (จังหวัด)'!N117+'[10]งบลงทุน (จังหวัด)'!N118+'[10]งบลงทุน (จังหวัด)'!N119+'[10]งบลงทุน (จังหวัด)'!N120+'[10]งบลงทุน (จังหวัด)'!N121+'[10]งบลงทุน (จังหวัด)'!N122+'[10]งบลงทุน (จังหวัด)'!N123+'[10]งบลงทุน (จังหวัด)'!N124+'[10]งบลงทุน (จังหวัด)'!N125+'[10]งบลงทุน (จังหวัด)'!N126+'[10]งบลงทุน (จังหวัด)'!N127+'[10]งบลงทุน (จังหวัด)'!N128+'[10]งบลงทุน (จังหวัด)'!N129+'[10]งบลงทุน (จังหวัด)'!N130+'[10]งบลงทุน (จังหวัด)'!N131+'[10]งบลงทุน (จังหวัด)'!N132+'[10]NFMA47 (2)'!N83</f>
        <v>1034200</v>
      </c>
      <c r="K49" s="2880">
        <f>J49/I49*100</f>
        <v>46.30674389531864</v>
      </c>
      <c r="L49" s="2880">
        <f>'[10]งบลงทุน (จังหวัด)'!P115+'[10]งบลงทุน (จังหวัด)'!P116+'[10]งบลงทุน (จังหวัด)'!P117+'[10]งบลงทุน (จังหวัด)'!P118+'[10]งบลงทุน (จังหวัด)'!P119+'[10]งบลงทุน (จังหวัด)'!P120+'[10]งบลงทุน (จังหวัด)'!P121+'[10]งบลงทุน (จังหวัด)'!P122+'[10]งบลงทุน (จังหวัด)'!P123+'[10]งบลงทุน (จังหวัด)'!P124+'[10]งบลงทุน (จังหวัด)'!P125+'[10]งบลงทุน (จังหวัด)'!P126+'[10]งบลงทุน (จังหวัด)'!P127+'[10]งบลงทุน (จังหวัด)'!P128+'[10]งบลงทุน (จังหวัด)'!P129+'[10]งบลงทุน (จังหวัด)'!P130+'[10]งบลงทุน (จังหวัด)'!P131+'[10]งบลงทุน (จังหวัด)'!P132+'[10]NFMA47 (2)'!M83</f>
        <v>1199168</v>
      </c>
      <c r="M49" s="2871">
        <f>L49+J49</f>
        <v>2233368</v>
      </c>
      <c r="N49" s="2871">
        <f>M49/I49*100</f>
        <v>100</v>
      </c>
      <c r="O49" s="2873">
        <f>I49-M49</f>
        <v>0</v>
      </c>
      <c r="P49" s="1222">
        <v>2623419.9999999995</v>
      </c>
      <c r="Q49" s="1223">
        <f t="shared" si="1"/>
        <v>-390051.99999999953</v>
      </c>
      <c r="R49" s="2877">
        <v>2623419.9999999995</v>
      </c>
      <c r="S49" s="1222">
        <f t="shared" si="2"/>
        <v>-3013471.9999999991</v>
      </c>
      <c r="W49" s="1222"/>
      <c r="X49" s="1222"/>
      <c r="Y49" s="1222"/>
    </row>
    <row r="50" spans="1:25" s="740" customFormat="1" ht="24">
      <c r="A50" s="1260">
        <v>40</v>
      </c>
      <c r="B50" s="1260">
        <v>4300</v>
      </c>
      <c r="C50" s="2878" t="s">
        <v>556</v>
      </c>
      <c r="D50" s="2879">
        <v>7</v>
      </c>
      <c r="E50" s="2880">
        <f>'[10]งบลงทุน (จังหวัด)'!F243+'[10]งบลงทุน (จังหวัด)'!F244+'[10]งบลงทุน (จังหวัด)'!F403+'[10]งบลงทุน (จังหวัด)'!F404+'[10]งบลงทุน (จังหวัด)'!F405+'[10]งบลงทุน (จังหวัด)'!F442</f>
        <v>1477200</v>
      </c>
      <c r="F50" s="2881"/>
      <c r="G50" s="2880"/>
      <c r="H50" s="2882"/>
      <c r="I50" s="2871">
        <f>'[10]งบลงทุน (จังหวัด)'!M422+'[10]งบลงทุน (จังหวัด)'!M423+'[10]งบลงทุน (จังหวัด)'!M424+'[10]งบลงทุน (จังหวัด)'!M425+'[10]งบลงทุน (จังหวัด)'!M426+'[10]งบลงทุน (จังหวัด)'!M427+'[10]NFMA47 (2)'!K73</f>
        <v>497100</v>
      </c>
      <c r="J50" s="2880">
        <f>'[10]งบลงทุน (จังหวัด)'!N422+'[10]งบลงทุน (จังหวัด)'!N423+'[10]งบลงทุน (จังหวัด)'!N424+'[10]งบลงทุน (จังหวัด)'!N425+'[10]งบลงทุน (จังหวัด)'!N426+'[10]งบลงทุน (จังหวัด)'!N427+'[10]NFMA47 (2)'!N73</f>
        <v>236200</v>
      </c>
      <c r="K50" s="2880">
        <f>J50/I50*100</f>
        <v>47.515590424461877</v>
      </c>
      <c r="L50" s="2880">
        <f>'[10]งบลงทุน (จังหวัด)'!P422+'[10]งบลงทุน (จังหวัด)'!P423+'[10]งบลงทุน (จังหวัด)'!P424+'[10]งบลงทุน (จังหวัด)'!P425+'[10]งบลงทุน (จังหวัด)'!P426+'[10]งบลงทุน (จังหวัด)'!P427+'[10]NFMA47 (2)'!M73</f>
        <v>260900</v>
      </c>
      <c r="M50" s="2871">
        <f>L50+J50</f>
        <v>497100</v>
      </c>
      <c r="N50" s="2871">
        <f>M50/I50*100</f>
        <v>100</v>
      </c>
      <c r="O50" s="2873">
        <f>I50-M50</f>
        <v>0</v>
      </c>
      <c r="P50" s="1222"/>
      <c r="Q50" s="1223"/>
      <c r="R50" s="2877"/>
      <c r="S50" s="1222"/>
      <c r="W50" s="1222"/>
      <c r="X50" s="1222"/>
      <c r="Y50" s="1222"/>
    </row>
    <row r="51" spans="1:25" s="740" customFormat="1" ht="24">
      <c r="A51" s="1260">
        <v>41</v>
      </c>
      <c r="B51" s="1260">
        <v>1400</v>
      </c>
      <c r="C51" s="2878" t="s">
        <v>339</v>
      </c>
      <c r="D51" s="2879">
        <v>7</v>
      </c>
      <c r="E51" s="2880">
        <f>'[10]งบลงทุน (จังหวัด)'!F153+'[10]งบลงทุน (จังหวัด)'!F154+'[10]งบลงทุน (จังหวัด)'!F335+'[10]งบลงทุน (จังหวัด)'!F417+'[10]งบลงทุน (จังหวัด)'!F418+'[10]งบลงทุน (จังหวัด)'!F419</f>
        <v>556000</v>
      </c>
      <c r="F51" s="2881"/>
      <c r="G51" s="2880"/>
      <c r="H51" s="2882"/>
      <c r="I51" s="2871">
        <f>'[10]งบลงทุน (จังหวัด)'!M222+'[10]งบลงทุน (จังหวัด)'!M223+'[10]งบลงทุน (จังหวัด)'!M224+'[10]งบลงทุน (จังหวัด)'!M225+'[10]งบลงทุน (จังหวัด)'!M226+'[10]งบลงทุน (จังหวัด)'!M227+'[10]NFMA47 (2)'!K21</f>
        <v>423872</v>
      </c>
      <c r="J51" s="2880">
        <f>'[10]งบลงทุน (จังหวัด)'!N222+'[10]งบลงทุน (จังหวัด)'!N223+'[10]งบลงทุน (จังหวัด)'!N224+'[10]งบลงทุน (จังหวัด)'!N225+'[10]งบลงทุน (จังหวัด)'!N226+'[10]งบลงทุน (จังหวัด)'!N227+'[10]NFMA47 (2)'!N21</f>
        <v>415872</v>
      </c>
      <c r="K51" s="2880">
        <f>J51/I51*100</f>
        <v>98.112637777442245</v>
      </c>
      <c r="L51" s="2880">
        <f>'[10]งบลงทุน (จังหวัด)'!P222+'[10]งบลงทุน (จังหวัด)'!P223+'[10]งบลงทุน (จังหวัด)'!P224+'[10]งบลงทุน (จังหวัด)'!P225+'[10]งบลงทุน (จังหวัด)'!P226+'[10]งบลงทุน (จังหวัด)'!P227+'[10]NFMA47 (2)'!M21</f>
        <v>8000</v>
      </c>
      <c r="M51" s="2871">
        <f>L51+J51</f>
        <v>423872</v>
      </c>
      <c r="N51" s="2871">
        <f>M51/I51*100</f>
        <v>100</v>
      </c>
      <c r="O51" s="2873">
        <f>I51-M51</f>
        <v>0</v>
      </c>
      <c r="P51" s="1222">
        <v>1628195.35</v>
      </c>
      <c r="Q51" s="1223">
        <f t="shared" si="1"/>
        <v>-1204323.3500000001</v>
      </c>
      <c r="R51" s="2877">
        <v>1006102.3300000001</v>
      </c>
      <c r="S51" s="1222">
        <f t="shared" si="2"/>
        <v>-2210425.6800000002</v>
      </c>
      <c r="W51" s="1222"/>
      <c r="X51" s="1222"/>
      <c r="Y51" s="1222"/>
    </row>
    <row r="52" spans="1:25" s="740" customFormat="1" ht="24">
      <c r="A52" s="1256">
        <v>42</v>
      </c>
      <c r="B52" s="1260">
        <v>6200</v>
      </c>
      <c r="C52" s="2878" t="s">
        <v>568</v>
      </c>
      <c r="D52" s="2879">
        <v>4</v>
      </c>
      <c r="E52" s="2880">
        <f>'[10]งบลงทุน (จังหวัด)'!F33+'[10]งบลงทุน (จังหวัด)'!F275+'[10]งบลงทุน (จังหวัด)'!F276</f>
        <v>1144000</v>
      </c>
      <c r="F52" s="2881"/>
      <c r="G52" s="2880"/>
      <c r="H52" s="2882"/>
      <c r="I52" s="2871">
        <f>'[10]งบลงทุน (จังหวัด)'!M21+'[10]งบลงทุน (จังหวัด)'!M22+'[10]งบลงทุน (จังหวัด)'!M23+'[10]NFMA47 (2)'!K109</f>
        <v>864884</v>
      </c>
      <c r="J52" s="2880">
        <f>'[10]งบลงทุน (จังหวัด)'!N21+'[10]งบลงทุน (จังหวัด)'!N22+'[10]งบลงทุน (จังหวัด)'!N23+'[10]NFMA47 (2)'!N109</f>
        <v>50900</v>
      </c>
      <c r="K52" s="2880">
        <f>J52/I52*100</f>
        <v>5.8851822903418265</v>
      </c>
      <c r="L52" s="2880">
        <f>'[10]งบลงทุน (จังหวัด)'!P21+'[10]งบลงทุน (จังหวัด)'!P22+'[10]งบลงทุน (จังหวัด)'!P23+'[10]NFMA47 (2)'!M109</f>
        <v>813984</v>
      </c>
      <c r="M52" s="2871">
        <f>L52+J52</f>
        <v>864884</v>
      </c>
      <c r="N52" s="2871">
        <f>M52/I52*100</f>
        <v>100</v>
      </c>
      <c r="O52" s="2873">
        <f>I52-M52</f>
        <v>0</v>
      </c>
      <c r="P52" s="1222">
        <v>716227.13</v>
      </c>
      <c r="Q52" s="1223">
        <f t="shared" si="1"/>
        <v>148656.87</v>
      </c>
      <c r="R52" s="2877">
        <v>716227.13</v>
      </c>
      <c r="S52" s="1222">
        <f t="shared" si="2"/>
        <v>-567570.26</v>
      </c>
      <c r="W52" s="1222"/>
      <c r="X52" s="1222"/>
      <c r="Y52" s="1222"/>
    </row>
    <row r="53" spans="1:25" s="740" customFormat="1" ht="24">
      <c r="A53" s="1256">
        <v>43</v>
      </c>
      <c r="B53" s="1260">
        <v>7100</v>
      </c>
      <c r="C53" s="2878" t="s">
        <v>797</v>
      </c>
      <c r="D53" s="2879">
        <v>4</v>
      </c>
      <c r="E53" s="2880">
        <f>'[10]งบลงทุน (จังหวัด)'!F51+'[10]งบลงทุน (จังหวัด)'!F270+'[10]งบลงทุน (จังหวัด)'!F459</f>
        <v>192000</v>
      </c>
      <c r="F53" s="2881"/>
      <c r="G53" s="2880"/>
      <c r="H53" s="2882"/>
      <c r="I53" s="2871">
        <f>'[10]งบลงทุน (จังหวัด)'!M9+'[10]งบลงทุน (จังหวัด)'!M10+'[10]งบลงทุน (จังหวัด)'!M11+'[10]NFMA47 (2)'!K123</f>
        <v>269200</v>
      </c>
      <c r="J53" s="2880">
        <f>'[10]งบลงทุน (จังหวัด)'!N9+'[10]งบลงทุน (จังหวัด)'!N10+'[10]งบลงทุน (จังหวัด)'!N11+'[10]NFMA47 (2)'!N123</f>
        <v>16000</v>
      </c>
      <c r="K53" s="2880">
        <f>J53/I53*100</f>
        <v>5.9435364041604748</v>
      </c>
      <c r="L53" s="2880">
        <f>'[10]งบลงทุน (จังหวัด)'!P9+'[10]งบลงทุน (จังหวัด)'!P10+'[10]งบลงทุน (จังหวัด)'!P11+'[10]NFMA47 (2)'!M123</f>
        <v>253200</v>
      </c>
      <c r="M53" s="2871">
        <f>L53+J53</f>
        <v>269200</v>
      </c>
      <c r="N53" s="2871">
        <f>M53/I53*100</f>
        <v>100</v>
      </c>
      <c r="O53" s="2873">
        <f>I53-M53</f>
        <v>0</v>
      </c>
      <c r="P53" s="1222">
        <v>2507800</v>
      </c>
      <c r="Q53" s="1223">
        <f t="shared" si="1"/>
        <v>-2238600</v>
      </c>
      <c r="R53" s="2877">
        <v>2296800</v>
      </c>
      <c r="S53" s="1222">
        <f t="shared" si="2"/>
        <v>-4535400</v>
      </c>
      <c r="W53" s="1222"/>
      <c r="X53" s="1222"/>
      <c r="Y53" s="1222"/>
    </row>
    <row r="54" spans="1:25" s="740" customFormat="1" ht="24">
      <c r="A54" s="1260">
        <v>44</v>
      </c>
      <c r="B54" s="2884">
        <v>8400</v>
      </c>
      <c r="C54" s="2885" t="s">
        <v>801</v>
      </c>
      <c r="D54" s="2886">
        <v>5</v>
      </c>
      <c r="E54" s="2887">
        <f>'[10]งบลงทุน (จังหวัด)'!F237+'[10]งบลงทุน (จังหวัด)'!F238+'[10]งบลงทุน (จังหวัด)'!F396+'[10]งบลงทุน (จังหวัด)'!F466</f>
        <v>461200</v>
      </c>
      <c r="F54" s="2888"/>
      <c r="G54" s="2887"/>
      <c r="H54" s="2889"/>
      <c r="I54" s="2871">
        <f>'[10]งบลงทุน (จังหวัด)'!M403+'[10]งบลงทุน (จังหวัด)'!M404+'[10]งบลงทุน (จังหวัด)'!M405+'[10]งบลงทุน (จังหวัด)'!M406+'[10]NFMA47 (2)'!K145</f>
        <v>469200</v>
      </c>
      <c r="J54" s="2887">
        <f>'[10]งบลงทุน (จังหวัด)'!N403+'[10]งบลงทุน (จังหวัด)'!N404+'[10]งบลงทุน (จังหวัด)'!N405+'[10]งบลงทุน (จังหวัด)'!N406+'[10]NFMA47 (2)'!N145</f>
        <v>8000</v>
      </c>
      <c r="K54" s="2880">
        <f>J54/I54*100</f>
        <v>1.7050298380221656</v>
      </c>
      <c r="L54" s="2887">
        <f>'[10]งบลงทุน (จังหวัด)'!P403+'[10]งบลงทุน (จังหวัด)'!P404+'[10]งบลงทุน (จังหวัด)'!P405+'[10]งบลงทุน (จังหวัด)'!P406+'[10]NFMA47 (2)'!M145</f>
        <v>461200</v>
      </c>
      <c r="M54" s="2871">
        <f>L54+J54</f>
        <v>469200</v>
      </c>
      <c r="N54" s="2871">
        <f>M54/I54*100</f>
        <v>100</v>
      </c>
      <c r="O54" s="2873">
        <f>I54-M54</f>
        <v>0</v>
      </c>
      <c r="P54" s="1222">
        <v>11973560.67</v>
      </c>
      <c r="Q54" s="1223">
        <f t="shared" si="1"/>
        <v>-11504360.67</v>
      </c>
      <c r="R54" s="2877">
        <v>11939660.67</v>
      </c>
      <c r="S54" s="1222">
        <f t="shared" si="2"/>
        <v>-23444021.34</v>
      </c>
      <c r="W54" s="1222"/>
      <c r="X54" s="1222"/>
      <c r="Y54" s="1222"/>
    </row>
    <row r="55" spans="1:25" s="740" customFormat="1" ht="24">
      <c r="A55" s="1260">
        <v>45</v>
      </c>
      <c r="B55" s="1260">
        <v>5200</v>
      </c>
      <c r="C55" s="2878" t="s">
        <v>358</v>
      </c>
      <c r="D55" s="2879">
        <v>4</v>
      </c>
      <c r="E55" s="2880">
        <f>'[10]งบลงทุน (จังหวัด)'!F194+'[10]งบลงทุน (จังหวัด)'!F364+'[10]งบลงทุน (จังหวัด)'!F365</f>
        <v>832000</v>
      </c>
      <c r="F55" s="2881"/>
      <c r="G55" s="2880"/>
      <c r="H55" s="2882"/>
      <c r="I55" s="2871">
        <f>'[10]งบลงทุน (จังหวัด)'!M317+'[10]งบลงทุน (จังหวัด)'!M318+'[10]งบลงทุน (จังหวัด)'!M319+'[10]NFMA47 (2)'!K91</f>
        <v>157200</v>
      </c>
      <c r="J55" s="2880">
        <f>'[10]งบลงทุน (จังหวัด)'!N317+'[10]งบลงทุน (จังหวัด)'!N318+'[10]งบลงทุน (จังหวัด)'!N319+'[10]NFMA47 (2)'!N91</f>
        <v>157200</v>
      </c>
      <c r="K55" s="2880">
        <f>J55/I55*100</f>
        <v>100</v>
      </c>
      <c r="L55" s="2880">
        <f>'[10]งบลงทุน (จังหวัด)'!P317+'[10]งบลงทุน (จังหวัด)'!P318+'[10]งบลงทุน (จังหวัด)'!P319+'[10]NFMA47 (2)'!M91</f>
        <v>0</v>
      </c>
      <c r="M55" s="2871">
        <f>L55+J55</f>
        <v>157200</v>
      </c>
      <c r="N55" s="2871">
        <f>M55/I55*100</f>
        <v>100</v>
      </c>
      <c r="O55" s="2873">
        <f>I55-M55</f>
        <v>0</v>
      </c>
      <c r="P55" s="1222">
        <v>79100</v>
      </c>
      <c r="Q55" s="1223">
        <f t="shared" si="1"/>
        <v>78100</v>
      </c>
      <c r="R55" s="2877">
        <v>79100</v>
      </c>
      <c r="S55" s="1222">
        <f t="shared" si="2"/>
        <v>-1000</v>
      </c>
      <c r="W55" s="1222"/>
      <c r="X55" s="1222"/>
      <c r="Y55" s="1222"/>
    </row>
    <row r="56" spans="1:25" s="740" customFormat="1" ht="24">
      <c r="A56" s="1260">
        <v>46</v>
      </c>
      <c r="B56" s="1260">
        <v>2200</v>
      </c>
      <c r="C56" s="2878" t="s">
        <v>2959</v>
      </c>
      <c r="D56" s="2879">
        <v>3</v>
      </c>
      <c r="E56" s="2880">
        <f>'[10]งบลงทุน (จังหวัด)'!F27+'[10]งบลงทุน (จังหวัด)'!F69</f>
        <v>714400</v>
      </c>
      <c r="F56" s="2881"/>
      <c r="G56" s="2880"/>
      <c r="H56" s="2882"/>
      <c r="I56" s="2871">
        <f>'[10]งบลงทุน (จังหวัด)'!M52+'[10]งบลงทุน (จังหวัด)'!M53+'[10]NFMA47 (2)'!K37</f>
        <v>191660</v>
      </c>
      <c r="J56" s="2880">
        <f>'[10]งบลงทุน (จังหวัด)'!N52+'[10]งบลงทุน (จังหวัด)'!N53+'[10]NFMA47 (2)'!N37</f>
        <v>191660</v>
      </c>
      <c r="K56" s="2880">
        <f>J56/I56*100</f>
        <v>100</v>
      </c>
      <c r="L56" s="2880">
        <f>'[10]งบลงทุน (จังหวัด)'!P52+'[10]งบลงทุน (จังหวัด)'!P53+'[10]NFMA47 (2)'!M37</f>
        <v>0</v>
      </c>
      <c r="M56" s="2871">
        <f>L56+J56</f>
        <v>191660</v>
      </c>
      <c r="N56" s="2871">
        <f>M56/I56*100</f>
        <v>100</v>
      </c>
      <c r="O56" s="2873">
        <f>I56-M56</f>
        <v>0</v>
      </c>
      <c r="P56" s="1222">
        <v>8455357.5099999998</v>
      </c>
      <c r="Q56" s="1223">
        <f t="shared" si="1"/>
        <v>-8263697.5099999998</v>
      </c>
      <c r="R56" s="2877">
        <v>8455357.5099999998</v>
      </c>
      <c r="S56" s="1222">
        <f t="shared" si="2"/>
        <v>-16719055.02</v>
      </c>
      <c r="W56" s="1222"/>
      <c r="X56" s="1222"/>
      <c r="Y56" s="1222"/>
    </row>
    <row r="57" spans="1:25" s="740" customFormat="1" ht="24">
      <c r="A57" s="1256">
        <v>47</v>
      </c>
      <c r="B57" s="1260">
        <v>5100</v>
      </c>
      <c r="C57" s="2878" t="s">
        <v>357</v>
      </c>
      <c r="D57" s="2879">
        <v>3</v>
      </c>
      <c r="E57" s="2880">
        <f>'[10]งบลงทุน (จังหวัด)'!F195+'[10]งบลงทุน (จังหวัด)'!F196</f>
        <v>312000</v>
      </c>
      <c r="F57" s="2881"/>
      <c r="G57" s="2880"/>
      <c r="H57" s="2882"/>
      <c r="I57" s="2871">
        <f>'[10]งบลงทุน (จังหวัด)'!M320+'[10]งบลงทุน (จังหวัด)'!M321+'[10]NFMA47 (2)'!K89</f>
        <v>126700</v>
      </c>
      <c r="J57" s="2880">
        <f>'[10]งบลงทุน (จังหวัด)'!N320+'[10]งบลงทุน (จังหวัด)'!N321+'[10]NFMA47 (2)'!N89</f>
        <v>8000</v>
      </c>
      <c r="K57" s="2880">
        <f>J57/I57*100</f>
        <v>6.3141278610891876</v>
      </c>
      <c r="L57" s="2880">
        <f>'[10]งบลงทุน (จังหวัด)'!P320+'[10]งบลงทุน (จังหวัด)'!P321+'[10]NFMA47 (2)'!M89</f>
        <v>118700</v>
      </c>
      <c r="M57" s="2871">
        <f>L57+J57</f>
        <v>126700</v>
      </c>
      <c r="N57" s="2871">
        <f>M57/I57*100</f>
        <v>100</v>
      </c>
      <c r="O57" s="2873">
        <f>I57-M57</f>
        <v>0</v>
      </c>
      <c r="P57" s="1222">
        <v>1247711</v>
      </c>
      <c r="Q57" s="1223">
        <f t="shared" si="1"/>
        <v>-1121011</v>
      </c>
      <c r="R57" s="2877">
        <v>1247711</v>
      </c>
      <c r="S57" s="1222">
        <f t="shared" si="2"/>
        <v>-2368722</v>
      </c>
      <c r="W57" s="1222"/>
      <c r="X57" s="1222"/>
      <c r="Y57" s="1222"/>
    </row>
    <row r="58" spans="1:25" s="740" customFormat="1" ht="24">
      <c r="A58" s="1256">
        <v>48</v>
      </c>
      <c r="B58" s="1260">
        <v>2400</v>
      </c>
      <c r="C58" s="2878" t="s">
        <v>545</v>
      </c>
      <c r="D58" s="2879">
        <v>2</v>
      </c>
      <c r="E58" s="2880">
        <f>'[10]งบลงทุน (จังหวัด)'!F70</f>
        <v>104000</v>
      </c>
      <c r="F58" s="2881"/>
      <c r="G58" s="2880"/>
      <c r="H58" s="2882"/>
      <c r="I58" s="2871">
        <f>'[10]งบลงทุน (จังหวัด)'!M54+'[10]NFMA47 (2)'!K41</f>
        <v>50830</v>
      </c>
      <c r="J58" s="2880">
        <f>'[10]งบลงทุน (จังหวัด)'!N54+'[10]NFMA47 (2)'!N41</f>
        <v>42830</v>
      </c>
      <c r="K58" s="2880">
        <f>J58/I58*100</f>
        <v>84.261263033641555</v>
      </c>
      <c r="L58" s="2880">
        <f>'[10]งบลงทุน (จังหวัด)'!P54+'[10]NFMA47 (2)'!M41</f>
        <v>8000</v>
      </c>
      <c r="M58" s="2871">
        <f>L58+J58</f>
        <v>50830</v>
      </c>
      <c r="N58" s="2871">
        <f>M58/I58*100</f>
        <v>100</v>
      </c>
      <c r="O58" s="2873">
        <f>I58-M58</f>
        <v>0</v>
      </c>
      <c r="P58" s="1222">
        <v>1017691.92</v>
      </c>
      <c r="Q58" s="1223">
        <f t="shared" si="1"/>
        <v>-966861.92</v>
      </c>
      <c r="R58" s="2877">
        <v>1017691.92</v>
      </c>
      <c r="S58" s="1222">
        <f t="shared" si="2"/>
        <v>-1984553.84</v>
      </c>
      <c r="W58" s="1222"/>
      <c r="X58" s="1222"/>
      <c r="Y58" s="1222"/>
    </row>
    <row r="59" spans="1:25" s="740" customFormat="1" ht="24">
      <c r="A59" s="1260">
        <v>49</v>
      </c>
      <c r="B59" s="1260">
        <v>6400</v>
      </c>
      <c r="C59" s="2878" t="s">
        <v>570</v>
      </c>
      <c r="D59" s="2879">
        <v>2</v>
      </c>
      <c r="E59" s="2880">
        <f>'[10]งบลงทุน (จังหวัด)'!F235</f>
        <v>90400</v>
      </c>
      <c r="F59" s="2891"/>
      <c r="G59" s="2892"/>
      <c r="H59" s="2882"/>
      <c r="I59" s="2893">
        <f>'[10]งบลงทุน (จังหวัด)'!M399+'[10]NFMA47 (2)'!K113</f>
        <v>36523</v>
      </c>
      <c r="J59" s="2880">
        <f>'[10]งบลงทุน (จังหวัด)'!N399+'[10]NFMA47 (2)'!N113</f>
        <v>36523</v>
      </c>
      <c r="K59" s="2880">
        <f>J59/I59*100</f>
        <v>100</v>
      </c>
      <c r="L59" s="2880">
        <f>'[10]งบลงทุน (จังหวัด)'!P399+'[10]NFMA47 (2)'!M113</f>
        <v>0</v>
      </c>
      <c r="M59" s="2871">
        <f>L59+J59</f>
        <v>36523</v>
      </c>
      <c r="N59" s="2871">
        <f>M59/I59*100</f>
        <v>100</v>
      </c>
      <c r="O59" s="2873">
        <f>I59-M59</f>
        <v>0</v>
      </c>
      <c r="P59" s="1222">
        <v>2553847.2600000002</v>
      </c>
      <c r="Q59" s="1223">
        <f t="shared" si="1"/>
        <v>-2517324.2600000002</v>
      </c>
      <c r="R59" s="2877">
        <v>2013977.2600000002</v>
      </c>
      <c r="S59" s="1222">
        <f t="shared" si="2"/>
        <v>-4531301.5200000005</v>
      </c>
      <c r="W59" s="1222"/>
      <c r="X59" s="1222"/>
      <c r="Y59" s="1222"/>
    </row>
    <row r="60" spans="1:25" s="740" customFormat="1" ht="24">
      <c r="A60" s="1260">
        <v>50</v>
      </c>
      <c r="B60" s="1260">
        <v>6600</v>
      </c>
      <c r="C60" s="2878" t="s">
        <v>572</v>
      </c>
      <c r="D60" s="2879">
        <v>3</v>
      </c>
      <c r="E60" s="2880">
        <f>'[10]งบลงทุน (จังหวัด)'!F159+'[10]งบลงทุน (จังหวัด)'!F338</f>
        <v>2108100</v>
      </c>
      <c r="F60" s="2881"/>
      <c r="G60" s="2880"/>
      <c r="H60" s="2882"/>
      <c r="I60" s="2871">
        <f>'[10]งบลงทุน (จังหวัด)'!M238+'[10]งบลงทุน (จังหวัด)'!M239+'[10]NFMA47 (2)'!K117</f>
        <v>152847.02000000002</v>
      </c>
      <c r="J60" s="2880">
        <f>'[10]งบลงทุน (จังหวัด)'!N238+'[10]งบลงทุน (จังหวัด)'!N239+'[10]NFMA47 (2)'!N117</f>
        <v>48847.02</v>
      </c>
      <c r="K60" s="2880">
        <f>J60/I60*100</f>
        <v>31.958110796010281</v>
      </c>
      <c r="L60" s="2880">
        <f>'[10]งบลงทุน (จังหวัด)'!P238+'[10]งบลงทุน (จังหวัด)'!P239+'[10]NFMA47 (2)'!M117</f>
        <v>104000</v>
      </c>
      <c r="M60" s="2871">
        <f>L60+J60</f>
        <v>152847.01999999999</v>
      </c>
      <c r="N60" s="2871">
        <f>M60/I60*100</f>
        <v>99.999999999999972</v>
      </c>
      <c r="O60" s="2873">
        <f>I60-M60</f>
        <v>0</v>
      </c>
      <c r="P60" s="1222"/>
      <c r="Q60" s="1223"/>
      <c r="R60" s="2877"/>
      <c r="S60" s="1222"/>
      <c r="W60" s="1222"/>
      <c r="X60" s="1222"/>
      <c r="Y60" s="1222"/>
    </row>
    <row r="61" spans="1:25" s="740" customFormat="1" ht="24">
      <c r="A61" s="1260">
        <v>51</v>
      </c>
      <c r="B61" s="1260">
        <v>1500</v>
      </c>
      <c r="C61" s="2878" t="s">
        <v>541</v>
      </c>
      <c r="D61" s="2879">
        <v>7</v>
      </c>
      <c r="E61" s="2880">
        <f>'[10]งบลงทุน (จังหวัด)'!F14+'[10]งบลงทุน (จังหวัด)'!F24+'[10]งบลงทุน (จังหวัด)'!F34+'[10]งบลงทุน (จังหวัด)'!F250+'[10]งบลงทุน (จังหวัด)'!F251+'[10]งบลงทุน (จังหวัด)'!F411</f>
        <v>505100</v>
      </c>
      <c r="F61" s="2881"/>
      <c r="G61" s="2880"/>
      <c r="H61" s="2882"/>
      <c r="I61" s="2871">
        <f>'[10]งบลงทุน (จังหวัด)'!M439+'[10]งบลงทุน (จังหวัด)'!M440+'[10]งบลงทุน (จังหวัด)'!M441+'[10]งบลงทุน (จังหวัด)'!M442+'[10]งบลงทุน (จังหวัด)'!M443+'[10]งบลงทุน (จังหวัด)'!M444+'[10]NFMA47 (2)'!K23</f>
        <v>1806016.49</v>
      </c>
      <c r="J61" s="2880">
        <f>'[10]งบลงทุน (จังหวัด)'!N439+'[10]งบลงทุน (จังหวัด)'!N440+'[10]งบลงทุน (จังหวัด)'!N441+'[10]งบลงทุน (จังหวัด)'!N442+'[10]งบลงทุน (จังหวัด)'!N443+'[10]งบลงทุน (จังหวัด)'!N444+'[10]NFMA47 (2)'!N23</f>
        <v>1251016.49</v>
      </c>
      <c r="K61" s="2880">
        <f>J61/I61*100</f>
        <v>69.269383581320454</v>
      </c>
      <c r="L61" s="2880">
        <f>'[10]งบลงทุน (จังหวัด)'!P439+'[10]งบลงทุน (จังหวัด)'!P440+'[10]งบลงทุน (จังหวัด)'!P441+'[10]งบลงทุน (จังหวัด)'!P442+'[10]งบลงทุน (จังหวัด)'!P443+'[10]งบลงทุน (จังหวัด)'!P444+'[10]NFMA47 (2)'!M23</f>
        <v>553000</v>
      </c>
      <c r="M61" s="2871">
        <f>L61+J61</f>
        <v>1804016.49</v>
      </c>
      <c r="N61" s="2871">
        <f>M61/I61*100</f>
        <v>99.889259039932682</v>
      </c>
      <c r="O61" s="2873">
        <f>I61-M61</f>
        <v>2000</v>
      </c>
      <c r="P61" s="1222"/>
      <c r="Q61" s="1223"/>
      <c r="R61" s="2877"/>
      <c r="S61" s="1222"/>
      <c r="W61" s="1222"/>
      <c r="X61" s="1222"/>
      <c r="Y61" s="1222"/>
    </row>
    <row r="62" spans="1:25" s="740" customFormat="1" ht="24">
      <c r="A62" s="1256">
        <v>52</v>
      </c>
      <c r="B62" s="1260">
        <v>3500</v>
      </c>
      <c r="C62" s="2878" t="s">
        <v>552</v>
      </c>
      <c r="D62" s="2879">
        <v>14</v>
      </c>
      <c r="E62" s="2880">
        <f>'[10]งบลงทุน (จังหวัด)'!F23+'[10]งบลงทุน (จังหวัด)'!F177+'[10]งบลงทุน (จังหวัด)'!F178+'[10]งบลงทุน (จังหวัด)'!F179+'[10]งบลงทุน (จังหวัด)'!F180+'[10]งบลงทุน (จังหวัด)'!F181+'[10]งบลงทุน (จังหวัด)'!F349+'[10]งบลงทุน (จังหวัด)'!F350+'[10]งบลงทุน (จังหวัด)'!F351+'[10]งบลงทุน (จังหวัด)'!F352+'[10]งบลงทุน (จังหวัด)'!F353+'[10]งบลงทุน (จังหวัด)'!F354+'[10]งบลงทุน (จังหวัด)'!F428</f>
        <v>3351600</v>
      </c>
      <c r="F62" s="2881"/>
      <c r="G62" s="2880"/>
      <c r="H62" s="2882"/>
      <c r="I62" s="2871">
        <f>'[10]งบลงทุน (จังหวัด)'!M273+'[10]งบลงทุน (จังหวัด)'!M274+'[10]งบลงทุน (จังหวัด)'!M275+'[10]งบลงทุน (จังหวัด)'!M276+'[10]งบลงทุน (จังหวัด)'!M277+'[10]งบลงทุน (จังหวัด)'!M278+'[10]งบลงทุน (จังหวัด)'!M279+'[10]งบลงทุน (จังหวัด)'!M280+'[10]งบลงทุน (จังหวัด)'!M281+'[10]งบลงทุน (จังหวัด)'!M282+'[10]งบลงทุน (จังหวัด)'!M283+'[10]งบลงทุน (จังหวัด)'!M284+'[10]งบลงทุน (จังหวัด)'!M285+'[10]NFMA47 (2)'!K59</f>
        <v>2063739.96</v>
      </c>
      <c r="J62" s="2880">
        <f>'[10]งบลงทุน (จังหวัด)'!N273+'[10]งบลงทุน (จังหวัด)'!N274+'[10]งบลงทุน (จังหวัด)'!N275+'[10]งบลงทุน (จังหวัด)'!N276+'[10]งบลงทุน (จังหวัด)'!N277+'[10]งบลงทุน (จังหวัด)'!N278+'[10]งบลงทุน (จังหวัด)'!N279+'[10]งบลงทุน (จังหวัด)'!N280+'[10]งบลงทุน (จังหวัด)'!N281+'[10]งบลงทุน (จังหวัด)'!N282+'[10]งบลงทุน (จังหวัด)'!N283+'[10]งบลงทุน (จังหวัด)'!N284+'[10]งบลงทุน (จังหวัด)'!N285+'[10]NFMA47 (2)'!N59</f>
        <v>394939.96</v>
      </c>
      <c r="K62" s="2880">
        <f>J62/I62*100</f>
        <v>19.137099036450312</v>
      </c>
      <c r="L62" s="2880">
        <f>'[10]งบลงทุน (จังหวัด)'!P273+'[10]งบลงทุน (จังหวัด)'!P274+'[10]งบลงทุน (จังหวัด)'!P275+'[10]งบลงทุน (จังหวัด)'!P276+'[10]งบลงทุน (จังหวัด)'!P277+'[10]งบลงทุน (จังหวัด)'!P278+'[10]งบลงทุน (จังหวัด)'!P279+'[10]งบลงทุน (จังหวัด)'!P280+'[10]งบลงทุน (จังหวัด)'!P281+'[10]งบลงทุน (จังหวัด)'!P282+'[10]งบลงทุน (จังหวัด)'!P283+'[10]งบลงทุน (จังหวัด)'!P284+'[10]งบลงทุน (จังหวัด)'!P285+'[10]NFMA47 (2)'!M59</f>
        <v>1662300</v>
      </c>
      <c r="M62" s="2871">
        <f>L62+J62</f>
        <v>2057239.96</v>
      </c>
      <c r="N62" s="2871">
        <f>M62/I62*100</f>
        <v>99.685037837809759</v>
      </c>
      <c r="O62" s="2873">
        <f>I62-M62</f>
        <v>6500</v>
      </c>
      <c r="P62" s="1222">
        <v>4996413.88</v>
      </c>
      <c r="Q62" s="1223">
        <f t="shared" si="1"/>
        <v>-2932673.92</v>
      </c>
      <c r="R62" s="2877">
        <v>4996413.88</v>
      </c>
      <c r="S62" s="1222">
        <f t="shared" si="2"/>
        <v>-7929087.7999999998</v>
      </c>
      <c r="W62" s="1222"/>
      <c r="X62" s="1222"/>
      <c r="Y62" s="1222"/>
    </row>
    <row r="63" spans="1:25" s="740" customFormat="1" ht="24">
      <c r="A63" s="1256">
        <v>53</v>
      </c>
      <c r="B63" s="1260">
        <v>5500</v>
      </c>
      <c r="C63" s="2878" t="s">
        <v>563</v>
      </c>
      <c r="D63" s="2879">
        <v>6</v>
      </c>
      <c r="E63" s="2880">
        <f>'[10]งบลงทุน (จังหวัด)'!F15+'[10]งบลงทุน (จังหวัด)'!F36+'[10]งบลงทุน (จังหวัด)'!F131+'[10]งบลงทุน (จังหวัด)'!F319+'[10]งบลงทุน (จังหวัด)'!F320</f>
        <v>859600</v>
      </c>
      <c r="F63" s="2881"/>
      <c r="G63" s="2880"/>
      <c r="H63" s="2882"/>
      <c r="I63" s="2871">
        <f>'[10]งบลงทุน (จังหวัด)'!M175+'[10]งบลงทุน (จังหวัด)'!M176+'[10]งบลงทุน (จังหวัด)'!M178+'[10]งบลงทุน (จังหวัด)'!M179+'[10]NFMA47 (2)'!K97+'[10]งบลงทุน (จังหวัด)'!F178</f>
        <v>1151400</v>
      </c>
      <c r="J63" s="2880">
        <f>'[10]งบลงทุน (จังหวัด)'!N175+'[10]งบลงทุน (จังหวัด)'!N176+'[10]งบลงทุน (จังหวัด)'!N177+'[10]งบลงทุน (จังหวัด)'!N178+'[10]งบลงทุน (จังหวัด)'!N179+'[10]NFMA47 (2)'!N97</f>
        <v>582450.26</v>
      </c>
      <c r="K63" s="2880">
        <f>J63/I63*100</f>
        <v>50.586265416015287</v>
      </c>
      <c r="L63" s="2880">
        <f>'[10]งบลงทุน (จังหวัด)'!P175+'[10]งบลงทุน (จังหวัด)'!P176+'[10]งบลงทุน (จังหวัด)'!P177+'[10]งบลงทุน (จังหวัด)'!P178+'[10]งบลงทุน (จังหวัด)'!P179+'[10]NFMA47 (2)'!M97</f>
        <v>564400</v>
      </c>
      <c r="M63" s="2871">
        <f>L63+J63</f>
        <v>1146850.26</v>
      </c>
      <c r="N63" s="2871">
        <f>M63/I63*100</f>
        <v>99.604851485148515</v>
      </c>
      <c r="O63" s="2873">
        <f>I63-M63</f>
        <v>4549.7399999999907</v>
      </c>
      <c r="P63" s="1222">
        <v>428700</v>
      </c>
      <c r="Q63" s="1223">
        <f t="shared" si="1"/>
        <v>722700</v>
      </c>
      <c r="R63" s="2877">
        <v>383500</v>
      </c>
      <c r="S63" s="1222">
        <f t="shared" si="2"/>
        <v>339200</v>
      </c>
      <c r="W63" s="1222"/>
      <c r="X63" s="1222"/>
    </row>
    <row r="64" spans="1:25" s="740" customFormat="1" ht="24">
      <c r="A64" s="1260">
        <v>54</v>
      </c>
      <c r="B64" s="1260">
        <v>9500</v>
      </c>
      <c r="C64" s="2878" t="s">
        <v>584</v>
      </c>
      <c r="D64" s="2879">
        <v>5</v>
      </c>
      <c r="E64" s="2880">
        <f>'[10]งบลงทุน (จังหวัด)'!F9+'[10]งบลงทุน (จังหวัด)'!F18+'[10]งบลงทุน (จังหวัด)'!F19+'[10]งบลงทุน (จังหวัด)'!F182</f>
        <v>610400</v>
      </c>
      <c r="F64" s="2881"/>
      <c r="G64" s="2880"/>
      <c r="H64" s="2882"/>
      <c r="I64" s="2871">
        <f>'[10]งบลงทุน (จังหวัด)'!M286+'[10]งบลงทุน (จังหวัด)'!M287+'[10]งบลงทุน (จังหวัด)'!M288+'[10]งบลงทุน (จังหวัด)'!M289+'[10]NFMA47 (2)'!K161</f>
        <v>1500000</v>
      </c>
      <c r="J64" s="2880">
        <f>'[10]งบลงทุน (จังหวัด)'!N286+'[10]งบลงทุน (จังหวัด)'!N287+'[10]งบลงทุน (จังหวัด)'!N288+'[10]งบลงทุน (จังหวัด)'!N289+'[10]NFMA47 (2)'!N161</f>
        <v>1492000</v>
      </c>
      <c r="K64" s="2880">
        <f>J64/I64*100</f>
        <v>99.466666666666669</v>
      </c>
      <c r="L64" s="2880">
        <f>'[10]งบลงทุน (จังหวัด)'!P286+'[10]งบลงทุน (จังหวัด)'!P287+'[10]งบลงทุน (จังหวัด)'!P288+'[10]งบลงทุน (จังหวัด)'!P289+'[10]NFMA47 (2)'!M161</f>
        <v>0</v>
      </c>
      <c r="M64" s="2871">
        <f>L64+J64</f>
        <v>1492000</v>
      </c>
      <c r="N64" s="2871">
        <f>M64/I64*100</f>
        <v>99.466666666666669</v>
      </c>
      <c r="O64" s="2873">
        <f>I64-M64</f>
        <v>8000</v>
      </c>
      <c r="P64" s="1222">
        <v>78218.8</v>
      </c>
      <c r="Q64" s="1223">
        <f t="shared" si="1"/>
        <v>1421781.2</v>
      </c>
      <c r="R64" s="2877">
        <v>78218.8</v>
      </c>
      <c r="S64" s="1222">
        <f t="shared" si="2"/>
        <v>1343562.4</v>
      </c>
      <c r="W64" s="1222"/>
      <c r="X64" s="1222"/>
    </row>
    <row r="65" spans="1:24" s="740" customFormat="1" ht="24">
      <c r="A65" s="1260">
        <v>55</v>
      </c>
      <c r="B65" s="1260">
        <v>5700</v>
      </c>
      <c r="C65" s="2878" t="s">
        <v>565</v>
      </c>
      <c r="D65" s="2879">
        <v>24</v>
      </c>
      <c r="E65" s="2880">
        <f>'[10]งบลงทุน (จังหวัด)'!F12+'[10]งบลงทุน (จังหวัด)'!F41+'[10]งบลงทุน (จังหวัด)'!F42+'[10]งบลงทุน (จังหวัด)'!F43+'[10]งบลงทุน (จังหวัด)'!F44+'[10]งบลงทุน (จังหวัด)'!F84+'[10]งบลงทุน (จังหวัด)'!F85+'[10]งบลงทุน (จังหวัด)'!F86+'[10]งบลงทุน (จังหวัด)'!F87+'[10]งบลงทุน (จังหวัด)'!F88+'[10]งบลงทุน (จังหวัด)'!F89+'[10]งบลงทุน (จังหวัด)'!F90+'[10]งบลงทุน (จังหวัด)'!F91+'[10]งบลงทุน (จังหวัด)'!F92+'[10]งบลงทุน (จังหวัด)'!F286+'[10]งบลงทุน (จังหวัด)'!F287+'[10]งบลงทุน (จังหวัด)'!F288+'[10]งบลงทุน (จังหวัด)'!F289+'[10]งบลงทุน (จังหวัด)'!F290+'[10]งบลงทุน (จังหวัด)'!F293+'[10]งบลงทุน (จังหวัด)'!F294+'[10]งบลงทุน (จังหวัด)'!F295+'[10]งบลงทุน (จังหวัด)'!F456</f>
        <v>3656621</v>
      </c>
      <c r="F65" s="2881"/>
      <c r="G65" s="2880"/>
      <c r="H65" s="2882"/>
      <c r="I65" s="2871">
        <f>'[10]งบลงทุน (จังหวัด)'!M74+'[10]งบลงทุน (จังหวัด)'!M75+'[10]งบลงทุน (จังหวัด)'!M76+'[10]งบลงทุน (จังหวัด)'!M77+'[10]งบลงทุน (จังหวัด)'!M78+'[10]งบลงทุน (จังหวัด)'!M79+'[10]งบลงทุน (จังหวัด)'!M80+'[10]งบลงทุน (จังหวัด)'!M81+'[10]งบลงทุน (จังหวัด)'!M82+'[10]งบลงทุน (จังหวัด)'!M83+'[10]งบลงทุน (จังหวัด)'!M84+'[10]งบลงทุน (จังหวัด)'!M85+'[10]งบลงทุน (จังหวัด)'!M86+'[10]งบลงทุน (จังหวัด)'!M87+'[10]งบลงทุน (จังหวัด)'!M88+'[10]งบลงทุน (จังหวัด)'!M89+'[10]งบลงทุน (จังหวัด)'!M90+'[10]งบลงทุน (จังหวัด)'!M91+'[10]งบลงทุน (จังหวัด)'!M92+'[10]งบลงทุน (จังหวัด)'!M93+'[10]งบลงทุน (จังหวัด)'!M94+'[10]งบลงทุน (จังหวัด)'!M95+'[10]งบลงทุน (จังหวัด)'!M96+'[10]NFMA47 (2)'!K101</f>
        <v>2620999</v>
      </c>
      <c r="J65" s="2880">
        <f>'[10]งบลงทุน (จังหวัด)'!N74+'[10]งบลงทุน (จังหวัด)'!N75+'[10]งบลงทุน (จังหวัด)'!N76+'[10]งบลงทุน (จังหวัด)'!N77+'[10]งบลงทุน (จังหวัด)'!N78+'[10]งบลงทุน (จังหวัด)'!N79+'[10]งบลงทุน (จังหวัด)'!N80+'[10]งบลงทุน (จังหวัด)'!N81+'[10]งบลงทุน (จังหวัด)'!N82+'[10]งบลงทุน (จังหวัด)'!N83+'[10]งบลงทุน (จังหวัด)'!N84+'[10]งบลงทุน (จังหวัด)'!N85+'[10]งบลงทุน (จังหวัด)'!N86+'[10]งบลงทุน (จังหวัด)'!N87+'[10]งบลงทุน (จังหวัด)'!N88+'[10]งบลงทุน (จังหวัด)'!N89+'[10]งบลงทุน (จังหวัด)'!N90+'[10]งบลงทุน (จังหวัด)'!N91+'[10]งบลงทุน (จังหวัด)'!N92+'[10]งบลงทุน (จังหวัด)'!N93+'[10]งบลงทุน (จังหวัด)'!N94+'[10]งบลงทุน (จังหวัด)'!N95+'[10]งบลงทุน (จังหวัด)'!N96+'[10]NFMA47 (2)'!N101</f>
        <v>1452599</v>
      </c>
      <c r="K65" s="2880">
        <f>J65/I65*100</f>
        <v>55.421577802967491</v>
      </c>
      <c r="L65" s="2880">
        <f>'[10]งบลงทุน (จังหวัด)'!P74+'[10]งบลงทุน (จังหวัด)'!P75+'[10]งบลงทุน (จังหวัด)'!P76+'[10]งบลงทุน (จังหวัด)'!P77+'[10]งบลงทุน (จังหวัด)'!P78+'[10]งบลงทุน (จังหวัด)'!P79+'[10]งบลงทุน (จังหวัด)'!P80+'[10]งบลงทุน (จังหวัด)'!P81+'[10]งบลงทุน (จังหวัด)'!P82+'[10]งบลงทุน (จังหวัด)'!P83+'[10]งบลงทุน (จังหวัด)'!P85+'[10]งบลงทุน (จังหวัด)'!P86+'[10]งบลงทุน (จังหวัด)'!P87+'[10]งบลงทุน (จังหวัด)'!P88+'[10]งบลงทุน (จังหวัด)'!P89+'[10]งบลงทุน (จังหวัด)'!P90+'[10]งบลงทุน (จังหวัด)'!P91+'[10]งบลงทุน (จังหวัด)'!P92+'[10]งบลงทุน (จังหวัด)'!P93+'[10]งบลงทุน (จังหวัด)'!P94+'[10]งบลงทุน (จังหวัด)'!P95+'[10]งบลงทุน (จังหวัด)'!P96+'[10]NFMA47 (2)'!M101</f>
        <v>1142400</v>
      </c>
      <c r="M65" s="2871">
        <f>L65+J65</f>
        <v>2594999</v>
      </c>
      <c r="N65" s="2871">
        <f>M65/I65*100</f>
        <v>99.008011830603522</v>
      </c>
      <c r="O65" s="2873">
        <f>I65-M65</f>
        <v>26000</v>
      </c>
      <c r="P65" s="1222">
        <v>288171.11</v>
      </c>
      <c r="Q65" s="1223">
        <f t="shared" si="1"/>
        <v>2332827.89</v>
      </c>
      <c r="R65" s="2877">
        <v>288171.11</v>
      </c>
      <c r="S65" s="1222">
        <f t="shared" si="2"/>
        <v>2044656.7800000003</v>
      </c>
      <c r="W65" s="1222"/>
      <c r="X65" s="1222"/>
    </row>
    <row r="66" spans="1:24" s="740" customFormat="1" ht="24">
      <c r="A66" s="1260">
        <v>56</v>
      </c>
      <c r="B66" s="1260">
        <v>3000</v>
      </c>
      <c r="C66" s="2878" t="s">
        <v>548</v>
      </c>
      <c r="D66" s="2879">
        <v>27</v>
      </c>
      <c r="E66" s="2880">
        <f>'[10]งบลงทุน (จังหวัด)'!F108+'[10]งบลงทุน (จังหวัด)'!F109+'[10]งบลงทุน (จังหวัด)'!F110+'[10]งบลงทุน (จังหวัด)'!F111+'[10]งบลงทุน (จังหวัด)'!F112+'[10]งบลงทุน (จังหวัด)'!F113+'[10]งบลงทุน (จังหวัด)'!F114+'[10]งบลงทุน (จังหวัด)'!F115+'[10]งบลงทุน (จังหวัด)'!F116+'[10]งบลงทุน (จังหวัด)'!F117+'[10]งบลงทุน (จังหวัด)'!F118+'[10]งบลงทุน (จังหวัด)'!F119+'[10]งบลงทุน (จังหวัด)'!F120+'[10]งบลงทุน (จังหวัด)'!F121+'[10]งบลงทุน (จังหวัด)'!F122+'[10]งบลงทุน (จังหวัด)'!F123+'[10]งบลงทุน (จังหวัด)'!F124+'[10]งบลงทุน (จังหวัด)'!F308+'[10]งบลงทุน (จังหวัด)'!F309+'[10]งบลงทุน (จังหวัด)'!F310+'[10]งบลงทุน (จังหวัด)'!F311+'[10]งบลงทุน (จังหวัด)'!F312+'[10]งบลงทุน (จังหวัด)'!F313+'[10]งบลงทุน (จังหวัด)'!F314+'[10]งบลงทุน (จังหวัด)'!F315+'[10]งบลงทุน (จังหวัด)'!F316</f>
        <v>4910000</v>
      </c>
      <c r="F66" s="2881"/>
      <c r="G66" s="2880"/>
      <c r="H66" s="2882"/>
      <c r="I66" s="2871">
        <f>'[10]งบลงทุน (จังหวัด)'!M133+'[10]งบลงทุน (จังหวัด)'!M134+'[10]งบลงทุน (จังหวัด)'!M135+'[10]งบลงทุน (จังหวัด)'!M136+'[10]งบลงทุน (จังหวัด)'!M137+'[10]งบลงทุน (จังหวัด)'!M138+'[10]งบลงทุน (จังหวัด)'!M139+'[10]งบลงทุน (จังหวัด)'!M140+'[10]งบลงทุน (จังหวัด)'!M141+'[10]งบลงทุน (จังหวัด)'!M142+'[10]งบลงทุน (จังหวัด)'!M143+'[10]งบลงทุน (จังหวัด)'!M144+'[10]งบลงทุน (จังหวัด)'!M145+'[10]งบลงทุน (จังหวัด)'!M146+'[10]งบลงทุน (จังหวัด)'!M148+'[10]งบลงทุน (จังหวัด)'!M149+'[10]งบลงทุน (จังหวัด)'!M150+'[10]งบลงทุน (จังหวัด)'!M151+'[10]งบลงทุน (จังหวัด)'!M152+'[10]งบลงทุน (จังหวัด)'!M153+'[10]งบลงทุน (จังหวัด)'!M154+'[10]งบลงทุน (จังหวัด)'!M155+'[10]งบลงทุน (จังหวัด)'!M156+'[10]งบลงทุน (จังหวัด)'!M157+'[10]งบลงทุน (จังหวัด)'!M158+'[10]งบลงทุน (จังหวัด)'!M147+'[10]NFMA47 (2)'!K49</f>
        <v>4638000</v>
      </c>
      <c r="J66" s="2880">
        <f>'[10]งบลงทุน (จังหวัด)'!N133+'[10]งบลงทุน (จังหวัด)'!N134+'[10]งบลงทุน (จังหวัด)'!N135+'[10]งบลงทุน (จังหวัด)'!N136+'[10]งบลงทุน (จังหวัด)'!N137+'[10]งบลงทุน (จังหวัด)'!N138+'[10]งบลงทุน (จังหวัด)'!N139+'[10]งบลงทุน (จังหวัด)'!N140+'[10]งบลงทุน (จังหวัด)'!N141+'[10]งบลงทุน (จังหวัด)'!N142+'[10]งบลงทุน (จังหวัด)'!N143+'[10]งบลงทุน (จังหวัด)'!N144+'[10]งบลงทุน (จังหวัด)'!N145+'[10]งบลงทุน (จังหวัด)'!N146+'[10]งบลงทุน (จังหวัด)'!N147+'[10]งบลงทุน (จังหวัด)'!N148+'[10]งบลงทุน (จังหวัด)'!N149+'[10]งบลงทุน (จังหวัด)'!N150+'[10]งบลงทุน (จังหวัด)'!N151+'[10]งบลงทุน (จังหวัด)'!N152+'[10]งบลงทุน (จังหวัด)'!N153+'[10]งบลงทุน (จังหวัด)'!N154+'[10]งบลงทุน (จังหวัด)'!N155+'[10]งบลงทุน (จังหวัด)'!N156+'[10]งบลงทุน (จังหวัด)'!N157+'[10]งบลงทุน (จังหวัด)'!N158+'[10]NFMA47 (2)'!N49</f>
        <v>2004404.22</v>
      </c>
      <c r="K66" s="2880">
        <f>J66/I66*100</f>
        <v>43.216994825355755</v>
      </c>
      <c r="L66" s="2880">
        <f>'[10]งบลงทุน (จังหวัด)'!P133+'[10]งบลงทุน (จังหวัด)'!P134+'[10]งบลงทุน (จังหวัด)'!P135+'[10]งบลงทุน (จังหวัด)'!P136+'[10]งบลงทุน (จังหวัด)'!P137+'[10]งบลงทุน (จังหวัด)'!P138+'[10]งบลงทุน (จังหวัด)'!P139+'[10]งบลงทุน (จังหวัด)'!P140+'[10]งบลงทุน (จังหวัด)'!P141+'[10]งบลงทุน (จังหวัด)'!P142+'[10]งบลงทุน (จังหวัด)'!P143+'[10]งบลงทุน (จังหวัด)'!P144+'[10]งบลงทุน (จังหวัด)'!P145+'[10]งบลงทุน (จังหวัด)'!P146+'[10]งบลงทุน (จังหวัด)'!P147+'[10]งบลงทุน (จังหวัด)'!P148+'[10]งบลงทุน (จังหวัด)'!P149+'[10]งบลงทุน (จังหวัด)'!P150+'[10]งบลงทุน (จังหวัด)'!P151+'[10]งบลงทุน (จังหวัด)'!P152+'[10]งบลงทุน (จังหวัด)'!P153+'[10]งบลงทุน (จังหวัด)'!P154+'[10]งบลงทุน (จังหวัด)'!P155+'[10]งบลงทุน (จังหวัด)'!P156+'[10]งบลงทุน (จังหวัด)'!P157+'[10]งบลงทุน (จังหวัด)'!P158+'[10]NFMA47 (2)'!M49</f>
        <v>2556000</v>
      </c>
      <c r="M66" s="2871">
        <f>L66+J66</f>
        <v>4560404.22</v>
      </c>
      <c r="N66" s="2871">
        <f>M66/I66*100</f>
        <v>98.326956015523919</v>
      </c>
      <c r="O66" s="2873">
        <f>I66-M66</f>
        <v>77595.780000000261</v>
      </c>
      <c r="P66" s="1222">
        <v>770427.51</v>
      </c>
      <c r="Q66" s="1223">
        <f t="shared" si="1"/>
        <v>3867572.49</v>
      </c>
      <c r="R66" s="2877">
        <v>770427.51</v>
      </c>
      <c r="S66" s="1222">
        <f t="shared" si="2"/>
        <v>3097144.9800000004</v>
      </c>
      <c r="W66" s="1222"/>
      <c r="X66" s="1222"/>
    </row>
    <row r="67" spans="1:24" s="740" customFormat="1" ht="24">
      <c r="A67" s="1256">
        <v>57</v>
      </c>
      <c r="B67" s="1260">
        <v>3300</v>
      </c>
      <c r="C67" s="2878" t="s">
        <v>551</v>
      </c>
      <c r="D67" s="2879">
        <v>18</v>
      </c>
      <c r="E67" s="2880">
        <f>'[10]งบลงทุน (จังหวัด)'!F28+'[10]งบลงทุน (จังหวัด)'!F205+'[10]งบลงทุน (จังหวัด)'!F206+'[10]งบลงทุน (จังหวัด)'!F207+'[10]งบลงทุน (จังหวัด)'!F208+'[10]งบลงทุน (จังหวัด)'!F209+'[10]งบลงทุน (จังหวัด)'!F210+'[10]งบลงทุน (จังหวัด)'!F211+'[10]งบลงทุน (จังหวัด)'!F212+'[10]งบลงทุน (จังหวัด)'!F374+'[10]งบลงทุน (จังหวัด)'!F375+'[10]งบลงทุน (จังหวัด)'!F376+'[10]งบลงทุน (จังหวัด)'!F377+'[10]งบลงทุน (จังหวัด)'!F378+'[10]งบลงทุน (จังหวัด)'!F379+'[10]งบลงทุน (จังหวัด)'!F380+'[10]งบลงทุน (จังหวัด)'!F381</f>
        <v>1705200</v>
      </c>
      <c r="F67" s="2881"/>
      <c r="G67" s="2880"/>
      <c r="H67" s="2882"/>
      <c r="I67" s="2871">
        <f>'[10]งบลงทุน (จังหวัด)'!M338+'[10]งบลงทุน (จังหวัด)'!M339+'[10]งบลงทุน (จังหวัด)'!M340+'[10]งบลงทุน (จังหวัด)'!M341+'[10]งบลงทุน (จังหวัด)'!M342+'[10]งบลงทุน (จังหวัด)'!M343+'[10]งบลงทุน (จังหวัด)'!M344+'[10]งบลงทุน (จังหวัด)'!M345+'[10]งบลงทุน (จังหวัด)'!M346+'[10]งบลงทุน (จังหวัด)'!M347+'[10]งบลงทุน (จังหวัด)'!M348+'[10]งบลงทุน (จังหวัด)'!M349+'[10]งบลงทุน (จังหวัด)'!M350+'[10]งบลงทุน (จังหวัด)'!M351+'[10]งบลงทุน (จังหวัด)'!M352+'[10]งบลงทุน (จังหวัด)'!M353+'[10]งบลงทุน (จังหวัด)'!M354+'[10]NFMA47 (2)'!K55</f>
        <v>3867572.4699999997</v>
      </c>
      <c r="J67" s="2880">
        <f>'[10]งบลงทุน (จังหวัด)'!N338+'[10]งบลงทุน (จังหวัด)'!N339+'[10]งบลงทุน (จังหวัด)'!N340+'[10]งบลงทุน (จังหวัด)'!N341+'[10]งบลงทุน (จังหวัด)'!N342+'[10]งบลงทุน (จังหวัด)'!N343+'[10]งบลงทุน (จังหวัด)'!N344+'[10]งบลงทุน (จังหวัด)'!N345+'[10]งบลงทุน (จังหวัด)'!N346+'[10]งบลงทุน (จังหวัด)'!N347+'[10]งบลงทุน (จังหวัด)'!N348+'[10]งบลงทุน (จังหวัด)'!N349+'[10]งบลงทุน (จังหวัด)'!N350+'[10]งบลงทุน (จังหวัด)'!N352+'[10]งบลงทุน (จังหวัด)'!N353+'[10]งบลงทุน (จังหวัด)'!N354+'[10]NFMA47 (2)'!N55</f>
        <v>514720.26</v>
      </c>
      <c r="K67" s="2880">
        <f>J67/I67*100</f>
        <v>13.308613193226087</v>
      </c>
      <c r="L67" s="2880">
        <f>'[10]งบลงทุน (จังหวัด)'!P338+'[10]งบลงทุน (จังหวัด)'!P339+'[10]งบลงทุน (จังหวัด)'!P340+'[10]งบลงทุน (จังหวัด)'!P341+'[10]งบลงทุน (จังหวัด)'!P342+'[10]งบลงทุน (จังหวัด)'!P343+'[10]งบลงทุน (จังหวัด)'!P344+'[10]งบลงทุน (จังหวัด)'!P345+'[10]งบลงทุน (จังหวัด)'!P346+'[10]งบลงทุน (จังหวัด)'!P347+'[10]งบลงทุน (จังหวัด)'!P348+'[10]งบลงทุน (จังหวัด)'!P349+'[10]งบลงทุน (จังหวัด)'!P350+'[10]งบลงทุน (จังหวัด)'!P351+'[10]งบลงทุน (จังหวัด)'!P352+'[10]งบลงทุน (จังหวัด)'!P353+'[10]งบลงทุน (จังหวัด)'!P354+'[10]NFMA47 (2)'!M55</f>
        <v>3286797.64</v>
      </c>
      <c r="M67" s="2871">
        <f>L67+J67</f>
        <v>3801517.9000000004</v>
      </c>
      <c r="N67" s="2871">
        <f>M67/I67*100</f>
        <v>98.292092248758834</v>
      </c>
      <c r="O67" s="2873">
        <f>I67-M67</f>
        <v>66054.569999999367</v>
      </c>
      <c r="P67" s="1222"/>
      <c r="Q67" s="1223"/>
      <c r="R67" s="2877"/>
      <c r="S67" s="1222"/>
      <c r="W67" s="1222"/>
      <c r="X67" s="1222"/>
    </row>
    <row r="68" spans="1:24" s="740" customFormat="1" ht="24">
      <c r="A68" s="1256">
        <v>58</v>
      </c>
      <c r="B68" s="1260">
        <v>5300</v>
      </c>
      <c r="C68" s="2878" t="s">
        <v>562</v>
      </c>
      <c r="D68" s="2879">
        <v>3</v>
      </c>
      <c r="E68" s="2880">
        <f>'[10]งบลงทุน (จังหวัด)'!F21+'[10]งบลงทุน (จังหวัด)'!F263</f>
        <v>936400</v>
      </c>
      <c r="F68" s="2881"/>
      <c r="G68" s="2880"/>
      <c r="H68" s="2882"/>
      <c r="I68" s="2871">
        <f>'[10]งบลงทุน (จังหวัด)'!M462+'[10]งบลงทุน (จังหวัด)'!M463+'[10]NFMA47 (2)'!K93</f>
        <v>245700</v>
      </c>
      <c r="J68" s="2880">
        <f>'[10]งบลงทุน (จังหวัด)'!N462+'[10]งบลงทุน (จังหวัด)'!N463+'[10]NFMA47 (2)'!N93</f>
        <v>166396</v>
      </c>
      <c r="K68" s="2880">
        <f>J68/I68*100</f>
        <v>67.723239723239729</v>
      </c>
      <c r="L68" s="2880">
        <f>'[10]งบลงทุน (จังหวัด)'!P462+'[10]งบลงทุน (จังหวัด)'!P463+'[10]NFMA47 (2)'!M93</f>
        <v>74500</v>
      </c>
      <c r="M68" s="2871">
        <f>L68+J68</f>
        <v>240896</v>
      </c>
      <c r="N68" s="2871">
        <f>M68/I68*100</f>
        <v>98.044770044770047</v>
      </c>
      <c r="O68" s="2873">
        <f>I68-M68</f>
        <v>4804</v>
      </c>
      <c r="P68" s="1222"/>
      <c r="Q68" s="1223"/>
      <c r="R68" s="2877"/>
      <c r="S68" s="1222"/>
      <c r="W68" s="1222"/>
      <c r="X68" s="1222"/>
    </row>
    <row r="69" spans="1:24" s="740" customFormat="1" ht="24">
      <c r="A69" s="1260">
        <v>59</v>
      </c>
      <c r="B69" s="1260">
        <v>4500</v>
      </c>
      <c r="C69" s="2878" t="s">
        <v>558</v>
      </c>
      <c r="D69" s="2879">
        <v>16</v>
      </c>
      <c r="E69" s="2880">
        <f>'[10]งบลงทุน (จังหวัด)'!F39+'[10]งบลงทุน (จังหวัด)'!F183+'[10]งบลงทุน (จังหวัด)'!F184+'[10]งบลงทุน (จังหวัด)'!F185+'[10]งบลงทุน (จังหวัด)'!F186+'[10]งบลงทุน (จังหวัด)'!F187+'[10]งบลงทุน (จังหวัด)'!F188+'[10]งบลงทุน (จังหวัด)'!F189+'[10]งบลงทุน (จังหวัด)'!F355+'[10]งบลงทุน (จังหวัด)'!F356+'[10]งบลงทุน (จังหวัด)'!F357+'[10]งบลงทุน (จังหวัด)'!F358+'[10]งบลงทุน (จังหวัด)'!F359+'[10]งบลงทุน (จังหวัด)'!F443+'[10]งบลงทุน (จังหวัด)'!F444</f>
        <v>4236800</v>
      </c>
      <c r="F69" s="2881"/>
      <c r="G69" s="2880"/>
      <c r="H69" s="2882"/>
      <c r="I69" s="2871">
        <f>'[10]งบลงทุน (จังหวัด)'!M290+'[10]งบลงทุน (จังหวัด)'!M293+'[10]งบลงทุน (จังหวัด)'!M294+'[10]งบลงทุน (จังหวัด)'!M295+'[10]งบลงทุน (จังหวัด)'!M296+'[10]งบลงทุน (จังหวัด)'!M297+'[10]งบลงทุน (จังหวัด)'!M298+'[10]งบลงทุน (จังหวัด)'!M299+'[10]งบลงทุน (จังหวัด)'!M300+'[10]งบลงทุน (จังหวัด)'!M301+'[10]งบลงทุน (จังหวัด)'!M302+'[10]งบลงทุน (จังหวัด)'!M303+'[10]งบลงทุน (จังหวัด)'!M304+'[10]งบลงทุน (จังหวัด)'!M305+'[10]งบลงทุน (จังหวัด)'!M306+'[10]NFMA47 (2)'!K77</f>
        <v>2219316.8600000003</v>
      </c>
      <c r="J69" s="2880">
        <f>'[10]งบลงทุน (จังหวัด)'!N290+'[10]งบลงทุน (จังหวัด)'!N293+'[10]งบลงทุน (จังหวัด)'!N294+'[10]งบลงทุน (จังหวัด)'!N295+'[10]งบลงทุน (จังหวัด)'!N296+'[10]งบลงทุน (จังหวัด)'!N297+'[10]งบลงทุน (จังหวัด)'!N298+'[10]งบลงทุน (จังหวัด)'!N299+'[10]งบลงทุน (จังหวัด)'!N300+'[10]งบลงทุน (จังหวัด)'!N301+'[10]งบลงทุน (จังหวัด)'!N302+'[10]งบลงทุน (จังหวัด)'!N304+'[10]งบลงทุน (จังหวัด)'!N305+'[10]งบลงทุน (จังหวัด)'!N306+'[10]NFMA47 (2)'!N77</f>
        <v>1629860</v>
      </c>
      <c r="K69" s="2880">
        <f>J69/I69*100</f>
        <v>73.43971603946629</v>
      </c>
      <c r="L69" s="2880">
        <f>'[10]งบลงทุน (จังหวัด)'!P290+'[10]งบลงทุน (จังหวัด)'!P293+'[10]งบลงทุน (จังหวัด)'!P294+'[10]งบลงทุน (จังหวัด)'!P295+'[10]งบลงทุน (จังหวัด)'!P296+'[10]งบลงทุน (จังหวัด)'!P297+'[10]งบลงทุน (จังหวัด)'!P298+'[10]งบลงทุน (จังหวัด)'!P299+'[10]งบลงทุน (จังหวัด)'!P300+'[10]งบลงทุน (จังหวัด)'!P301+'[10]งบลงทุน (จังหวัด)'!P302+'[10]งบลงทุน (จังหวัด)'!P303+'[10]งบลงทุน (จังหวัด)'!P304+'[10]งบลงทุน (จังหวัด)'!P305+'[10]งบลงทุน (จังหวัด)'!P306+'[10]NFMA47 (2)'!M77</f>
        <v>546000</v>
      </c>
      <c r="M69" s="2871">
        <f>L69+J69</f>
        <v>2175860</v>
      </c>
      <c r="N69" s="2871">
        <f>M69/I69*100</f>
        <v>98.041881230064632</v>
      </c>
      <c r="O69" s="2873">
        <f>I69-M69</f>
        <v>43456.860000000335</v>
      </c>
      <c r="P69" s="1222"/>
      <c r="Q69" s="1223"/>
      <c r="R69" s="2877"/>
      <c r="S69" s="1222"/>
      <c r="W69" s="1222"/>
      <c r="X69" s="1222"/>
    </row>
    <row r="70" spans="1:24" s="740" customFormat="1" ht="24">
      <c r="A70" s="1260">
        <v>60</v>
      </c>
      <c r="B70" s="1260">
        <v>3400</v>
      </c>
      <c r="C70" s="2878" t="s">
        <v>789</v>
      </c>
      <c r="D70" s="2879">
        <v>9</v>
      </c>
      <c r="E70" s="2880">
        <f>'[10]งบลงทุน (จังหวัด)'!F265+'[10]งบลงทุน (จังหวัด)'!F266+'[10]งบลงทุน (จังหวัด)'!F267+'[10]งบลงทุน (จังหวัด)'!F268+'[10]งบลงทุน (จังหวัด)'!F269+'[10]งบลงทุน (จังหวัด)'!F414+'[10]งบลงทุน (จังหวัด)'!F415+'[10]งบลงทุน (จังหวัด)'!F427</f>
        <v>1163600</v>
      </c>
      <c r="F70" s="2881"/>
      <c r="G70" s="2880"/>
      <c r="H70" s="2882"/>
      <c r="I70" s="2871">
        <f>'[10]งบลงทุน (จังหวัด)'!M465+'[10]งบลงทุน (จังหวัด)'!M466+'[10]งบลงทุน (จังหวัด)'!M467+'[10]งบลงทุน (จังหวัด)'!M468+'[10]งบลงทุน (จังหวัด)'!M469+'[10]งบลงทุน (จังหวัด)'!M470+'[10]งบลงทุน (จังหวัด)'!M471+'[10]งบลงทุน (จังหวัด)'!M472+'[10]NFMA47 (2)'!K57</f>
        <v>1506921.46</v>
      </c>
      <c r="J70" s="2880">
        <f>'[10]งบลงทุน (จังหวัด)'!N465+'[10]งบลงทุน (จังหวัด)'!N466+'[10]งบลงทุน (จังหวัด)'!N467+'[10]งบลงทุน (จังหวัด)'!N468+'[10]งบลงทุน (จังหวัด)'!N469+'[10]งบลงทุน (จังหวัด)'!N470+'[10]งบลงทุน (จังหวัด)'!N471+'[10]งบลงทุน (จังหวัด)'!N472+'[10]NFMA47 (2)'!N57</f>
        <v>1475630.02</v>
      </c>
      <c r="K70" s="2880">
        <f>J70/I70*100</f>
        <v>97.923485673898355</v>
      </c>
      <c r="L70" s="2880">
        <f>'[10]งบลงทุน (จังหวัด)'!P465+'[10]งบลงทุน (จังหวัด)'!P466+'[10]งบลงทุน (จังหวัด)'!P467+'[10]งบลงทุน (จังหวัด)'!P468+'[10]งบลงทุน (จังหวัด)'!P469+'[10]งบลงทุน (จังหวัด)'!P470+'[10]งบลงทุน (จังหวัด)'!P471+'[10]งบลงทุน (จังหวัด)'!P472+'[10]NFMA47 (2)'!M57</f>
        <v>0</v>
      </c>
      <c r="M70" s="2871">
        <f>L70+J70</f>
        <v>1475630.02</v>
      </c>
      <c r="N70" s="2871">
        <f>M70/I70*100</f>
        <v>97.923485673898355</v>
      </c>
      <c r="O70" s="2873">
        <f>I70-M70</f>
        <v>31291.439999999944</v>
      </c>
      <c r="P70" s="1222">
        <v>1517326.27</v>
      </c>
      <c r="Q70" s="1223">
        <f t="shared" si="1"/>
        <v>-10404.810000000056</v>
      </c>
      <c r="R70" s="2877">
        <v>1517326.27</v>
      </c>
      <c r="S70" s="1222">
        <f t="shared" si="2"/>
        <v>-1527731.08</v>
      </c>
      <c r="W70" s="1222"/>
      <c r="X70" s="1222"/>
    </row>
    <row r="71" spans="1:24" s="740" customFormat="1" ht="24">
      <c r="A71" s="1260">
        <v>61</v>
      </c>
      <c r="B71" s="1260">
        <v>1600</v>
      </c>
      <c r="C71" s="2878" t="s">
        <v>783</v>
      </c>
      <c r="D71" s="2879">
        <v>5</v>
      </c>
      <c r="E71" s="2880">
        <f>'[10]งบลงทุน (จังหวัด)'!F191+'[10]งบลงทุน (จังหวัด)'!F192+'[10]งบลงทุน (จังหวัด)'!F193+'[10]งบลงทุน (จังหวัด)'!F363</f>
        <v>832000</v>
      </c>
      <c r="F71" s="2881"/>
      <c r="G71" s="2880"/>
      <c r="H71" s="2882"/>
      <c r="I71" s="2871">
        <f>'[10]งบลงทุน (จังหวัด)'!M313+'[10]งบลงทุน (จังหวัด)'!M314+'[10]งบลงทุน (จังหวัด)'!M315+'[10]งบลงทุน (จังหวัด)'!M316+'[10]NFMA47 (2)'!K25</f>
        <v>342800</v>
      </c>
      <c r="J71" s="2880">
        <f>'[10]งบลงทุน (จังหวัด)'!N313+'[10]งบลงทุน (จังหวัด)'!N314+'[10]งบลงทุน (จังหวัด)'!N315+'[10]งบลงทุน (จังหวัด)'!N316+'[10]NFMA47 (2)'!N25</f>
        <v>334800</v>
      </c>
      <c r="K71" s="2880">
        <f>J71/I71*100</f>
        <v>97.666277712952152</v>
      </c>
      <c r="L71" s="2880">
        <f>'[10]งบลงทุน (จังหวัด)'!P313+'[10]งบลงทุน (จังหวัด)'!P314+'[10]งบลงทุน (จังหวัด)'!P315+'[10]งบลงทุน (จังหวัด)'!P316+'[10]NFMA47 (2)'!M25</f>
        <v>0</v>
      </c>
      <c r="M71" s="2871">
        <f>L71+J71</f>
        <v>334800</v>
      </c>
      <c r="N71" s="2871">
        <f>M71/I71*100</f>
        <v>97.666277712952152</v>
      </c>
      <c r="O71" s="2873">
        <f>I71-M71</f>
        <v>8000</v>
      </c>
      <c r="P71" s="1222">
        <v>282012.51</v>
      </c>
      <c r="Q71" s="1223">
        <f t="shared" si="1"/>
        <v>60787.489999999991</v>
      </c>
      <c r="R71" s="2877">
        <v>282012.51</v>
      </c>
      <c r="S71" s="1222">
        <f t="shared" si="2"/>
        <v>-221225.02000000002</v>
      </c>
      <c r="W71" s="1222"/>
      <c r="X71" s="1222"/>
    </row>
    <row r="72" spans="1:24" s="740" customFormat="1" ht="24">
      <c r="A72" s="1256">
        <v>62</v>
      </c>
      <c r="B72" s="1260">
        <v>2700</v>
      </c>
      <c r="C72" s="2878" t="s">
        <v>547</v>
      </c>
      <c r="D72" s="2879">
        <v>4</v>
      </c>
      <c r="E72" s="2890">
        <f>'[10]งบลงทุน (จังหวัด)'!F228+'[10]งบลงทุน (จังหวัด)'!F229+'[10]งบลงทุน (จังหวัด)'!F230</f>
        <v>253200</v>
      </c>
      <c r="F72" s="2881"/>
      <c r="G72" s="2880"/>
      <c r="H72" s="2882"/>
      <c r="I72" s="2902">
        <f>'[10]งบลงทุน (จังหวัด)'!M386+'[10]งบลงทุน (จังหวัด)'!M387+'[10]งบลงทุน (จังหวัด)'!M388+'[10]NFMA47 (2)'!K47</f>
        <v>320000</v>
      </c>
      <c r="J72" s="2903">
        <f>'[10]งบลงทุน (จังหวัด)'!N386+'[10]งบลงทุน (จังหวัด)'!N387+'[10]งบลงทุน (จังหวัด)'!N388+'[10]NFMA47 (2)'!N47</f>
        <v>208000</v>
      </c>
      <c r="K72" s="2880">
        <f>J72/I72*100</f>
        <v>65</v>
      </c>
      <c r="L72" s="2880">
        <f>'[10]งบลงทุน (จังหวัด)'!P386+'[10]งบลงทุน (จังหวัด)'!P387+'[10]งบลงทุน (จังหวัด)'!P388+'[10]NFMA47 (2)'!M47</f>
        <v>104000</v>
      </c>
      <c r="M72" s="2871">
        <f>L72+J72</f>
        <v>312000</v>
      </c>
      <c r="N72" s="2871">
        <f>M72/I72*100</f>
        <v>97.5</v>
      </c>
      <c r="O72" s="2873">
        <f>I72-M72</f>
        <v>8000</v>
      </c>
      <c r="P72" s="1222">
        <v>6610689.2699999996</v>
      </c>
      <c r="Q72" s="1223">
        <f t="shared" si="1"/>
        <v>-6290689.2699999996</v>
      </c>
      <c r="R72" s="2877">
        <v>6610689.2699999996</v>
      </c>
      <c r="S72" s="1222">
        <f t="shared" si="2"/>
        <v>-12901378.539999999</v>
      </c>
      <c r="W72" s="1222"/>
      <c r="X72" s="1222"/>
    </row>
    <row r="73" spans="1:24" s="740" customFormat="1" ht="24">
      <c r="A73" s="1256">
        <v>63</v>
      </c>
      <c r="B73" s="1260">
        <v>3900</v>
      </c>
      <c r="C73" s="2878" t="s">
        <v>791</v>
      </c>
      <c r="D73" s="2879">
        <v>12</v>
      </c>
      <c r="E73" s="2880">
        <f>'[10]งบลงทุน (จังหวัด)'!F245+'[10]งบลงทุน (จังหวัด)'!F246+'[10]งบลงทุน (จังหวัด)'!F247+'[10]งบลงทุน (จังหวัด)'!F248+'[10]งบลงทุน (จังหวัด)'!F249+'[10]งบลงทุน (จังหวัด)'!F406+'[10]งบลงทุน (จังหวัด)'!F407+'[10]งบลงทุน (จังหวัด)'!F408+'[10]งบลงทุน (จังหวัด)'!F409+'[10]งบลงทุน (จังหวัด)'!F410+'[10]งบลงทุน (จังหวัด)'!F430</f>
        <v>1293200</v>
      </c>
      <c r="F73" s="2881"/>
      <c r="G73" s="2880"/>
      <c r="H73" s="2882"/>
      <c r="I73" s="2871">
        <f>'[10]งบลงทุน (จังหวัด)'!M428+'[10]งบลงทุน (จังหวัด)'!M429+'[10]งบลงทุน (จังหวัด)'!M430+'[10]งบลงทุน (จังหวัด)'!M431+'[10]งบลงทุน (จังหวัด)'!M432+'[10]งบลงทุน (จังหวัด)'!M433+'[10]งบลงทุน (จังหวัด)'!M434+'[10]งบลงทุน (จังหวัด)'!M435+'[10]งบลงทุน (จังหวัด)'!M436+'[10]งบลงทุน (จังหวัด)'!M437+'[10]งบลงทุน (จังหวัด)'!M438+'[10]NFMA47 (2)'!K65</f>
        <v>1734767.8900000001</v>
      </c>
      <c r="J73" s="2880">
        <f>'[10]งบลงทุน (จังหวัด)'!N428+'[10]งบลงทุน (จังหวัด)'!N429+'[10]งบลงทุน (จังหวัด)'!N430+'[10]งบลงทุน (จังหวัด)'!N431+'[10]งบลงทุน (จังหวัด)'!N432+'[10]งบลงทุน (จังหวัด)'!N433+'[10]งบลงทุน (จังหวัด)'!N434+'[10]งบลงทุน (จังหวัด)'!N435+'[10]งบลงทุน (จังหวัด)'!N436+'[10]งบลงทุน (จังหวัด)'!N437+'[10]งบลงทุน (จังหวัด)'!N438+'[10]NFMA47 (2)'!N65</f>
        <v>634851.89</v>
      </c>
      <c r="K73" s="2880">
        <f>J73/I73*100</f>
        <v>36.595782851387689</v>
      </c>
      <c r="L73" s="2880">
        <f>'[10]งบลงทุน (จังหวัด)'!P428+'[10]งบลงทุน (จังหวัด)'!P429+'[10]งบลงทุน (จังหวัด)'!P430+'[10]งบลงทุน (จังหวัด)'!P431+'[10]งบลงทุน (จังหวัด)'!P432+'[10]งบลงทุน (จังหวัด)'!P433+'[10]งบลงทุน (จังหวัด)'!P434+'[10]งบลงทุน (จังหวัด)'!P435+'[10]งบลงทุน (จังหวัด)'!P436+'[10]งบลงทุน (จังหวัด)'!P437+'[10]งบลงทุน (จังหวัด)'!P438+'[10]NFMA47 (2)'!M65</f>
        <v>1039140.51</v>
      </c>
      <c r="M73" s="2871">
        <f>L73+J73</f>
        <v>1673992.4</v>
      </c>
      <c r="N73" s="2871">
        <f>M73/I73*100</f>
        <v>96.496621228099841</v>
      </c>
      <c r="O73" s="2873">
        <f>I73-M73</f>
        <v>60775.490000000224</v>
      </c>
      <c r="P73" s="1222">
        <v>232800</v>
      </c>
      <c r="Q73" s="1223">
        <f t="shared" si="1"/>
        <v>1501967.8900000001</v>
      </c>
      <c r="R73" s="2877">
        <v>232800</v>
      </c>
      <c r="S73" s="1222">
        <f t="shared" si="2"/>
        <v>1269167.8900000001</v>
      </c>
      <c r="W73" s="1222"/>
      <c r="X73" s="1222"/>
    </row>
    <row r="74" spans="1:24" s="740" customFormat="1" ht="24">
      <c r="A74" s="1260">
        <v>64</v>
      </c>
      <c r="B74" s="1260">
        <v>1100</v>
      </c>
      <c r="C74" s="2878" t="s">
        <v>540</v>
      </c>
      <c r="D74" s="2879">
        <v>2</v>
      </c>
      <c r="E74" s="2880">
        <f>'[10]งบลงทุน (จังหวัด)'!F20</f>
        <v>104000</v>
      </c>
      <c r="F74" s="2881"/>
      <c r="G74" s="2880"/>
      <c r="H74" s="2882"/>
      <c r="I74" s="2871">
        <f>'[10]งบลงทุน (จังหวัด)'!M384+'[10]NFMA47 (2)'!K15</f>
        <v>216992</v>
      </c>
      <c r="J74" s="2880">
        <f>'[10]งบลงทุน (จังหวัด)'!N384</f>
        <v>0</v>
      </c>
      <c r="K74" s="2880">
        <f>J74/I74*100</f>
        <v>0</v>
      </c>
      <c r="L74" s="2880">
        <f>'[10]งบลงทุน (จังหวัด)'!P384</f>
        <v>208992</v>
      </c>
      <c r="M74" s="2871">
        <f>L74+J74</f>
        <v>208992</v>
      </c>
      <c r="N74" s="2871">
        <f>M74/I74*100</f>
        <v>96.313228137442849</v>
      </c>
      <c r="O74" s="2873">
        <f>I74-M74</f>
        <v>8000</v>
      </c>
      <c r="P74" s="1222"/>
      <c r="Q74" s="1223"/>
      <c r="R74" s="2877"/>
      <c r="S74" s="1222"/>
      <c r="W74" s="1222"/>
      <c r="X74" s="1222"/>
    </row>
    <row r="75" spans="1:24" s="740" customFormat="1" ht="24">
      <c r="A75" s="1260">
        <v>65</v>
      </c>
      <c r="B75" s="1260">
        <v>6000</v>
      </c>
      <c r="C75" s="2878" t="s">
        <v>566</v>
      </c>
      <c r="D75" s="2879">
        <v>6</v>
      </c>
      <c r="E75" s="2880">
        <f>'[10]งบลงทุน (จังหวัด)'!F127+'[10]งบลงทุน (จังหวัด)'!F128+'[10]งบลงทุน (จังหวัด)'!F129+'[10]งบลงทุน (จังหวัด)'!F130+'[10]งบลงทุน (จังหวัด)'!F318</f>
        <v>271200</v>
      </c>
      <c r="F75" s="2881"/>
      <c r="G75" s="2880"/>
      <c r="H75" s="2882"/>
      <c r="I75" s="2871">
        <f>'[10]งบลงทุน (จังหวัด)'!M167+'[10]งบลงทุน (จังหวัด)'!M168+'[10]งบลงทุน (จังหวัด)'!M169+'[10]งบลงทุน (จังหวัด)'!M170+'[10]งบลงทุน (จังหวัด)'!M171+'[10]NFMA47 (2)'!K105</f>
        <v>501300</v>
      </c>
      <c r="J75" s="2880">
        <f>'[10]งบลงทุน (จังหวัด)'!N167+'[10]งบลงทุน (จังหวัด)'!N168+'[10]งบลงทุน (จังหวัด)'!N169+'[10]งบลงทุน (จังหวัด)'!N170+'[10]งบลงทุน (จังหวัด)'!N171+'[10]NFMA47 (2)'!N105</f>
        <v>112000</v>
      </c>
      <c r="K75" s="2880">
        <f>J75/I75*100</f>
        <v>22.34191103131857</v>
      </c>
      <c r="L75" s="2880">
        <f>'[10]งบลงทุน (จังหวัด)'!P167+'[10]งบลงทุน (จังหวัด)'!P168+'[10]งบลงทุน (จังหวัด)'!P169+'[10]งบลงทุน (จังหวัด)'!P170+'[10]งบลงทุน (จังหวัด)'!P171+'[10]NFMA47 (2)'!M105</f>
        <v>369500</v>
      </c>
      <c r="M75" s="2871">
        <f>L75+J75</f>
        <v>481500</v>
      </c>
      <c r="N75" s="2871">
        <f>M75/I75*100</f>
        <v>96.050269299820471</v>
      </c>
      <c r="O75" s="2873">
        <f>I75-M75</f>
        <v>19800</v>
      </c>
      <c r="P75" s="1222">
        <v>48347.729999999996</v>
      </c>
      <c r="Q75" s="1223">
        <f t="shared" ref="Q75:Q86" si="3">I75-P75</f>
        <v>452952.27</v>
      </c>
      <c r="R75" s="2877">
        <v>48347.729999999996</v>
      </c>
      <c r="S75" s="1222">
        <f t="shared" si="2"/>
        <v>404604.54000000004</v>
      </c>
      <c r="W75" s="1222"/>
      <c r="X75" s="1222"/>
    </row>
    <row r="76" spans="1:24" s="740" customFormat="1" ht="24">
      <c r="A76" s="1260">
        <v>66</v>
      </c>
      <c r="B76" s="1260">
        <v>1700</v>
      </c>
      <c r="C76" s="2878" t="s">
        <v>784</v>
      </c>
      <c r="D76" s="2879">
        <v>7</v>
      </c>
      <c r="E76" s="2880">
        <f>'[10]งบลงทุน (จังหวัด)'!F232+'[10]งบลงทุน (จังหวัด)'!F233+'[10]งบลงทุน (จังหวัด)'!F234+'[10]งบลงทุน (จังหวัด)'!F393+'[10]งบลงทุน (จังหวัด)'!F394+'[10]งบลงทุน (จังหวัด)'!F395</f>
        <v>773200</v>
      </c>
      <c r="F76" s="2881"/>
      <c r="G76" s="2880"/>
      <c r="H76" s="2882"/>
      <c r="I76" s="2871">
        <f>'[10]งบลงทุน (จังหวัด)'!M393+'[10]งบลงทุน (จังหวัด)'!M394+'[10]งบลงทุน (จังหวัด)'!M395+'[10]งบลงทุน (จังหวัด)'!M396+'[10]งบลงทุน (จังหวัด)'!M397+'[10]งบลงทุน (จังหวัด)'!M398+'[10]NFMA47 (2)'!K27</f>
        <v>463243</v>
      </c>
      <c r="J76" s="2880">
        <f>'[10]งบลงทุน (จังหวัด)'!N393+'[10]งบลงทุน (จังหวัด)'!N394+'[10]งบลงทุน (จังหวัด)'!N395+'[10]งบลงทุน (จังหวัด)'!N396+'[10]งบลงทุน (จังหวัด)'!N397+'[10]งบลงทุน (จังหวัด)'!N398+'[10]NFMA47 (2)'!N27</f>
        <v>209080</v>
      </c>
      <c r="K76" s="2880">
        <f>J76/I76*100</f>
        <v>45.13397935856559</v>
      </c>
      <c r="L76" s="2880">
        <f>'[10]งบลงทุน (จังหวัด)'!P393+'[10]งบลงทุน (จังหวัด)'!P394+'[10]งบลงทุน (จังหวัด)'!P395+'[10]งบลงทุน (จังหวัด)'!P396+'[10]งบลงทุน (จังหวัด)'!P397+'[10]งบลงทุน (จังหวัด)'!P398+'[10]NFMA47 (2)'!M27</f>
        <v>230705</v>
      </c>
      <c r="M76" s="2871">
        <f>L76+J76</f>
        <v>439785</v>
      </c>
      <c r="N76" s="2871">
        <f>M76/I76*100</f>
        <v>94.93613503064266</v>
      </c>
      <c r="O76" s="2873">
        <f>I76-M76</f>
        <v>23458</v>
      </c>
      <c r="P76" s="1259">
        <f t="shared" ref="O74:U87" si="4">J76-N76</f>
        <v>208985.06386496936</v>
      </c>
      <c r="Q76" s="1259">
        <f t="shared" si="4"/>
        <v>-23412.866020641435</v>
      </c>
      <c r="R76" s="1259">
        <f t="shared" si="4"/>
        <v>21719.936135030643</v>
      </c>
      <c r="S76" s="1259">
        <f t="shared" si="4"/>
        <v>463197.86602064141</v>
      </c>
      <c r="T76" s="1259">
        <f t="shared" si="4"/>
        <v>-21625</v>
      </c>
      <c r="U76" s="1259">
        <f t="shared" si="4"/>
        <v>-439739.86602064141</v>
      </c>
      <c r="W76" s="1222"/>
      <c r="X76" s="1222"/>
    </row>
    <row r="77" spans="1:24" s="740" customFormat="1" ht="24">
      <c r="A77" s="1256">
        <v>67</v>
      </c>
      <c r="B77" s="2884">
        <v>3100</v>
      </c>
      <c r="C77" s="2885" t="s">
        <v>549</v>
      </c>
      <c r="D77" s="2886">
        <v>20</v>
      </c>
      <c r="E77" s="2887">
        <f>'[10]งบลงทุน (จังหวัด)'!F139+'[10]งบลงทุน (จังหวัด)'!F140+'[10]งบลงทุน (จังหวัด)'!F141+'[10]งบลงทุน (จังหวัด)'!F142+'[10]งบลงทุน (จังหวัด)'!F143+'[10]งบลงทุน (จังหวัด)'!F144+'[10]งบลงทุน (จังหวัด)'!F145+'[10]งบลงทุน (จังหวัด)'!F146+'[10]งบลงทุน (จังหวัด)'!F147+'[10]งบลงทุน (จังหวัด)'!F148+'[10]งบลงทุน (จังหวัด)'!F324+'[10]งบลงทุน (จังหวัด)'!F325+'[10]งบลงทุน (จังหวัด)'!F326+'[10]งบลงทุน (จังหวัด)'!F327+'[10]งบลงทุน (จังหวัด)'!F328+'[10]งบลงทุน (จังหวัด)'!F329+'[10]งบลงทุน (จังหวัด)'!F330+'[10]งบลงทุน (จังหวัด)'!F421+'[10]งบลงทุน (จังหวัด)'!F422</f>
        <v>4042400</v>
      </c>
      <c r="F77" s="2888"/>
      <c r="G77" s="2887"/>
      <c r="H77" s="2889"/>
      <c r="I77" s="2871">
        <f>'[10]งบลงทุน (จังหวัด)'!M191+'[10]งบลงทุน (จังหวัด)'!M192+'[10]งบลงทุน (จังหวัด)'!M193+'[10]งบลงทุน (จังหวัด)'!M194+'[10]งบลงทุน (จังหวัด)'!M195+'[10]งบลงทุน (จังหวัด)'!M196+'[10]งบลงทุน (จังหวัด)'!M197+'[10]งบลงทุน (จังหวัด)'!M197+'[10]งบลงทุน (จังหวัด)'!M198+'[10]งบลงทุน (จังหวัด)'!M199+'[10]งบลงทุน (จังหวัด)'!M200+'[10]งบลงทุน (จังหวัด)'!M201+'[10]งบลงทุน (จังหวัด)'!M202+'[10]งบลงทุน (จังหวัด)'!M203+'[10]งบลงทุน (จังหวัด)'!M204+'[10]งบลงทุน (จังหวัด)'!M205+'[10]งบลงทุน (จังหวัด)'!M206+'[10]งบลงทุน (จังหวัด)'!M207+'[10]งบลงทุน (จังหวัด)'!M208+'[10]งบลงทุน (จังหวัด)'!M209+'[10]NFMA47 (2)'!K51</f>
        <v>2024689.3199999998</v>
      </c>
      <c r="J77" s="2887">
        <f>'[10]งบลงทุน (จังหวัด)'!N191+'[10]งบลงทุน (จังหวัด)'!N192+'[10]งบลงทุน (จังหวัด)'!N193+'[10]งบลงทุน (จังหวัด)'!N194+'[10]งบลงทุน (จังหวัด)'!N195+'[10]งบลงทุน (จังหวัด)'!N196+'[10]งบลงทุน (จังหวัด)'!N197+'[10]งบลงทุน (จังหวัด)'!N198+'[10]งบลงทุน (จังหวัด)'!N199+'[10]งบลงทุน (จังหวัด)'!N200+'[10]งบลงทุน (จังหวัด)'!N201+'[10]งบลงทุน (จังหวัด)'!N202+'[10]งบลงทุน (จังหวัด)'!N203+'[10]งบลงทุน (จังหวัด)'!N204+'[10]งบลงทุน (จังหวัด)'!N205+'[10]งบลงทุน (จังหวัด)'!N206+'[10]งบลงทุน (จังหวัด)'!N207+'[10]งบลงทุน (จังหวัด)'!N208+'[10]งบลงทุน (จังหวัด)'!N209+'[10]NFMA47 (2)'!N51</f>
        <v>1891746.66</v>
      </c>
      <c r="K77" s="2880">
        <f>J77/I77*100</f>
        <v>93.43392298824395</v>
      </c>
      <c r="L77" s="2887">
        <f>'[10]งบลงทุน (จังหวัด)'!P191+'[10]งบลงทุน (จังหวัด)'!P192+'[10]งบลงทุน (จังหวัด)'!P193+'[10]งบลงทุน (จังหวัด)'!P194+'[10]งบลงทุน (จังหวัด)'!P195+'[10]งบลงทุน (จังหวัด)'!P196+'[10]งบลงทุน (จังหวัด)'!P197+'[10]งบลงทุน (จังหวัด)'!P198+'[10]งบลงทุน (จังหวัด)'!P199+'[10]งบลงทุน (จังหวัด)'!P200+'[10]งบลงทุน (จังหวัด)'!P201+'[10]งบลงทุน (จังหวัด)'!P202+'[10]งบลงทุน (จังหวัด)'!P203+'[10]งบลงทุน (จังหวัด)'!P204+'[10]งบลงทุน (จังหวัด)'!P205+'[10]งบลงทุน (จังหวัด)'!P206+'[10]งบลงทุน (จังหวัด)'!P207+'[10]งบลงทุน (จังหวัด)'!P208+'[10]งบลงทุน (จังหวัด)'!P209+'[10]NFMA47 (2)'!M51</f>
        <v>8000</v>
      </c>
      <c r="M77" s="2871">
        <f>L77+J77</f>
        <v>1899746.66</v>
      </c>
      <c r="N77" s="2871">
        <f>M77/I77*100</f>
        <v>93.829045337187836</v>
      </c>
      <c r="O77" s="2873">
        <f>I77-M77</f>
        <v>124942.65999999992</v>
      </c>
      <c r="P77" s="1222"/>
      <c r="Q77" s="1223"/>
      <c r="R77" s="2877"/>
      <c r="S77" s="1222"/>
      <c r="W77" s="1222"/>
      <c r="X77" s="1222"/>
    </row>
    <row r="78" spans="1:24" s="740" customFormat="1" ht="24">
      <c r="A78" s="1256">
        <v>68</v>
      </c>
      <c r="B78" s="2884">
        <v>4700</v>
      </c>
      <c r="C78" s="2885" t="s">
        <v>560</v>
      </c>
      <c r="D78" s="2886">
        <v>25</v>
      </c>
      <c r="E78" s="2887">
        <f>'[10]งบลงทุน (จังหวัด)'!F213+'[10]งบลงทุน (จังหวัด)'!F214+'[10]งบลงทุน (จังหวัด)'!F215+'[10]งบลงทุน (จังหวัด)'!F216+'[10]งบลงทุน (จังหวัด)'!F217+'[10]งบลงทุน (จังหวัด)'!F218+'[10]งบลงทุน (จังหวัด)'!F219+'[10]งบลงทุน (จังหวัด)'!F220+'[10]งบลงทุน (จังหวัด)'!F221+'[10]งบลงทุน (จังหวัด)'!F222+'[10]งบลงทุน (จังหวัด)'!F223+'[10]งบลงทุน (จังหวัด)'!F224+'[10]งบลงทุน (จังหวัด)'!F225+'[10]งบลงทุน (จังหวัด)'!F382+'[10]งบลงทุน (จังหวัด)'!F383+'[10]งบลงทุน (จังหวัด)'!F384+'[10]งบลงทุน (จังหวัด)'!F385+'[10]งบลงทุน (จังหวัด)'!F386+'[10]งบลงทุน (จังหวัด)'!F387+'[10]งบลงทุน (จังหวัด)'!F388+'[10]งบลงทุน (จังหวัด)'!F389+'[10]งบลงทุน (จังหวัด)'!F446+'[10]งบลงทุน (จังหวัด)'!F447+'[10]งบลงทุน (จังหวัด)'!F448</f>
        <v>3467500</v>
      </c>
      <c r="F78" s="2888"/>
      <c r="G78" s="2887"/>
      <c r="H78" s="2889"/>
      <c r="I78" s="2871">
        <f>'[10]งบลงทุน (จังหวัด)'!M355+'[10]งบลงทุน (จังหวัด)'!M356+'[10]งบลงทุน (จังหวัด)'!M357+'[10]งบลงทุน (จังหวัด)'!M358+'[10]งบลงทุน (จังหวัด)'!M359+'[10]งบลงทุน (จังหวัด)'!M360+'[10]งบลงทุน (จังหวัด)'!M361+'[10]งบลงทุน (จังหวัด)'!M362+'[10]งบลงทุน (จังหวัด)'!M363+'[10]งบลงทุน (จังหวัด)'!M364+'[10]งบลงทุน (จังหวัด)'!M365+'[10]งบลงทุน (จังหวัด)'!M366+'[10]งบลงทุน (จังหวัด)'!M367+'[10]งบลงทุน (จังหวัด)'!M368+'[10]งบลงทุน (จังหวัด)'!M369+'[10]งบลงทุน (จังหวัด)'!M370+'[10]งบลงทุน (จังหวัด)'!M371+'[10]งบลงทุน (จังหวัด)'!M372+'[10]งบลงทุน (จังหวัด)'!M373+'[10]งบลงทุน (จังหวัด)'!M374+'[10]งบลงทุน (จังหวัด)'!M375+'[10]งบลงทุน (จังหวัด)'!M376+'[10]งบลงทุน (จังหวัด)'!M377+'[10]งบลงทุน (จังหวัด)'!M378+'[10]NFMA47 (2)'!K81</f>
        <v>4805200</v>
      </c>
      <c r="J78" s="2887">
        <f>'[10]งบลงทุน (จังหวัด)'!N355+'[10]งบลงทุน (จังหวัด)'!N356+'[10]งบลงทุน (จังหวัด)'!N357+'[10]งบลงทุน (จังหวัด)'!N358+'[10]งบลงทุน (จังหวัด)'!N359+'[10]งบลงทุน (จังหวัด)'!N360+'[10]งบลงทุน (จังหวัด)'!N361+'[10]งบลงทุน (จังหวัด)'!N362+'[10]งบลงทุน (จังหวัด)'!N363+'[10]งบลงทุน (จังหวัด)'!N364+'[10]งบลงทุน (จังหวัด)'!N365+'[10]งบลงทุน (จังหวัด)'!N366+'[10]งบลงทุน (จังหวัด)'!N367+'[10]งบลงทุน (จังหวัด)'!N368+'[10]งบลงทุน (จังหวัด)'!N369+'[10]งบลงทุน (จังหวัด)'!N370+'[10]งบลงทุน (จังหวัด)'!N371+'[10]งบลงทุน (จังหวัด)'!N372+'[10]งบลงทุน (จังหวัด)'!N373+'[10]งบลงทุน (จังหวัด)'!N374+'[10]งบลงทุน (จังหวัด)'!N375+'[10]งบลงทุน (จังหวัด)'!N376+'[10]งบลงทุน (จังหวัด)'!N377+'[10]งบลงทุน (จังหวัด)'!N378+'[10]NFMA47 (2)'!N81</f>
        <v>3713277.25</v>
      </c>
      <c r="K78" s="2880">
        <f>J78/I78*100</f>
        <v>77.276226795971027</v>
      </c>
      <c r="L78" s="2887">
        <f>'[10]งบลงทุน (จังหวัด)'!P355+'[10]งบลงทุน (จังหวัด)'!P356+'[10]งบลงทุน (จังหวัด)'!P357+'[10]งบลงทุน (จังหวัด)'!P358+'[10]งบลงทุน (จังหวัด)'!P359+'[10]งบลงทุน (จังหวัด)'!P360+'[10]งบลงทุน (จังหวัด)'!P361+'[10]งบลงทุน (จังหวัด)'!P362+'[10]งบลงทุน (จังหวัด)'!P363+'[10]งบลงทุน (จังหวัด)'!P364+'[10]งบลงทุน (จังหวัด)'!P365+'[10]งบลงทุน (จังหวัด)'!P366+'[10]งบลงทุน (จังหวัด)'!P367+'[10]งบลงทุน (จังหวัด)'!P368+'[10]งบลงทุน (จังหวัด)'!P369+'[10]งบลงทุน (จังหวัด)'!P370+'[10]งบลงทุน (จังหวัด)'!P371+'[10]งบลงทุน (จังหวัด)'!P372+'[10]งบลงทุน (จังหวัด)'!P373+'[10]งบลงทุน (จังหวัด)'!P374+'[10]งบลงทุน (จังหวัด)'!P375+'[10]งบลงทุน (จังหวัด)'!P376+'[10]งบลงทุน (จังหวัด)'!P377+'[10]งบลงทุน (จังหวัด)'!P378+'[10]NFMA47 (2)'!M81</f>
        <v>767600</v>
      </c>
      <c r="M78" s="2871">
        <f>L78+J78</f>
        <v>4480877.25</v>
      </c>
      <c r="N78" s="2871">
        <f>M78/I78*100</f>
        <v>93.25058790476983</v>
      </c>
      <c r="O78" s="2873">
        <f>I78-M78</f>
        <v>324322.75</v>
      </c>
      <c r="P78" s="1222">
        <v>1243903.8599999999</v>
      </c>
      <c r="Q78" s="1223">
        <f t="shared" si="3"/>
        <v>3561296.14</v>
      </c>
      <c r="R78" s="2877">
        <v>1207903.8599999999</v>
      </c>
      <c r="S78" s="1222">
        <f t="shared" ref="S78:S85" si="5">Q78-R78</f>
        <v>2353392.2800000003</v>
      </c>
      <c r="W78" s="1222"/>
      <c r="X78" s="1222"/>
    </row>
    <row r="79" spans="1:24" s="740" customFormat="1" ht="24">
      <c r="A79" s="1260">
        <v>69</v>
      </c>
      <c r="B79" s="1260">
        <v>9000</v>
      </c>
      <c r="C79" s="2878" t="s">
        <v>581</v>
      </c>
      <c r="D79" s="2879">
        <v>2</v>
      </c>
      <c r="E79" s="2880">
        <f>'[10]งบลงทุน (จังหวัด)'!F226</f>
        <v>104000</v>
      </c>
      <c r="F79" s="2881"/>
      <c r="G79" s="2880"/>
      <c r="H79" s="2882"/>
      <c r="I79" s="2871">
        <f>'[10]งบลงทุน (จังหวัด)'!M379+'[10]NFMA47 (2)'!K151</f>
        <v>89500</v>
      </c>
      <c r="J79" s="2880">
        <f>'[10]งบลงทุน (จังหวัด)'!N379+'[10]NFMA47 (2)'!N151</f>
        <v>0</v>
      </c>
      <c r="K79" s="2880">
        <f>J79/I79*100</f>
        <v>0</v>
      </c>
      <c r="L79" s="2880">
        <f>'[10]งบลงทุน (จังหวัด)'!P379+'[10]NFMA47 (2)'!M151</f>
        <v>81500</v>
      </c>
      <c r="M79" s="2871">
        <f>L79+J79</f>
        <v>81500</v>
      </c>
      <c r="N79" s="2871">
        <f>M79/I79*100</f>
        <v>91.061452513966472</v>
      </c>
      <c r="O79" s="2873">
        <f>I79-M79</f>
        <v>8000</v>
      </c>
      <c r="P79" s="1222">
        <v>3122800</v>
      </c>
      <c r="Q79" s="1223">
        <f t="shared" si="3"/>
        <v>-3033300</v>
      </c>
      <c r="R79" s="2877">
        <v>2853300</v>
      </c>
      <c r="S79" s="1222">
        <f t="shared" si="5"/>
        <v>-5886600</v>
      </c>
      <c r="W79" s="1222"/>
      <c r="X79" s="1222"/>
    </row>
    <row r="80" spans="1:24" s="740" customFormat="1" ht="24">
      <c r="A80" s="1260">
        <v>70</v>
      </c>
      <c r="B80" s="1260">
        <v>4000</v>
      </c>
      <c r="C80" s="2878" t="s">
        <v>554</v>
      </c>
      <c r="D80" s="2879">
        <v>29</v>
      </c>
      <c r="E80" s="2880">
        <f>'[10]งบลงทุน (จังหวัด)'!F56+'[10]งบลงทุน (จังหวัด)'!F57+'[10]งบลงทุน (จังหวัด)'!F58+'[10]งบลงทุน (จังหวัด)'!F59+'[10]งบลงทุน (จังหวัด)'!F60+'[10]งบลงทุน (จังหวัด)'!F61+'[10]งบลงทุน (จังหวัด)'!F62+'[10]งบลงทุน (จังหวัด)'!F63+'[10]งบลงทุน (จังหวัด)'!F64+'[10]งบลงทุน (จังหวัด)'!F65+'[10]งบลงทุน (จังหวัด)'!F66+'[10]งบลงทุน (จังหวัด)'!F67+'[10]งบลงทุน (จังหวัด)'!F68+'[10]งบลงทุน (จังหวัด)'!F277+'[10]งบลงทุน (จังหวัด)'!F278+'[10]งบลงทุน (จังหวัด)'!F279+'[10]งบลงทุน (จังหวัด)'!F280+'[10]งบลงทุน (จังหวัด)'!F281+'[10]งบลงทุน (จังหวัด)'!F282+'[10]งบลงทุน (จังหวัด)'!F283+'[10]งบลงทุน (จังหวัด)'!F431+'[10]งบลงทุน (จังหวัด)'!F432+'[10]งบลงทุน (จังหวัด)'!F433+'[10]งบลงทุน (จังหวัด)'!F434+'[10]งบลงทุน (จังหวัด)'!F435+'[10]งบลงทุน (จังหวัด)'!F436+'[10]งบลงทุน (จังหวัด)'!F437+'[10]งบลงทุน (จังหวัด)'!F438</f>
        <v>4585600</v>
      </c>
      <c r="F80" s="2881"/>
      <c r="G80" s="2880"/>
      <c r="H80" s="2882"/>
      <c r="I80" s="2871">
        <f>'[10]งบลงทุน (จังหวัด)'!M24+'[10]งบลงทุน (จังหวัด)'!M25+'[10]งบลงทุน (จังหวัด)'!M26+'[10]งบลงทุน (จังหวัด)'!M27+'[10]งบลงทุน (จังหวัด)'!M28+'[10]งบลงทุน (จังหวัด)'!M29+'[10]งบลงทุน (จังหวัด)'!M30+'[10]งบลงทุน (จังหวัด)'!M31+'[10]งบลงทุน (จังหวัด)'!M32+'[10]งบลงทุน (จังหวัด)'!M33+'[10]งบลงทุน (จังหวัด)'!M34+'[10]งบลงทุน (จังหวัด)'!M35+'[10]งบลงทุน (จังหวัด)'!M36+'[10]งบลงทุน (จังหวัด)'!M37+'[10]งบลงทุน (จังหวัด)'!M38+'[10]งบลงทุน (จังหวัด)'!M39+'[10]งบลงทุน (จังหวัด)'!M40+'[10]งบลงทุน (จังหวัด)'!M41+'[10]งบลงทุน (จังหวัด)'!M42+'[10]งบลงทุน (จังหวัด)'!M43+'[10]งบลงทุน (จังหวัด)'!M44+'[10]งบลงทุน (จังหวัด)'!M45+'[10]งบลงทุน (จังหวัด)'!M46+'[10]งบลงทุน (จังหวัด)'!M47+'[10]งบลงทุน (จังหวัด)'!M48+'[10]งบลงทุน (จังหวัด)'!M49+'[10]งบลงทุน (จังหวัด)'!M50+'[10]งบลงทุน (จังหวัด)'!M51+'[10]NFMA47 (2)'!K67</f>
        <v>4270182.43</v>
      </c>
      <c r="J80" s="2880">
        <f>'[10]งบลงทุน (จังหวัด)'!N24+'[10]งบลงทุน (จังหวัด)'!N25+'[10]งบลงทุน (จังหวัด)'!N26+'[10]งบลงทุน (จังหวัด)'!N27+'[10]งบลงทุน (จังหวัด)'!N28+'[10]งบลงทุน (จังหวัด)'!N29+'[10]งบลงทุน (จังหวัด)'!N30+'[10]งบลงทุน (จังหวัด)'!N31+'[10]งบลงทุน (จังหวัด)'!N32+'[10]งบลงทุน (จังหวัด)'!N33+'[10]งบลงทุน (จังหวัด)'!N34+'[10]งบลงทุน (จังหวัด)'!N35+'[10]งบลงทุน (จังหวัด)'!N36+'[10]งบลงทุน (จังหวัด)'!N37+'[10]งบลงทุน (จังหวัด)'!N38+'[10]งบลงทุน (จังหวัด)'!N39+'[10]งบลงทุน (จังหวัด)'!N40+'[10]งบลงทุน (จังหวัด)'!N41+'[10]งบลงทุน (จังหวัด)'!N42+'[10]งบลงทุน (จังหวัด)'!N43+'[10]งบลงทุน (จังหวัด)'!N44+'[10]งบลงทุน (จังหวัด)'!N46+'[10]งบลงทุน (จังหวัด)'!N47+'[10]งบลงทุน (จังหวัด)'!N48+'[10]งบลงทุน (จังหวัด)'!N49+'[10]งบลงทุน (จังหวัด)'!N50+'[10]งบลงทุน (จังหวัด)'!N51+'[10]NFMA47 (2)'!N67</f>
        <v>2789207.3</v>
      </c>
      <c r="K80" s="2880">
        <f>J80/I80*100</f>
        <v>65.318223418384491</v>
      </c>
      <c r="L80" s="2880">
        <f>'[10]งบลงทุน (จังหวัด)'!P24+'[10]งบลงทุน (จังหวัด)'!P25+'[10]งบลงทุน (จังหวัด)'!P26+'[10]งบลงทุน (จังหวัด)'!P27+'[10]งบลงทุน (จังหวัด)'!P28+'[10]งบลงทุน (จังหวัด)'!P29+'[10]งบลงทุน (จังหวัด)'!P30+'[10]งบลงทุน (จังหวัด)'!P31+'[10]งบลงทุน (จังหวัด)'!P32+'[10]งบลงทุน (จังหวัด)'!P33+'[10]งบลงทุน (จังหวัด)'!P34+'[10]งบลงทุน (จังหวัด)'!P35+'[10]งบลงทุน (จังหวัด)'!P36+'[10]งบลงทุน (จังหวัด)'!P37+'[10]งบลงทุน (จังหวัด)'!P38+'[10]งบลงทุน (จังหวัด)'!P39+'[10]งบลงทุน (จังหวัด)'!P40+'[10]งบลงทุน (จังหวัด)'!P41+'[10]งบลงทุน (จังหวัด)'!P42+'[10]งบลงทุน (จังหวัด)'!P43+'[10]งบลงทุน (จังหวัด)'!P44+'[10]งบลงทุน (จังหวัด)'!P45+'[10]งบลงทุน (จังหวัด)'!P46+'[10]งบลงทุน (จังหวัด)'!P47+'[10]งบลงทุน (จังหวัด)'!P48+'[10]งบลงทุน (จังหวัด)'!P49+'[10]งบลงทุน (จังหวัด)'!P50+'[10]งบลงทุน (จังหวัด)'!P51+'[10]NFMA47 (2)'!M67</f>
        <v>916253</v>
      </c>
      <c r="M80" s="2871">
        <f>L80+J80</f>
        <v>3705460.3</v>
      </c>
      <c r="N80" s="2871">
        <f>M80/I80*100</f>
        <v>86.775222387864119</v>
      </c>
      <c r="O80" s="2873">
        <f>I80-M80</f>
        <v>564722.12999999989</v>
      </c>
      <c r="P80" s="1222">
        <v>4142609.88</v>
      </c>
      <c r="Q80" s="1223">
        <f t="shared" si="3"/>
        <v>127572.54999999981</v>
      </c>
      <c r="R80" s="2877">
        <v>836027.80999999994</v>
      </c>
      <c r="S80" s="1222">
        <f t="shared" si="5"/>
        <v>-708455.26000000013</v>
      </c>
      <c r="W80" s="1222"/>
      <c r="X80" s="1222"/>
    </row>
    <row r="81" spans="1:24" s="740" customFormat="1" ht="24">
      <c r="A81" s="1260">
        <v>71</v>
      </c>
      <c r="B81" s="1260">
        <v>5000</v>
      </c>
      <c r="C81" s="2878" t="s">
        <v>794</v>
      </c>
      <c r="D81" s="2879">
        <v>13</v>
      </c>
      <c r="E81" s="2880">
        <f>'[10]งบลงทุน (จังหวัด)'!F8+'[10]งบลงทุน (จังหวัด)'!F29+'[10]งบลงทุน (จังหวัด)'!F30+'[10]งบลงทุน (จังหวัด)'!F31+'[10]งบลงทุน (จังหวัด)'!F32+'[10]งบลงทุน (จังหวัด)'!F93+'[10]งบลงทุน (จังหวัด)'!F94+'[10]งบลงทุน (จังหวัด)'!F296+'[10]งบลงทุน (จังหวัด)'!F297+'[10]งบลงทุน (จังหวัด)'!F298+'[10]งบลงทุน (จังหวัด)'!F299+'[10]งบลงทุน (จังหวัด)'!F452</f>
        <v>3047600</v>
      </c>
      <c r="F81" s="2881"/>
      <c r="G81" s="2880"/>
      <c r="H81" s="2882"/>
      <c r="I81" s="2871">
        <f>+'[10]งบลงทุน (จังหวัด)'!M97+'[10]งบลงทุน (จังหวัด)'!M98+'[10]งบลงทุน (จังหวัด)'!M99+'[10]งบลงทุน (จังหวัด)'!M100+'[10]งบลงทุน (จังหวัด)'!M101+'[10]งบลงทุน (จังหวัด)'!M102+'[10]งบลงทุน (จังหวัด)'!M103+'[10]งบลงทุน (จังหวัด)'!M104+'[10]งบลงทุน (จังหวัด)'!M105+'[10]งบลงทุน (จังหวัด)'!M106+'[10]งบลงทุน (จังหวัด)'!M107+'[10]NFMA47 (2)'!K87</f>
        <v>1088028.8700000001</v>
      </c>
      <c r="J81" s="2880">
        <f>+'[10]งบลงทุน (จังหวัด)'!N97+'[10]งบลงทุน (จังหวัด)'!N98+'[10]งบลงทุน (จังหวัด)'!N99+'[10]งบลงทุน (จังหวัด)'!N100+'[10]งบลงทุน (จังหวัด)'!N101+'[10]งบลงทุน (จังหวัด)'!N102+'[10]งบลงทุน (จังหวัด)'!N103+'[10]งบลงทุน (จังหวัด)'!N104+'[10]งบลงทุน (จังหวัด)'!N105+'[10]งบลงทุน (จังหวัด)'!N106+'[10]งบลงทุน (จังหวัด)'!N107+'[10]NFMA47 (2)'!N87</f>
        <v>552600</v>
      </c>
      <c r="K81" s="2880">
        <f>J81/I81*100</f>
        <v>50.789093491609272</v>
      </c>
      <c r="L81" s="2880">
        <f>+'[10]งบลงทุน (จังหวัด)'!P97+'[10]งบลงทุน (จังหวัด)'!P98+'[10]งบลงทุน (จังหวัด)'!P99+'[10]งบลงทุน (จังหวัด)'!P100+'[10]งบลงทุน (จังหวัด)'!P101+'[10]งบลงทุน (จังหวัด)'!P102+'[10]งบลงทุน (จังหวัด)'!P103+'[10]งบลงทุน (จังหวัด)'!P104+'[10]งบลงทุน (จังหวัด)'!P105+'[10]งบลงทุน (จังหวัด)'!P106+'[10]งบลงทุน (จังหวัด)'!P107+'[10]NFMA47 (2)'!M87</f>
        <v>372028</v>
      </c>
      <c r="M81" s="2871">
        <f>L81+J81</f>
        <v>924628</v>
      </c>
      <c r="N81" s="2871">
        <f>M81/I81*100</f>
        <v>84.981936187042521</v>
      </c>
      <c r="O81" s="2873">
        <f>I81-M81</f>
        <v>163400.87000000011</v>
      </c>
      <c r="P81" s="1222"/>
      <c r="Q81" s="1223"/>
      <c r="R81" s="2877"/>
      <c r="S81" s="1222"/>
      <c r="W81" s="1222"/>
    </row>
    <row r="82" spans="1:24" s="740" customFormat="1" ht="24">
      <c r="A82" s="1256">
        <v>72</v>
      </c>
      <c r="B82" s="1260">
        <v>9600</v>
      </c>
      <c r="C82" s="2878" t="s">
        <v>585</v>
      </c>
      <c r="D82" s="2879">
        <v>4</v>
      </c>
      <c r="E82" s="2880">
        <f>'[10]งบลงทุน (จังหวัด)'!F40+'[10]งบลงทุน (จังหวัด)'!F470+'[10]งบลงทุน (จังหวัด)'!F471</f>
        <v>135600</v>
      </c>
      <c r="F82" s="2881"/>
      <c r="G82" s="2880"/>
      <c r="H82" s="2882"/>
      <c r="I82" s="2871">
        <f>'[10]งบลงทุน (จังหวัด)'!M172+'[10]งบลงทุน (จังหวัด)'!M173+'[10]งบลงทุน (จังหวัด)'!M174+'[10]NFMA47 (2)'!K163</f>
        <v>482100</v>
      </c>
      <c r="J82" s="2880">
        <f>'[10]งบลงทุน (จังหวัด)'!N172+'[10]งบลงทุน (จังหวัด)'!N173+'[10]งบลงทุน (จังหวัด)'!N174+'[10]NFMA47 (2)'!N163</f>
        <v>382500</v>
      </c>
      <c r="K82" s="2880">
        <f>J82/I82*100</f>
        <v>79.340385812072185</v>
      </c>
      <c r="L82" s="2880">
        <f>'[10]งบลงทุน (จังหวัด)'!P172+'[10]งบลงทุน (จังหวัด)'!P173+'[10]งบลงทุน (จังหวัด)'!P174+'[10]NFMA47 (2)'!M163</f>
        <v>0</v>
      </c>
      <c r="M82" s="2871">
        <f>L82+J82</f>
        <v>382500</v>
      </c>
      <c r="N82" s="2871">
        <f>M82/I82*100</f>
        <v>79.340385812072185</v>
      </c>
      <c r="O82" s="2873">
        <f>I82-M82</f>
        <v>99600</v>
      </c>
      <c r="P82" s="1222">
        <v>276521.5</v>
      </c>
      <c r="Q82" s="1223">
        <f t="shared" si="3"/>
        <v>205578.5</v>
      </c>
      <c r="R82" s="2877">
        <v>276521.5</v>
      </c>
      <c r="S82" s="1222">
        <f t="shared" si="5"/>
        <v>-70943</v>
      </c>
      <c r="W82" s="1222"/>
      <c r="X82" s="1222"/>
    </row>
    <row r="83" spans="1:24" s="740" customFormat="1" ht="24">
      <c r="A83" s="1256">
        <v>73</v>
      </c>
      <c r="B83" s="1260">
        <v>6300</v>
      </c>
      <c r="C83" s="2878" t="s">
        <v>569</v>
      </c>
      <c r="D83" s="2879">
        <v>8</v>
      </c>
      <c r="E83" s="2880">
        <f>'[10]งบลงทุน (จังหวัด)'!F95+'[10]งบลงทุน (จังหวัด)'!F96+'[10]งบลงทุน (จังหวัด)'!F97+'[10]งบลงทุน (จังหวัด)'!F98+'[10]งบลงทุน (จังหวัด)'!F300+'[10]งบลงทุน (จังหวัด)'!F301</f>
        <v>550200</v>
      </c>
      <c r="F83" s="2881"/>
      <c r="G83" s="2880"/>
      <c r="H83" s="2882"/>
      <c r="I83" s="2871">
        <f>'[10]งบลงทุน (จังหวัด)'!M108+'[10]งบลงทุน (จังหวัด)'!M110+'[10]งบลงทุน (จังหวัด)'!M109+'[10]งบลงทุน (จังหวัด)'!M111+'[10]งบลงทุน (จังหวัด)'!M112+'[10]งบลงทุน (จังหวัด)'!M113+'[10]งบลงทุน (จังหวัด)'!M114+'[10]NFMA47 (2)'!K111</f>
        <v>940000</v>
      </c>
      <c r="J83" s="2880">
        <f>'[10]งบลงทุน (จังหวัด)'!N108+'[10]งบลงทุน (จังหวัด)'!N109+'[10]งบลงทุน (จังหวัด)'!N110+'[10]งบลงทุน (จังหวัด)'!N111+'[10]งบลงทุน (จังหวัด)'!N112+'[10]งบลงทุน (จังหวัด)'!N113+'[10]งบลงทุน (จังหวัด)'!N114+'[10]NFMA47 (2)'!N111</f>
        <v>492400</v>
      </c>
      <c r="K83" s="2880">
        <f>J83/I83*100</f>
        <v>52.38297872340425</v>
      </c>
      <c r="L83" s="2880">
        <f>'[10]งบลงทุน (จังหวัด)'!P108+'[10]งบลงทุน (จังหวัด)'!P109+'[10]งบลงทุน (จังหวัด)'!P110+'[10]งบลงทุน (จังหวัด)'!P111+'[10]งบลงทุน (จังหวัด)'!P112+'[10]งบลงทุน (จังหวัด)'!P113+'[10]งบลงทุน (จังหวัด)'!P114+'[10]NFMA47 (2)'!M111</f>
        <v>197452</v>
      </c>
      <c r="M83" s="2871">
        <f>L83+J83</f>
        <v>689852</v>
      </c>
      <c r="N83" s="2871">
        <f>M83/I83*100</f>
        <v>73.388510638297873</v>
      </c>
      <c r="O83" s="2873">
        <f>I83-M83</f>
        <v>250148</v>
      </c>
      <c r="P83" s="1222">
        <v>4104124.8</v>
      </c>
      <c r="Q83" s="1223">
        <f t="shared" si="3"/>
        <v>-3164124.8</v>
      </c>
      <c r="R83" s="2877">
        <v>1808824.8</v>
      </c>
      <c r="S83" s="1222">
        <f t="shared" si="5"/>
        <v>-4972949.5999999996</v>
      </c>
      <c r="W83" s="1222"/>
      <c r="X83" s="1222"/>
    </row>
    <row r="84" spans="1:24" s="740" customFormat="1" ht="24">
      <c r="A84" s="1260">
        <v>74</v>
      </c>
      <c r="B84" s="1260">
        <v>4100</v>
      </c>
      <c r="C84" s="2878" t="s">
        <v>792</v>
      </c>
      <c r="D84" s="2879">
        <v>12</v>
      </c>
      <c r="E84" s="2880">
        <f>'[10]งบลงทุน (จังหวัด)'!F37+'[10]งบลงทุน (จังหวัด)'!F257+'[10]งบลงทุน (จังหวัด)'!F258+'[10]งบลงทุน (จังหวัด)'!F259+'[10]งบลงทุน (จังหวัด)'!F260+'[10]งบลงทุน (จังหวัด)'!F261+'[10]งบลงทุน (จังหวัด)'!F262+'[10]งบลงทุน (จังหวัด)'!F413+'[10]งบลงทุน (จังหวัด)'!F439+'[10]งบลงทุน (จังหวัด)'!F440+'[10]งบลงทุน (จังหวัด)'!F441</f>
        <v>2440700</v>
      </c>
      <c r="F84" s="2881"/>
      <c r="G84" s="2880"/>
      <c r="H84" s="2882"/>
      <c r="I84" s="2871">
        <f>'[10]งบลงทุน (จังหวัด)'!M451+'[10]งบลงทุน (จังหวัด)'!M452+'[10]งบลงทุน (จังหวัด)'!M453+'[10]งบลงทุน (จังหวัด)'!M454+'[10]งบลงทุน (จังหวัด)'!M455+'[10]งบลงทุน (จังหวัด)'!M456+'[10]งบลงทุน (จังหวัด)'!M457+'[10]งบลงทุน (จังหวัด)'!M458++'[10]งบลงทุน (จังหวัด)'!M459+'[10]งบลงทุน (จังหวัด)'!M460+'[10]งบลงทุน (จังหวัด)'!M461+'[10]NFMA47 (2)'!K69</f>
        <v>1358482.38</v>
      </c>
      <c r="J84" s="2880">
        <f>'[10]งบลงทุน (จังหวัด)'!N451+'[10]งบลงทุน (จังหวัด)'!N452+'[10]งบลงทุน (จังหวัด)'!N453+'[10]งบลงทุน (จังหวัด)'!N454+'[10]งบลงทุน (จังหวัด)'!N455+'[10]งบลงทุน (จังหวัด)'!N456+'[10]งบลงทุน (จังหวัด)'!N457+'[10]งบลงทุน (จังหวัด)'!N458+'[10]งบลงทุน (จังหวัด)'!N459+'[10]งบลงทุน (จังหวัด)'!N460+'[10]งบลงทุน (จังหวัด)'!N461+'[10]NFMA47 (2)'!N69</f>
        <v>537682.38</v>
      </c>
      <c r="K84" s="2880">
        <f>J84/I84*100</f>
        <v>39.5796359169561</v>
      </c>
      <c r="L84" s="2880">
        <f>'[10]งบลงทุน (จังหวัด)'!P451+'[10]งบลงทุน (จังหวัด)'!P452+'[10]งบลงทุน (จังหวัด)'!P453+'[10]งบลงทุน (จังหวัด)'!P454+'[10]งบลงทุน (จังหวัด)'!P455+'[10]งบลงทุน (จังหวัด)'!P456+'[10]งบลงทุน (จังหวัด)'!P457+'[10]งบลงทุน (จังหวัด)'!P458+'[10]งบลงทุน (จังหวัด)'!P459+'[10]งบลงทุน (จังหวัด)'!P460+'[10]งบลงทุน (จังหวัด)'!P461+'[10]NFMA47 (2)'!M69</f>
        <v>82400</v>
      </c>
      <c r="M84" s="2871">
        <f>L84+J84</f>
        <v>620082.38</v>
      </c>
      <c r="N84" s="2871">
        <f>M84/I84*100</f>
        <v>45.645228022758758</v>
      </c>
      <c r="O84" s="2873">
        <f>I84-M84</f>
        <v>738399.99999999988</v>
      </c>
      <c r="P84" s="1222"/>
      <c r="Q84" s="1223"/>
      <c r="R84" s="2877"/>
      <c r="S84" s="1222"/>
      <c r="W84" s="1222"/>
      <c r="X84" s="1222"/>
    </row>
    <row r="85" spans="1:24" s="740" customFormat="1" ht="24">
      <c r="A85" s="1260">
        <v>75</v>
      </c>
      <c r="B85" s="1260">
        <v>8300</v>
      </c>
      <c r="C85" s="2878" t="s">
        <v>578</v>
      </c>
      <c r="D85" s="2879">
        <v>2</v>
      </c>
      <c r="E85" s="2880">
        <f>'[10]งบลงทุน (จังหวัด)'!F340</f>
        <v>208000</v>
      </c>
      <c r="F85" s="2881"/>
      <c r="G85" s="2880"/>
      <c r="H85" s="2882"/>
      <c r="I85" s="2871">
        <f>'[10]งบลงทุน (จังหวัด)'!M251+'[10]NFMA47 (2)'!K143</f>
        <v>53200</v>
      </c>
      <c r="J85" s="2880">
        <f>'[10]งบลงทุน (จังหวัด)'!N251+'[10]NFMA47 (2)'!N143</f>
        <v>8000</v>
      </c>
      <c r="K85" s="2880">
        <f>J85/I85*100</f>
        <v>15.037593984962406</v>
      </c>
      <c r="L85" s="2880">
        <f>'[10]งบลงทุน (จังหวัด)'!P251+'[10]NFMA47 (2)'!M143</f>
        <v>0</v>
      </c>
      <c r="M85" s="2871">
        <f>L85+J85</f>
        <v>8000</v>
      </c>
      <c r="N85" s="2871">
        <f>M85/I85*100</f>
        <v>15.037593984962406</v>
      </c>
      <c r="O85" s="2873">
        <f>I85-M85</f>
        <v>45200</v>
      </c>
      <c r="P85" s="1222">
        <v>1475294.48</v>
      </c>
      <c r="Q85" s="1223">
        <f t="shared" si="3"/>
        <v>-1422094.48</v>
      </c>
      <c r="R85" s="2877">
        <v>941294.48</v>
      </c>
      <c r="S85" s="1222">
        <f t="shared" si="5"/>
        <v>-2363388.96</v>
      </c>
      <c r="W85" s="1222"/>
      <c r="X85" s="1222"/>
    </row>
    <row r="86" spans="1:24" s="740" customFormat="1" ht="24">
      <c r="A86" s="1260">
        <v>76</v>
      </c>
      <c r="B86" s="1260">
        <v>2300</v>
      </c>
      <c r="C86" s="2878" t="s">
        <v>544</v>
      </c>
      <c r="D86" s="2879">
        <v>1</v>
      </c>
      <c r="E86" s="2880"/>
      <c r="F86" s="2881"/>
      <c r="G86" s="2880"/>
      <c r="H86" s="2882"/>
      <c r="I86" s="2871">
        <f>'[10]NFMA47 (2)'!K39</f>
        <v>8000</v>
      </c>
      <c r="J86" s="2880">
        <f>'[10]NFMA47 (2)'!N39</f>
        <v>0</v>
      </c>
      <c r="K86" s="2880">
        <f>J86/I86*100</f>
        <v>0</v>
      </c>
      <c r="L86" s="2880">
        <f>'[10]NFMA47 (2)'!M39</f>
        <v>0</v>
      </c>
      <c r="M86" s="2871">
        <f>L86+J86</f>
        <v>0</v>
      </c>
      <c r="N86" s="2871">
        <f>M86/I86*100</f>
        <v>0</v>
      </c>
      <c r="O86" s="2873">
        <f>I86-M86</f>
        <v>8000</v>
      </c>
      <c r="P86" s="1222">
        <v>7135334.7999999998</v>
      </c>
      <c r="Q86" s="1223">
        <f t="shared" si="3"/>
        <v>-7127334.7999999998</v>
      </c>
      <c r="R86" s="2877">
        <v>2690334.8</v>
      </c>
      <c r="S86" s="1222">
        <f>Q86-R86</f>
        <v>-9817669.5999999996</v>
      </c>
      <c r="W86" s="1222"/>
      <c r="X86" s="1222"/>
    </row>
    <row r="87" spans="1:24" s="1224" customFormat="1">
      <c r="A87" s="1261"/>
      <c r="B87" s="1261"/>
      <c r="C87" s="1262"/>
      <c r="D87" s="2894"/>
      <c r="E87" s="2895"/>
      <c r="F87" s="2895"/>
      <c r="G87" s="2895"/>
      <c r="H87" s="2895"/>
      <c r="I87" s="2895"/>
      <c r="J87" s="2895"/>
      <c r="K87" s="2895"/>
      <c r="L87" s="2895"/>
      <c r="M87" s="2895"/>
      <c r="N87" s="2895"/>
      <c r="O87" s="2873">
        <f t="shared" si="4"/>
        <v>0</v>
      </c>
      <c r="R87" s="1721"/>
    </row>
    <row r="88" spans="1:24">
      <c r="A88" s="1263"/>
      <c r="B88" s="1263"/>
      <c r="C88" s="1264"/>
      <c r="D88" s="1263"/>
      <c r="E88" s="2896"/>
      <c r="F88" s="2896"/>
      <c r="G88" s="2896"/>
      <c r="H88" s="2897"/>
      <c r="I88" s="2896"/>
      <c r="J88" s="2896"/>
      <c r="K88" s="2896"/>
      <c r="L88" s="2896"/>
      <c r="M88" s="2896"/>
      <c r="N88" s="2896"/>
      <c r="O88" s="1263"/>
      <c r="R88" s="1722"/>
    </row>
    <row r="118" spans="10:10">
      <c r="J118" s="2898" t="s">
        <v>4625</v>
      </c>
    </row>
  </sheetData>
  <sortState xmlns:xlrd2="http://schemas.microsoft.com/office/spreadsheetml/2017/richdata2" ref="B11:O86">
    <sortCondition descending="1" ref="N11:N86"/>
  </sortState>
  <mergeCells count="16">
    <mergeCell ref="H5:H8"/>
    <mergeCell ref="I5:I8"/>
    <mergeCell ref="J5:K7"/>
    <mergeCell ref="L5:L7"/>
    <mergeCell ref="M5:N7"/>
    <mergeCell ref="O5:O8"/>
    <mergeCell ref="A1:O1"/>
    <mergeCell ref="A2:O2"/>
    <mergeCell ref="A3:O3"/>
    <mergeCell ref="A5:A8"/>
    <mergeCell ref="B5:B8"/>
    <mergeCell ref="C5:C8"/>
    <mergeCell ref="D5:D8"/>
    <mergeCell ref="E5:E8"/>
    <mergeCell ref="F5:F8"/>
    <mergeCell ref="G5:G8"/>
  </mergeCells>
  <printOptions horizontalCentered="1"/>
  <pageMargins left="0.7" right="0.7" top="0.81" bottom="0.38" header="0.05" footer="0.59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B58C-C604-4D32-9ABA-50A29EA5459B}">
  <dimension ref="A1:Q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I11" sqref="I11"/>
    </sheetView>
  </sheetViews>
  <sheetFormatPr defaultColWidth="10.42578125" defaultRowHeight="26.1" customHeight="1"/>
  <cols>
    <col min="1" max="1" width="9.28515625" style="1297" customWidth="1"/>
    <col min="2" max="2" width="55.140625" style="1298" customWidth="1"/>
    <col min="3" max="3" width="16.42578125" style="1299" customWidth="1"/>
    <col min="4" max="5" width="19.7109375" style="1300" customWidth="1"/>
    <col min="6" max="6" width="12.140625" style="2935" customWidth="1"/>
    <col min="7" max="8" width="19.7109375" style="1302" customWidth="1"/>
    <col min="9" max="9" width="11.85546875" style="1783" customWidth="1"/>
    <col min="10" max="10" width="19.7109375" style="1300" customWidth="1"/>
    <col min="11" max="11" width="23.42578125" style="1304" customWidth="1"/>
    <col min="12" max="12" width="30.85546875" style="1268" bestFit="1" customWidth="1"/>
    <col min="13" max="13" width="19.42578125" style="1305" customWidth="1"/>
    <col min="14" max="14" width="19" style="1225" customWidth="1"/>
    <col min="15" max="15" width="10.42578125" style="1305" customWidth="1"/>
    <col min="16" max="16" width="10.42578125" style="1305"/>
    <col min="17" max="17" width="26.7109375" style="1306" bestFit="1" customWidth="1"/>
    <col min="18" max="18" width="14.5703125" style="1305" bestFit="1" customWidth="1"/>
    <col min="19" max="16384" width="10.42578125" style="1305"/>
  </cols>
  <sheetData>
    <row r="1" spans="1:17" s="1269" customFormat="1" ht="30" customHeight="1">
      <c r="A1" s="2315" t="s">
        <v>5353</v>
      </c>
      <c r="B1" s="2315"/>
      <c r="C1" s="2315"/>
      <c r="D1" s="2315"/>
      <c r="E1" s="2315"/>
      <c r="F1" s="2315"/>
      <c r="G1" s="2315"/>
      <c r="H1" s="2315"/>
      <c r="I1" s="2315"/>
      <c r="J1" s="2315"/>
      <c r="K1" s="2315"/>
      <c r="L1" s="1268"/>
      <c r="N1" s="1270"/>
      <c r="Q1" s="1271"/>
    </row>
    <row r="2" spans="1:17" s="1269" customFormat="1" ht="30" customHeight="1">
      <c r="A2" s="2315" t="s">
        <v>6051</v>
      </c>
      <c r="B2" s="2315"/>
      <c r="C2" s="2315"/>
      <c r="D2" s="2315"/>
      <c r="E2" s="2315"/>
      <c r="F2" s="2315"/>
      <c r="G2" s="2315"/>
      <c r="H2" s="2315"/>
      <c r="I2" s="2315"/>
      <c r="J2" s="2315"/>
      <c r="K2" s="2315"/>
      <c r="L2" s="1268"/>
      <c r="N2" s="1270"/>
      <c r="Q2" s="1271"/>
    </row>
    <row r="3" spans="1:17" s="1269" customFormat="1" ht="30" customHeight="1">
      <c r="A3" s="2315" t="s">
        <v>6052</v>
      </c>
      <c r="B3" s="2315"/>
      <c r="C3" s="2315"/>
      <c r="D3" s="2315"/>
      <c r="E3" s="2315"/>
      <c r="F3" s="2315"/>
      <c r="G3" s="2315"/>
      <c r="H3" s="2315"/>
      <c r="I3" s="2315"/>
      <c r="J3" s="2315"/>
      <c r="K3" s="2315"/>
      <c r="L3" s="1268"/>
      <c r="N3" s="1270"/>
      <c r="Q3" s="1271"/>
    </row>
    <row r="4" spans="1:17" s="1269" customFormat="1" ht="26.1" customHeight="1">
      <c r="A4" s="1272"/>
      <c r="B4" s="1273"/>
      <c r="C4" s="1274"/>
      <c r="D4" s="1274"/>
      <c r="E4" s="1274"/>
      <c r="F4" s="2904"/>
      <c r="G4" s="1274"/>
      <c r="H4" s="1274"/>
      <c r="I4" s="2904"/>
      <c r="J4" s="1274"/>
      <c r="K4" s="1274"/>
      <c r="L4" s="1268"/>
      <c r="N4" s="1276"/>
      <c r="Q4" s="1271"/>
    </row>
    <row r="5" spans="1:17" s="1277" customFormat="1" ht="27" customHeight="1">
      <c r="A5" s="2312" t="s">
        <v>805</v>
      </c>
      <c r="B5" s="2316" t="s">
        <v>5354</v>
      </c>
      <c r="C5" s="2312" t="s">
        <v>5355</v>
      </c>
      <c r="D5" s="2319" t="s">
        <v>5356</v>
      </c>
      <c r="E5" s="2322" t="s">
        <v>22</v>
      </c>
      <c r="F5" s="2323"/>
      <c r="G5" s="2319" t="s">
        <v>430</v>
      </c>
      <c r="H5" s="2319" t="s">
        <v>869</v>
      </c>
      <c r="I5" s="2309"/>
      <c r="J5" s="2309" t="s">
        <v>4</v>
      </c>
      <c r="K5" s="2312" t="s">
        <v>431</v>
      </c>
      <c r="L5" s="1268"/>
      <c r="N5" s="1226"/>
      <c r="Q5" s="1278"/>
    </row>
    <row r="6" spans="1:17" s="1280" customFormat="1" ht="27" customHeight="1">
      <c r="A6" s="2313"/>
      <c r="B6" s="2317"/>
      <c r="C6" s="2313"/>
      <c r="D6" s="2320"/>
      <c r="E6" s="2324"/>
      <c r="F6" s="2325"/>
      <c r="G6" s="2320"/>
      <c r="H6" s="2311"/>
      <c r="I6" s="2311"/>
      <c r="J6" s="2310"/>
      <c r="K6" s="2313"/>
      <c r="L6" s="1279"/>
      <c r="N6" s="1281"/>
      <c r="Q6" s="1282"/>
    </row>
    <row r="7" spans="1:17" s="1280" customFormat="1" ht="27" customHeight="1">
      <c r="A7" s="2314"/>
      <c r="B7" s="2318"/>
      <c r="C7" s="2314"/>
      <c r="D7" s="2321"/>
      <c r="E7" s="1283" t="s">
        <v>803</v>
      </c>
      <c r="F7" s="2905" t="s">
        <v>12</v>
      </c>
      <c r="G7" s="2321"/>
      <c r="H7" s="1284" t="s">
        <v>803</v>
      </c>
      <c r="I7" s="2905" t="s">
        <v>12</v>
      </c>
      <c r="J7" s="2311"/>
      <c r="K7" s="2314"/>
      <c r="L7" s="1279"/>
      <c r="N7" s="1281"/>
      <c r="Q7" s="1282"/>
    </row>
    <row r="8" spans="1:17" s="1285" customFormat="1" ht="27" customHeight="1">
      <c r="A8" s="2906"/>
      <c r="B8" s="2907" t="s">
        <v>5357</v>
      </c>
      <c r="C8" s="2908"/>
      <c r="D8" s="2909">
        <f>SUM(D9:D20)</f>
        <v>3572800</v>
      </c>
      <c r="E8" s="2909">
        <f>SUM(E9:E20)</f>
        <v>3175600</v>
      </c>
      <c r="F8" s="2910">
        <f>E8/D8*100</f>
        <v>88.882669055082857</v>
      </c>
      <c r="G8" s="2909">
        <f>SUM(G9:G20)</f>
        <v>397200</v>
      </c>
      <c r="H8" s="2909">
        <f>SUM(H9:H20)</f>
        <v>3572800</v>
      </c>
      <c r="I8" s="2910">
        <f>H8/D8*100</f>
        <v>100</v>
      </c>
      <c r="J8" s="2909">
        <f>SUM(J9:J20)</f>
        <v>0</v>
      </c>
      <c r="K8" s="2906"/>
      <c r="L8" s="1895"/>
      <c r="N8" s="1286"/>
      <c r="Q8" s="1287"/>
    </row>
    <row r="9" spans="1:17" s="1285" customFormat="1" ht="27" customHeight="1">
      <c r="A9" s="2911">
        <v>1</v>
      </c>
      <c r="B9" s="2912" t="s">
        <v>5361</v>
      </c>
      <c r="C9" s="2913" t="s">
        <v>6053</v>
      </c>
      <c r="D9" s="2914">
        <v>500000</v>
      </c>
      <c r="E9" s="2915">
        <v>500000</v>
      </c>
      <c r="F9" s="2916">
        <f>E9/D9*100</f>
        <v>100</v>
      </c>
      <c r="G9" s="2917"/>
      <c r="H9" s="2918">
        <f>+E9+G9</f>
        <v>500000</v>
      </c>
      <c r="I9" s="2916">
        <f>H9/D9*100</f>
        <v>100</v>
      </c>
      <c r="J9" s="2915">
        <f>D9-H9</f>
        <v>0</v>
      </c>
      <c r="K9" s="2911" t="s">
        <v>937</v>
      </c>
      <c r="L9" s="1895" t="s">
        <v>6054</v>
      </c>
      <c r="N9" s="1286"/>
      <c r="Q9" s="1287"/>
    </row>
    <row r="10" spans="1:17" s="1294" customFormat="1" ht="27" customHeight="1">
      <c r="A10" s="1437">
        <v>2</v>
      </c>
      <c r="B10" s="1728" t="s">
        <v>6055</v>
      </c>
      <c r="C10" s="1729" t="s">
        <v>6053</v>
      </c>
      <c r="D10" s="1730">
        <v>300000</v>
      </c>
      <c r="E10" s="1730">
        <v>300000</v>
      </c>
      <c r="F10" s="2919">
        <f t="shared" ref="F10:F20" si="0">E10/D10*100</f>
        <v>100</v>
      </c>
      <c r="G10" s="1731"/>
      <c r="H10" s="1731">
        <f>+E10+G10</f>
        <v>300000</v>
      </c>
      <c r="I10" s="2919">
        <f t="shared" ref="I10:I20" si="1">H10/D10*100</f>
        <v>100</v>
      </c>
      <c r="J10" s="1730">
        <f>D10-H10</f>
        <v>0</v>
      </c>
      <c r="K10" s="1437" t="s">
        <v>970</v>
      </c>
      <c r="L10" s="1895" t="s">
        <v>6056</v>
      </c>
      <c r="N10" s="1295"/>
      <c r="Q10" s="1296"/>
    </row>
    <row r="11" spans="1:17" s="1291" customFormat="1" ht="45">
      <c r="A11" s="1436">
        <v>3</v>
      </c>
      <c r="B11" s="1724" t="s">
        <v>5358</v>
      </c>
      <c r="C11" s="1725" t="s">
        <v>6057</v>
      </c>
      <c r="D11" s="1726">
        <v>200000</v>
      </c>
      <c r="E11" s="1726">
        <v>200000</v>
      </c>
      <c r="F11" s="2920">
        <f t="shared" si="0"/>
        <v>100</v>
      </c>
      <c r="G11" s="1727"/>
      <c r="H11" s="1727">
        <f t="shared" ref="H11:H20" si="2">+E11+G11</f>
        <v>200000</v>
      </c>
      <c r="I11" s="2920">
        <f t="shared" si="1"/>
        <v>100</v>
      </c>
      <c r="J11" s="1726">
        <f t="shared" ref="J11:J20" si="3">D11-H11</f>
        <v>0</v>
      </c>
      <c r="K11" s="1436" t="s">
        <v>916</v>
      </c>
      <c r="L11" s="1896" t="s">
        <v>6058</v>
      </c>
      <c r="N11" s="1292"/>
      <c r="Q11" s="1293"/>
    </row>
    <row r="12" spans="1:17" s="1288" customFormat="1" ht="45">
      <c r="A12" s="1438">
        <v>4</v>
      </c>
      <c r="B12" s="1732" t="s">
        <v>6059</v>
      </c>
      <c r="C12" s="1725" t="s">
        <v>6057</v>
      </c>
      <c r="D12" s="1726">
        <v>200000</v>
      </c>
      <c r="E12" s="1733">
        <v>200000</v>
      </c>
      <c r="F12" s="2921">
        <f t="shared" si="0"/>
        <v>100</v>
      </c>
      <c r="G12" s="1734"/>
      <c r="H12" s="1727">
        <f t="shared" si="2"/>
        <v>200000</v>
      </c>
      <c r="I12" s="2921">
        <f t="shared" si="1"/>
        <v>100</v>
      </c>
      <c r="J12" s="1733">
        <f t="shared" si="3"/>
        <v>0</v>
      </c>
      <c r="K12" s="1735" t="s">
        <v>936</v>
      </c>
      <c r="L12" s="1896" t="s">
        <v>6060</v>
      </c>
      <c r="N12" s="1289"/>
      <c r="Q12" s="1290"/>
    </row>
    <row r="13" spans="1:17" s="1288" customFormat="1" ht="45">
      <c r="A13" s="1438">
        <v>5</v>
      </c>
      <c r="B13" s="2922" t="s">
        <v>5359</v>
      </c>
      <c r="C13" s="2923" t="s">
        <v>6057</v>
      </c>
      <c r="D13" s="1726">
        <v>500000</v>
      </c>
      <c r="E13" s="1733">
        <v>500000</v>
      </c>
      <c r="F13" s="2921">
        <f t="shared" si="0"/>
        <v>100</v>
      </c>
      <c r="G13" s="1734"/>
      <c r="H13" s="1727">
        <f>+E13+G13</f>
        <v>500000</v>
      </c>
      <c r="I13" s="2921">
        <f t="shared" si="1"/>
        <v>100</v>
      </c>
      <c r="J13" s="1733">
        <f>+D13-H13</f>
        <v>0</v>
      </c>
      <c r="K13" s="1734" t="s">
        <v>1149</v>
      </c>
      <c r="L13" s="1896" t="s">
        <v>5404</v>
      </c>
      <c r="N13" s="1289"/>
      <c r="Q13" s="1290"/>
    </row>
    <row r="14" spans="1:17" s="1294" customFormat="1" ht="27" customHeight="1">
      <c r="A14" s="1437">
        <v>6</v>
      </c>
      <c r="B14" s="1736" t="s">
        <v>5360</v>
      </c>
      <c r="C14" s="1729" t="s">
        <v>6057</v>
      </c>
      <c r="D14" s="1730">
        <v>300000</v>
      </c>
      <c r="E14" s="1730">
        <v>300000</v>
      </c>
      <c r="F14" s="2924">
        <f t="shared" si="0"/>
        <v>100</v>
      </c>
      <c r="G14" s="1731"/>
      <c r="H14" s="1731">
        <f t="shared" si="2"/>
        <v>300000</v>
      </c>
      <c r="I14" s="2924">
        <f t="shared" si="1"/>
        <v>100</v>
      </c>
      <c r="J14" s="1737">
        <f t="shared" si="3"/>
        <v>0</v>
      </c>
      <c r="K14" s="1437" t="s">
        <v>1150</v>
      </c>
      <c r="L14" s="1895" t="s">
        <v>5405</v>
      </c>
      <c r="N14" s="1295"/>
      <c r="Q14" s="1296"/>
    </row>
    <row r="15" spans="1:17" s="1291" customFormat="1" ht="45">
      <c r="A15" s="1738">
        <v>7</v>
      </c>
      <c r="B15" s="1747" t="s">
        <v>6061</v>
      </c>
      <c r="C15" s="1740" t="s">
        <v>6057</v>
      </c>
      <c r="D15" s="1741">
        <v>200000</v>
      </c>
      <c r="E15" s="1741">
        <v>70000</v>
      </c>
      <c r="F15" s="2921">
        <f t="shared" si="0"/>
        <v>35</v>
      </c>
      <c r="G15" s="1742">
        <v>130000</v>
      </c>
      <c r="H15" s="1727">
        <f t="shared" si="2"/>
        <v>200000</v>
      </c>
      <c r="I15" s="2921">
        <f t="shared" si="1"/>
        <v>100</v>
      </c>
      <c r="J15" s="1733">
        <f t="shared" si="3"/>
        <v>0</v>
      </c>
      <c r="K15" s="1738" t="s">
        <v>965</v>
      </c>
      <c r="L15" s="1896" t="s">
        <v>6062</v>
      </c>
      <c r="N15" s="1292"/>
      <c r="Q15" s="1293"/>
    </row>
    <row r="16" spans="1:17" s="1291" customFormat="1" ht="45">
      <c r="A16" s="1738">
        <v>8</v>
      </c>
      <c r="B16" s="1747" t="s">
        <v>6063</v>
      </c>
      <c r="C16" s="1740" t="s">
        <v>6064</v>
      </c>
      <c r="D16" s="1741">
        <v>200000</v>
      </c>
      <c r="E16" s="1741">
        <v>200000</v>
      </c>
      <c r="F16" s="2925">
        <f t="shared" si="0"/>
        <v>100</v>
      </c>
      <c r="G16" s="1742"/>
      <c r="H16" s="1727">
        <f t="shared" si="2"/>
        <v>200000</v>
      </c>
      <c r="I16" s="2921">
        <f t="shared" si="1"/>
        <v>100</v>
      </c>
      <c r="J16" s="1733">
        <f t="shared" si="3"/>
        <v>0</v>
      </c>
      <c r="K16" s="1738" t="s">
        <v>936</v>
      </c>
      <c r="L16" s="1896" t="s">
        <v>5406</v>
      </c>
      <c r="N16" s="1292"/>
      <c r="Q16" s="1293"/>
    </row>
    <row r="17" spans="1:17" s="1291" customFormat="1" ht="67.5">
      <c r="A17" s="1738">
        <v>9</v>
      </c>
      <c r="B17" s="1747" t="s">
        <v>6065</v>
      </c>
      <c r="C17" s="1740" t="s">
        <v>6066</v>
      </c>
      <c r="D17" s="1741">
        <v>300000</v>
      </c>
      <c r="E17" s="1741">
        <v>300000</v>
      </c>
      <c r="F17" s="2925">
        <f t="shared" si="0"/>
        <v>100</v>
      </c>
      <c r="G17" s="1742"/>
      <c r="H17" s="1727">
        <f t="shared" si="2"/>
        <v>300000</v>
      </c>
      <c r="I17" s="2921">
        <f t="shared" si="1"/>
        <v>100</v>
      </c>
      <c r="J17" s="1733">
        <f t="shared" si="3"/>
        <v>0</v>
      </c>
      <c r="K17" s="1738" t="s">
        <v>1153</v>
      </c>
      <c r="L17" s="1896" t="s">
        <v>6056</v>
      </c>
      <c r="N17" s="1292"/>
      <c r="Q17" s="1293"/>
    </row>
    <row r="18" spans="1:17" s="1291" customFormat="1" ht="45">
      <c r="A18" s="1738">
        <v>10</v>
      </c>
      <c r="B18" s="1747" t="s">
        <v>5367</v>
      </c>
      <c r="C18" s="1740" t="s">
        <v>6067</v>
      </c>
      <c r="D18" s="1741">
        <v>250000</v>
      </c>
      <c r="E18" s="1741">
        <v>250000</v>
      </c>
      <c r="F18" s="2925">
        <f t="shared" si="0"/>
        <v>100</v>
      </c>
      <c r="G18" s="1742"/>
      <c r="H18" s="1727">
        <f t="shared" si="2"/>
        <v>250000</v>
      </c>
      <c r="I18" s="2921">
        <f t="shared" si="1"/>
        <v>100</v>
      </c>
      <c r="J18" s="1733">
        <f t="shared" si="3"/>
        <v>0</v>
      </c>
      <c r="K18" s="1738" t="s">
        <v>1153</v>
      </c>
      <c r="L18" s="1896" t="s">
        <v>6068</v>
      </c>
      <c r="N18" s="1292"/>
      <c r="Q18" s="1293"/>
    </row>
    <row r="19" spans="1:17" s="1294" customFormat="1" ht="27" customHeight="1">
      <c r="A19" s="1743">
        <v>11</v>
      </c>
      <c r="B19" s="1739" t="s">
        <v>5368</v>
      </c>
      <c r="C19" s="1744" t="s">
        <v>6067</v>
      </c>
      <c r="D19" s="1745">
        <v>82800</v>
      </c>
      <c r="E19" s="1745">
        <v>82800</v>
      </c>
      <c r="F19" s="2926">
        <f t="shared" si="0"/>
        <v>100</v>
      </c>
      <c r="G19" s="1746"/>
      <c r="H19" s="1731">
        <f t="shared" si="2"/>
        <v>82800</v>
      </c>
      <c r="I19" s="2924">
        <f t="shared" si="1"/>
        <v>100</v>
      </c>
      <c r="J19" s="1737">
        <f t="shared" si="3"/>
        <v>0</v>
      </c>
      <c r="K19" s="1743" t="s">
        <v>1175</v>
      </c>
      <c r="L19" s="1895" t="s">
        <v>6069</v>
      </c>
      <c r="N19" s="1295"/>
      <c r="Q19" s="1296"/>
    </row>
    <row r="20" spans="1:17" s="1291" customFormat="1" ht="45">
      <c r="A20" s="1738">
        <v>12</v>
      </c>
      <c r="B20" s="1747" t="s">
        <v>6070</v>
      </c>
      <c r="C20" s="1740" t="s">
        <v>6067</v>
      </c>
      <c r="D20" s="1741">
        <v>540000</v>
      </c>
      <c r="E20" s="1741">
        <v>272800</v>
      </c>
      <c r="F20" s="2925">
        <f t="shared" si="0"/>
        <v>50.518518518518519</v>
      </c>
      <c r="G20" s="1742">
        <v>267200</v>
      </c>
      <c r="H20" s="1727">
        <f t="shared" si="2"/>
        <v>540000</v>
      </c>
      <c r="I20" s="2921">
        <f t="shared" si="1"/>
        <v>100</v>
      </c>
      <c r="J20" s="1733">
        <f t="shared" si="3"/>
        <v>0</v>
      </c>
      <c r="K20" s="1738" t="s">
        <v>938</v>
      </c>
      <c r="L20" s="1896" t="s">
        <v>6056</v>
      </c>
      <c r="N20" s="1292"/>
      <c r="Q20" s="1293"/>
    </row>
    <row r="21" spans="1:17" s="1309" customFormat="1" ht="27" customHeight="1">
      <c r="A21" s="1802"/>
      <c r="B21" s="2927"/>
      <c r="C21" s="2928"/>
      <c r="D21" s="2929"/>
      <c r="E21" s="2930"/>
      <c r="F21" s="2931"/>
      <c r="G21" s="2930"/>
      <c r="H21" s="2930"/>
      <c r="I21" s="2931"/>
      <c r="J21" s="2930"/>
      <c r="K21" s="2932"/>
      <c r="L21" s="2933"/>
      <c r="N21" s="2934"/>
      <c r="Q21" s="1748"/>
    </row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8ADE-BE01-4C98-832C-D272D9AEAD6E}">
  <dimension ref="A1:Q14"/>
  <sheetViews>
    <sheetView zoomScale="80" zoomScaleNormal="80" workbookViewId="0">
      <pane xSplit="2" ySplit="8" topLeftCell="C13" activePane="bottomRight" state="frozen"/>
      <selection pane="topRight" activeCell="C1" sqref="C1"/>
      <selection pane="bottomLeft" activeCell="A10" sqref="A10"/>
      <selection pane="bottomRight" activeCell="E13" sqref="E13"/>
    </sheetView>
  </sheetViews>
  <sheetFormatPr defaultColWidth="10.42578125" defaultRowHeight="27" customHeight="1"/>
  <cols>
    <col min="1" max="1" width="9.28515625" style="1297" customWidth="1"/>
    <col min="2" max="2" width="49.7109375" style="1298" customWidth="1"/>
    <col min="3" max="3" width="15.5703125" style="1299" customWidth="1"/>
    <col min="4" max="4" width="19.85546875" style="1300" bestFit="1" customWidth="1"/>
    <col min="5" max="5" width="18.7109375" style="1300" customWidth="1"/>
    <col min="6" max="6" width="10.85546875" style="1301" customWidth="1"/>
    <col min="7" max="8" width="18.7109375" style="1302" customWidth="1"/>
    <col min="9" max="9" width="12" style="1303" customWidth="1"/>
    <col min="10" max="10" width="18.7109375" style="1300" customWidth="1"/>
    <col min="11" max="11" width="14.5703125" style="1304" customWidth="1"/>
    <col min="12" max="12" width="21.42578125" style="1268" bestFit="1" customWidth="1"/>
    <col min="13" max="13" width="19.42578125" style="1305" customWidth="1"/>
    <col min="14" max="14" width="19" style="1225" customWidth="1"/>
    <col min="15" max="15" width="10.42578125" style="1305" customWidth="1"/>
    <col min="16" max="16" width="10.42578125" style="1305"/>
    <col min="17" max="17" width="26.7109375" style="1306" bestFit="1" customWidth="1"/>
    <col min="18" max="18" width="14.5703125" style="1305" bestFit="1" customWidth="1"/>
    <col min="19" max="16384" width="10.42578125" style="1305"/>
  </cols>
  <sheetData>
    <row r="1" spans="1:17" ht="27" customHeight="1">
      <c r="K1" s="1307"/>
    </row>
    <row r="2" spans="1:17" s="1269" customFormat="1" ht="32.1" customHeight="1">
      <c r="A2" s="2315" t="s">
        <v>6071</v>
      </c>
      <c r="B2" s="2315"/>
      <c r="C2" s="2315"/>
      <c r="D2" s="2315"/>
      <c r="E2" s="2315"/>
      <c r="F2" s="2315"/>
      <c r="G2" s="2315"/>
      <c r="H2" s="2315"/>
      <c r="I2" s="2315"/>
      <c r="J2" s="2315"/>
      <c r="K2" s="2315"/>
      <c r="L2" s="1268"/>
      <c r="N2" s="1276"/>
      <c r="Q2" s="1271"/>
    </row>
    <row r="3" spans="1:17" s="1269" customFormat="1" ht="32.1" customHeight="1">
      <c r="A3" s="2315" t="s">
        <v>6072</v>
      </c>
      <c r="B3" s="2315"/>
      <c r="C3" s="2315"/>
      <c r="D3" s="2315"/>
      <c r="E3" s="2315"/>
      <c r="F3" s="2315"/>
      <c r="G3" s="2315"/>
      <c r="H3" s="2315"/>
      <c r="I3" s="2315"/>
      <c r="J3" s="2315"/>
      <c r="K3" s="2315"/>
      <c r="L3" s="1268"/>
      <c r="N3" s="1276"/>
      <c r="Q3" s="1271"/>
    </row>
    <row r="4" spans="1:17" s="1269" customFormat="1" ht="27" customHeight="1">
      <c r="A4" s="1272"/>
      <c r="B4" s="1273"/>
      <c r="C4" s="1274"/>
      <c r="D4" s="1274"/>
      <c r="E4" s="1274"/>
      <c r="F4" s="1274"/>
      <c r="G4" s="1274"/>
      <c r="H4" s="1274"/>
      <c r="I4" s="1275"/>
      <c r="J4" s="1274"/>
      <c r="K4" s="1274"/>
      <c r="L4" s="1268"/>
      <c r="N4" s="1276"/>
      <c r="Q4" s="1271"/>
    </row>
    <row r="5" spans="1:17" s="1309" customFormat="1" ht="27" customHeight="1">
      <c r="A5" s="2326" t="s">
        <v>805</v>
      </c>
      <c r="B5" s="2331" t="s">
        <v>3</v>
      </c>
      <c r="C5" s="2326" t="s">
        <v>5355</v>
      </c>
      <c r="D5" s="2334" t="s">
        <v>5356</v>
      </c>
      <c r="E5" s="2337" t="s">
        <v>22</v>
      </c>
      <c r="F5" s="2338"/>
      <c r="G5" s="2334" t="s">
        <v>430</v>
      </c>
      <c r="H5" s="2334" t="s">
        <v>869</v>
      </c>
      <c r="I5" s="2341"/>
      <c r="J5" s="2341" t="s">
        <v>4</v>
      </c>
      <c r="K5" s="2326" t="s">
        <v>431</v>
      </c>
      <c r="L5" s="1779"/>
      <c r="N5" s="1310"/>
      <c r="Q5" s="1311"/>
    </row>
    <row r="6" spans="1:17" s="1285" customFormat="1" ht="27" customHeight="1">
      <c r="A6" s="2327"/>
      <c r="B6" s="2332"/>
      <c r="C6" s="2327"/>
      <c r="D6" s="2335"/>
      <c r="E6" s="2339"/>
      <c r="F6" s="2340"/>
      <c r="G6" s="2335"/>
      <c r="H6" s="2342"/>
      <c r="I6" s="2342"/>
      <c r="J6" s="2343"/>
      <c r="K6" s="2327"/>
      <c r="L6" s="1780"/>
      <c r="N6" s="1312"/>
      <c r="Q6" s="1313"/>
    </row>
    <row r="7" spans="1:17" s="1285" customFormat="1" ht="27" customHeight="1">
      <c r="A7" s="2328"/>
      <c r="B7" s="2333"/>
      <c r="C7" s="2328"/>
      <c r="D7" s="2336"/>
      <c r="E7" s="1314" t="s">
        <v>803</v>
      </c>
      <c r="F7" s="1315" t="s">
        <v>12</v>
      </c>
      <c r="G7" s="2336"/>
      <c r="H7" s="1316" t="s">
        <v>803</v>
      </c>
      <c r="I7" s="1317" t="s">
        <v>12</v>
      </c>
      <c r="J7" s="2342"/>
      <c r="K7" s="2328"/>
      <c r="L7" s="1780"/>
      <c r="N7" s="1312"/>
      <c r="Q7" s="1313"/>
    </row>
    <row r="8" spans="1:17" s="2938" customFormat="1" ht="27" customHeight="1" thickBot="1">
      <c r="A8" s="2329" t="s">
        <v>273</v>
      </c>
      <c r="B8" s="2330"/>
      <c r="C8" s="1318"/>
      <c r="D8" s="1319">
        <f>SUM(D9:D20)</f>
        <v>162878470</v>
      </c>
      <c r="E8" s="1319">
        <f>SUM(E9:E20)</f>
        <v>96860370</v>
      </c>
      <c r="F8" s="1319">
        <f>+E8*100/D8</f>
        <v>59.467878105682111</v>
      </c>
      <c r="G8" s="1319">
        <f t="shared" ref="G8:J8" si="0">SUM(G9:G20)</f>
        <v>65989500</v>
      </c>
      <c r="H8" s="1319">
        <f t="shared" si="0"/>
        <v>162849870</v>
      </c>
      <c r="I8" s="1319">
        <f>+H8*100/D8</f>
        <v>99.98244089596372</v>
      </c>
      <c r="J8" s="1319">
        <f t="shared" si="0"/>
        <v>28600</v>
      </c>
      <c r="K8" s="1320"/>
      <c r="L8" s="2936"/>
      <c r="M8" s="2937"/>
      <c r="N8" s="2937"/>
      <c r="Q8" s="2939"/>
    </row>
    <row r="9" spans="1:17" s="1324" customFormat="1" ht="64.5" customHeight="1" thickTop="1">
      <c r="A9" s="1321">
        <v>1</v>
      </c>
      <c r="B9" s="2940" t="s">
        <v>6073</v>
      </c>
      <c r="C9" s="1322" t="s">
        <v>6074</v>
      </c>
      <c r="D9" s="1323">
        <v>84920000</v>
      </c>
      <c r="E9" s="1323">
        <v>84920000</v>
      </c>
      <c r="F9" s="1750">
        <f>+E9*100/D9</f>
        <v>100</v>
      </c>
      <c r="G9" s="1750"/>
      <c r="H9" s="1750">
        <f>+E9+G9</f>
        <v>84920000</v>
      </c>
      <c r="I9" s="1750">
        <f>+H9*100/D9</f>
        <v>100</v>
      </c>
      <c r="J9" s="1750">
        <f>+D9-H9</f>
        <v>0</v>
      </c>
      <c r="K9" s="1321" t="s">
        <v>5362</v>
      </c>
      <c r="L9" s="1338" t="s">
        <v>6075</v>
      </c>
      <c r="N9" s="1325"/>
      <c r="Q9" s="1326"/>
    </row>
    <row r="10" spans="1:17" s="1755" customFormat="1" ht="90.75" customHeight="1">
      <c r="A10" s="1751">
        <v>2</v>
      </c>
      <c r="B10" s="2941" t="s">
        <v>6076</v>
      </c>
      <c r="C10" s="1752" t="s">
        <v>6077</v>
      </c>
      <c r="D10" s="1753">
        <f>39110000-5000</f>
        <v>39105000</v>
      </c>
      <c r="E10" s="1753">
        <v>11731500</v>
      </c>
      <c r="F10" s="1754">
        <f>+E10*100/D10</f>
        <v>30</v>
      </c>
      <c r="G10" s="1753">
        <v>27373500</v>
      </c>
      <c r="H10" s="1753">
        <f>+E10+G10</f>
        <v>39105000</v>
      </c>
      <c r="I10" s="1754">
        <f>+H10*100/D10</f>
        <v>100</v>
      </c>
      <c r="J10" s="1754">
        <f>+D10-H10</f>
        <v>0</v>
      </c>
      <c r="K10" s="1751" t="s">
        <v>5362</v>
      </c>
      <c r="L10" s="1338" t="s">
        <v>6078</v>
      </c>
      <c r="N10" s="1756"/>
      <c r="Q10" s="1757"/>
    </row>
    <row r="11" spans="1:17" s="1755" customFormat="1" ht="69" customHeight="1">
      <c r="A11" s="1751">
        <v>3</v>
      </c>
      <c r="B11" s="2941" t="s">
        <v>6079</v>
      </c>
      <c r="C11" s="1752" t="s">
        <v>6080</v>
      </c>
      <c r="D11" s="1753">
        <v>107270</v>
      </c>
      <c r="E11" s="1753">
        <v>107270</v>
      </c>
      <c r="F11" s="1754">
        <f t="shared" ref="F11:F13" si="1">+E11*100/D11</f>
        <v>100</v>
      </c>
      <c r="G11" s="1753"/>
      <c r="H11" s="1753">
        <f t="shared" ref="H11:H13" si="2">+E11+G11</f>
        <v>107270</v>
      </c>
      <c r="I11" s="1754">
        <f t="shared" ref="I11:I13" si="3">+H11*100/D11</f>
        <v>100</v>
      </c>
      <c r="J11" s="1754">
        <f t="shared" ref="J11:J13" si="4">+D11-H11</f>
        <v>0</v>
      </c>
      <c r="K11" s="1751" t="s">
        <v>947</v>
      </c>
      <c r="L11" s="1338" t="s">
        <v>6081</v>
      </c>
      <c r="N11" s="1756"/>
      <c r="Q11" s="1757"/>
    </row>
    <row r="12" spans="1:17" s="1755" customFormat="1" ht="108.75" customHeight="1">
      <c r="A12" s="1751">
        <v>4</v>
      </c>
      <c r="B12" s="2941" t="s">
        <v>6082</v>
      </c>
      <c r="C12" s="1752" t="s">
        <v>6080</v>
      </c>
      <c r="D12" s="1753">
        <v>1081600</v>
      </c>
      <c r="E12" s="1753">
        <v>101600</v>
      </c>
      <c r="F12" s="1754">
        <f t="shared" si="1"/>
        <v>9.3934911242603558</v>
      </c>
      <c r="G12" s="1753">
        <v>980000</v>
      </c>
      <c r="H12" s="1753">
        <f t="shared" si="2"/>
        <v>1081600</v>
      </c>
      <c r="I12" s="1754">
        <f t="shared" si="3"/>
        <v>100</v>
      </c>
      <c r="J12" s="1754">
        <f t="shared" si="4"/>
        <v>0</v>
      </c>
      <c r="K12" s="1751" t="s">
        <v>1135</v>
      </c>
      <c r="L12" s="1338" t="s">
        <v>6083</v>
      </c>
      <c r="N12" s="1756"/>
      <c r="Q12" s="1757"/>
    </row>
    <row r="13" spans="1:17" s="1755" customFormat="1" ht="108.75" customHeight="1">
      <c r="A13" s="2942">
        <v>5</v>
      </c>
      <c r="B13" s="2943" t="s">
        <v>6084</v>
      </c>
      <c r="C13" s="2944" t="s">
        <v>6085</v>
      </c>
      <c r="D13" s="2945">
        <v>37664600</v>
      </c>
      <c r="E13" s="2945"/>
      <c r="F13" s="2946">
        <f t="shared" si="1"/>
        <v>0</v>
      </c>
      <c r="G13" s="2945">
        <v>37636000</v>
      </c>
      <c r="H13" s="1753">
        <f t="shared" si="2"/>
        <v>37636000</v>
      </c>
      <c r="I13" s="1754">
        <f t="shared" si="3"/>
        <v>99.924066630204493</v>
      </c>
      <c r="J13" s="1754">
        <f t="shared" si="4"/>
        <v>28600</v>
      </c>
      <c r="K13" s="2942" t="s">
        <v>5362</v>
      </c>
      <c r="L13" s="1338" t="s">
        <v>6086</v>
      </c>
      <c r="N13" s="1756"/>
      <c r="Q13" s="1757"/>
    </row>
    <row r="14" spans="1:17" s="1327" customFormat="1" ht="27" customHeight="1">
      <c r="A14" s="1330"/>
      <c r="B14" s="1331"/>
      <c r="C14" s="1332"/>
      <c r="D14" s="1333"/>
      <c r="E14" s="1333"/>
      <c r="F14" s="1334"/>
      <c r="G14" s="1335"/>
      <c r="H14" s="1335"/>
      <c r="I14" s="1336"/>
      <c r="J14" s="1333"/>
      <c r="K14" s="1337"/>
      <c r="L14" s="2947"/>
      <c r="N14" s="1328"/>
      <c r="Q14" s="1329"/>
    </row>
  </sheetData>
  <mergeCells count="12">
    <mergeCell ref="K5:K7"/>
    <mergeCell ref="A8:B8"/>
    <mergeCell ref="A2:K2"/>
    <mergeCell ref="A3:K3"/>
    <mergeCell ref="A5:A7"/>
    <mergeCell ref="B5:B7"/>
    <mergeCell ref="C5:C7"/>
    <mergeCell ref="D5:D7"/>
    <mergeCell ref="E5:F6"/>
    <mergeCell ref="G5:G7"/>
    <mergeCell ref="H5:I6"/>
    <mergeCell ref="J5:J7"/>
  </mergeCells>
  <pageMargins left="0.59055118110236227" right="0.15748031496062992" top="0.35433070866141736" bottom="0.35433070866141736" header="0.23622047244094491" footer="0.15748031496062992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490E-B4E8-4C06-8BCE-CFE137E2D842}">
  <dimension ref="A1:L16"/>
  <sheetViews>
    <sheetView zoomScale="80" zoomScaleNormal="80" workbookViewId="0">
      <selection activeCell="A5" sqref="A5:A6"/>
    </sheetView>
  </sheetViews>
  <sheetFormatPr defaultColWidth="10.42578125" defaultRowHeight="24.95" customHeight="1"/>
  <cols>
    <col min="1" max="1" width="7.28515625" style="1308" customWidth="1"/>
    <col min="2" max="2" width="14.42578125" style="1781" customWidth="1"/>
    <col min="3" max="3" width="54.140625" style="1308" customWidth="1"/>
    <col min="4" max="4" width="18.140625" style="1782" bestFit="1" customWidth="1"/>
    <col min="5" max="5" width="16.7109375" style="1782" customWidth="1"/>
    <col min="6" max="6" width="12.42578125" style="1783" bestFit="1" customWidth="1"/>
    <col min="7" max="8" width="16.7109375" style="1782" customWidth="1"/>
    <col min="9" max="9" width="12.7109375" style="1783" bestFit="1" customWidth="1"/>
    <col min="10" max="10" width="18.140625" style="1782" bestFit="1" customWidth="1"/>
    <col min="11" max="11" width="14.7109375" style="1308" customWidth="1"/>
    <col min="12" max="12" width="24.42578125" style="1268" customWidth="1"/>
    <col min="13" max="16384" width="10.42578125" style="1298"/>
  </cols>
  <sheetData>
    <row r="1" spans="1:12" ht="26.25">
      <c r="K1" s="1897"/>
    </row>
    <row r="2" spans="1:12" s="1784" customFormat="1" ht="33">
      <c r="A2" s="2346" t="s">
        <v>5372</v>
      </c>
      <c r="B2" s="2346"/>
      <c r="C2" s="2346"/>
      <c r="D2" s="2346"/>
      <c r="E2" s="2346"/>
      <c r="F2" s="2346"/>
      <c r="G2" s="2346"/>
      <c r="H2" s="2346"/>
      <c r="I2" s="2346"/>
      <c r="J2" s="2346"/>
      <c r="K2" s="2346"/>
      <c r="L2" s="1268"/>
    </row>
    <row r="3" spans="1:12" s="1784" customFormat="1" ht="33">
      <c r="A3" s="2346" t="s">
        <v>6051</v>
      </c>
      <c r="B3" s="2346"/>
      <c r="C3" s="2346"/>
      <c r="D3" s="2346"/>
      <c r="E3" s="2346"/>
      <c r="F3" s="2346"/>
      <c r="G3" s="2346"/>
      <c r="H3" s="2346"/>
      <c r="I3" s="2346"/>
      <c r="J3" s="2346"/>
      <c r="K3" s="2346"/>
      <c r="L3" s="1268"/>
    </row>
    <row r="4" spans="1:12" s="1784" customFormat="1" ht="33">
      <c r="A4" s="2346" t="s">
        <v>6087</v>
      </c>
      <c r="B4" s="2346"/>
      <c r="C4" s="2346"/>
      <c r="D4" s="2346"/>
      <c r="E4" s="2346"/>
      <c r="F4" s="2346"/>
      <c r="G4" s="2346"/>
      <c r="H4" s="2346"/>
      <c r="I4" s="2346"/>
      <c r="J4" s="2346"/>
      <c r="K4" s="2346"/>
      <c r="L4" s="1268"/>
    </row>
    <row r="5" spans="1:12" s="1785" customFormat="1" ht="50.1" customHeight="1">
      <c r="A5" s="2326" t="s">
        <v>376</v>
      </c>
      <c r="B5" s="2326" t="s">
        <v>5373</v>
      </c>
      <c r="C5" s="2331" t="s">
        <v>3</v>
      </c>
      <c r="D5" s="2347" t="s">
        <v>837</v>
      </c>
      <c r="E5" s="2349" t="s">
        <v>22</v>
      </c>
      <c r="F5" s="2350"/>
      <c r="G5" s="2344" t="s">
        <v>851</v>
      </c>
      <c r="H5" s="2351" t="s">
        <v>1243</v>
      </c>
      <c r="I5" s="2350"/>
      <c r="J5" s="2344" t="s">
        <v>4</v>
      </c>
      <c r="K5" s="2326" t="s">
        <v>431</v>
      </c>
      <c r="L5" s="1268"/>
    </row>
    <row r="6" spans="1:12" s="1787" customFormat="1" ht="24.95" customHeight="1">
      <c r="A6" s="2328"/>
      <c r="B6" s="2333"/>
      <c r="C6" s="2333"/>
      <c r="D6" s="2348"/>
      <c r="E6" s="1786" t="s">
        <v>803</v>
      </c>
      <c r="F6" s="1786" t="s">
        <v>12</v>
      </c>
      <c r="G6" s="2348"/>
      <c r="H6" s="1786" t="s">
        <v>803</v>
      </c>
      <c r="I6" s="1786" t="s">
        <v>12</v>
      </c>
      <c r="J6" s="2345"/>
      <c r="K6" s="2328"/>
      <c r="L6" s="1279"/>
    </row>
    <row r="7" spans="1:12" s="1793" customFormat="1" ht="29.25" thickBot="1">
      <c r="A7" s="1788"/>
      <c r="B7" s="1789"/>
      <c r="C7" s="1790" t="s">
        <v>273</v>
      </c>
      <c r="D7" s="1791">
        <f>SUM(D8:D11)</f>
        <v>4037248.09</v>
      </c>
      <c r="E7" s="1791">
        <f>SUM(E8:E11)</f>
        <v>79000</v>
      </c>
      <c r="F7" s="1792">
        <f>+E7*100/D7</f>
        <v>1.9567784351840514</v>
      </c>
      <c r="G7" s="1791">
        <f>SUM(G8:G11)</f>
        <v>0</v>
      </c>
      <c r="H7" s="1791">
        <f>SUM(H8:H11)</f>
        <v>79000</v>
      </c>
      <c r="I7" s="1791">
        <f>H7*100/D7</f>
        <v>1.9567784351840514</v>
      </c>
      <c r="J7" s="1791">
        <f>SUM(J8:J11)</f>
        <v>3958248.09</v>
      </c>
      <c r="K7" s="1789"/>
      <c r="L7" s="1279"/>
    </row>
    <row r="8" spans="1:12" s="1907" customFormat="1" ht="169.5" customHeight="1" thickTop="1">
      <c r="A8" s="1898">
        <v>1</v>
      </c>
      <c r="B8" s="1899" t="s">
        <v>6088</v>
      </c>
      <c r="C8" s="1900" t="s">
        <v>6089</v>
      </c>
      <c r="D8" s="1901">
        <v>79000</v>
      </c>
      <c r="E8" s="1902">
        <v>79000</v>
      </c>
      <c r="F8" s="1903">
        <f>E8*100/D8</f>
        <v>100</v>
      </c>
      <c r="G8" s="1901"/>
      <c r="H8" s="1904">
        <f>E8+G8</f>
        <v>79000</v>
      </c>
      <c r="I8" s="1905">
        <f>H8*100/D8</f>
        <v>100</v>
      </c>
      <c r="J8" s="1906">
        <f>D8-H8</f>
        <v>0</v>
      </c>
      <c r="K8" s="1898" t="s">
        <v>5366</v>
      </c>
      <c r="L8" s="1795" t="s">
        <v>5374</v>
      </c>
    </row>
    <row r="9" spans="1:12" s="1907" customFormat="1" ht="45">
      <c r="A9" s="1909">
        <v>2</v>
      </c>
      <c r="B9" s="1899" t="s">
        <v>6090</v>
      </c>
      <c r="C9" s="1900" t="s">
        <v>6091</v>
      </c>
      <c r="D9" s="1910">
        <v>3958248.09</v>
      </c>
      <c r="E9" s="1911"/>
      <c r="F9" s="1903">
        <f>E9*100/D9</f>
        <v>0</v>
      </c>
      <c r="G9" s="1910"/>
      <c r="H9" s="1904">
        <f>E9+G9</f>
        <v>0</v>
      </c>
      <c r="I9" s="1905">
        <f>H9*100/D9</f>
        <v>0</v>
      </c>
      <c r="J9" s="1906">
        <f>D9-H9</f>
        <v>3958248.09</v>
      </c>
      <c r="K9" s="1438" t="s">
        <v>1165</v>
      </c>
      <c r="L9" s="1796"/>
    </row>
    <row r="10" spans="1:12" s="1907" customFormat="1" ht="28.5">
      <c r="A10" s="1909"/>
      <c r="B10" s="1912"/>
      <c r="C10" s="1724"/>
      <c r="D10" s="1910"/>
      <c r="E10" s="1911"/>
      <c r="F10" s="1903"/>
      <c r="G10" s="1910"/>
      <c r="H10" s="1904"/>
      <c r="I10" s="1905"/>
      <c r="J10" s="1908"/>
      <c r="K10" s="1438"/>
      <c r="L10" s="1796"/>
    </row>
    <row r="11" spans="1:12" s="1794" customFormat="1" ht="24.95" customHeight="1">
      <c r="A11" s="1797"/>
      <c r="B11" s="1798"/>
      <c r="C11" s="1799"/>
      <c r="D11" s="1913"/>
      <c r="E11" s="1914"/>
      <c r="F11" s="1800"/>
      <c r="G11" s="1913"/>
      <c r="H11" s="1915"/>
      <c r="I11" s="1916"/>
      <c r="J11" s="1801"/>
      <c r="K11" s="1802"/>
      <c r="L11" s="1268"/>
    </row>
    <row r="14" spans="1:12" ht="24.95" customHeight="1">
      <c r="D14" s="1803"/>
    </row>
    <row r="16" spans="1:12" ht="24.95" customHeight="1">
      <c r="G16" s="1782" t="s">
        <v>3354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F5"/>
    <mergeCell ref="G5:G6"/>
    <mergeCell ref="H5:I5"/>
  </mergeCells>
  <pageMargins left="0.51181102362204722" right="0.15748031496062992" top="0.47244094488188981" bottom="0.74803149606299213" header="0.23622047244094491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K11" sqref="K11"/>
    </sheetView>
  </sheetViews>
  <sheetFormatPr defaultRowHeight="18"/>
  <cols>
    <col min="1" max="1" width="9.28515625" style="1773" bestFit="1" customWidth="1"/>
    <col min="2" max="3" width="9.28515625" style="815" bestFit="1" customWidth="1"/>
    <col min="4" max="4" width="15.5703125" style="818" hidden="1" customWidth="1"/>
    <col min="5" max="5" width="46.5703125" style="818" customWidth="1"/>
    <col min="6" max="6" width="20.7109375" style="819" customWidth="1"/>
    <col min="7" max="7" width="20.28515625" style="819" customWidth="1"/>
    <col min="8" max="8" width="10.42578125" style="818" customWidth="1"/>
    <col min="9" max="256" width="9.140625" style="596"/>
    <col min="257" max="259" width="9.28515625" style="596" bestFit="1" customWidth="1"/>
    <col min="260" max="260" width="11" style="596" bestFit="1" customWidth="1"/>
    <col min="261" max="261" width="35.7109375" style="596" bestFit="1" customWidth="1"/>
    <col min="262" max="262" width="23.85546875" style="596" bestFit="1" customWidth="1"/>
    <col min="263" max="263" width="20.5703125" style="596" bestFit="1" customWidth="1"/>
    <col min="264" max="512" width="9.140625" style="596"/>
    <col min="513" max="515" width="9.28515625" style="596" bestFit="1" customWidth="1"/>
    <col min="516" max="516" width="11" style="596" bestFit="1" customWidth="1"/>
    <col min="517" max="517" width="35.7109375" style="596" bestFit="1" customWidth="1"/>
    <col min="518" max="518" width="23.85546875" style="596" bestFit="1" customWidth="1"/>
    <col min="519" max="519" width="20.5703125" style="596" bestFit="1" customWidth="1"/>
    <col min="520" max="768" width="9.140625" style="596"/>
    <col min="769" max="771" width="9.28515625" style="596" bestFit="1" customWidth="1"/>
    <col min="772" max="772" width="11" style="596" bestFit="1" customWidth="1"/>
    <col min="773" max="773" width="35.7109375" style="596" bestFit="1" customWidth="1"/>
    <col min="774" max="774" width="23.85546875" style="596" bestFit="1" customWidth="1"/>
    <col min="775" max="775" width="20.5703125" style="596" bestFit="1" customWidth="1"/>
    <col min="776" max="1024" width="9.140625" style="596"/>
    <col min="1025" max="1027" width="9.28515625" style="596" bestFit="1" customWidth="1"/>
    <col min="1028" max="1028" width="11" style="596" bestFit="1" customWidth="1"/>
    <col min="1029" max="1029" width="35.7109375" style="596" bestFit="1" customWidth="1"/>
    <col min="1030" max="1030" width="23.85546875" style="596" bestFit="1" customWidth="1"/>
    <col min="1031" max="1031" width="20.5703125" style="596" bestFit="1" customWidth="1"/>
    <col min="1032" max="1280" width="9.140625" style="596"/>
    <col min="1281" max="1283" width="9.28515625" style="596" bestFit="1" customWidth="1"/>
    <col min="1284" max="1284" width="11" style="596" bestFit="1" customWidth="1"/>
    <col min="1285" max="1285" width="35.7109375" style="596" bestFit="1" customWidth="1"/>
    <col min="1286" max="1286" width="23.85546875" style="596" bestFit="1" customWidth="1"/>
    <col min="1287" max="1287" width="20.5703125" style="596" bestFit="1" customWidth="1"/>
    <col min="1288" max="1536" width="9.140625" style="596"/>
    <col min="1537" max="1539" width="9.28515625" style="596" bestFit="1" customWidth="1"/>
    <col min="1540" max="1540" width="11" style="596" bestFit="1" customWidth="1"/>
    <col min="1541" max="1541" width="35.7109375" style="596" bestFit="1" customWidth="1"/>
    <col min="1542" max="1542" width="23.85546875" style="596" bestFit="1" customWidth="1"/>
    <col min="1543" max="1543" width="20.5703125" style="596" bestFit="1" customWidth="1"/>
    <col min="1544" max="1792" width="9.140625" style="596"/>
    <col min="1793" max="1795" width="9.28515625" style="596" bestFit="1" customWidth="1"/>
    <col min="1796" max="1796" width="11" style="596" bestFit="1" customWidth="1"/>
    <col min="1797" max="1797" width="35.7109375" style="596" bestFit="1" customWidth="1"/>
    <col min="1798" max="1798" width="23.85546875" style="596" bestFit="1" customWidth="1"/>
    <col min="1799" max="1799" width="20.5703125" style="596" bestFit="1" customWidth="1"/>
    <col min="1800" max="2048" width="9.140625" style="596"/>
    <col min="2049" max="2051" width="9.28515625" style="596" bestFit="1" customWidth="1"/>
    <col min="2052" max="2052" width="11" style="596" bestFit="1" customWidth="1"/>
    <col min="2053" max="2053" width="35.7109375" style="596" bestFit="1" customWidth="1"/>
    <col min="2054" max="2054" width="23.85546875" style="596" bestFit="1" customWidth="1"/>
    <col min="2055" max="2055" width="20.5703125" style="596" bestFit="1" customWidth="1"/>
    <col min="2056" max="2304" width="9.140625" style="596"/>
    <col min="2305" max="2307" width="9.28515625" style="596" bestFit="1" customWidth="1"/>
    <col min="2308" max="2308" width="11" style="596" bestFit="1" customWidth="1"/>
    <col min="2309" max="2309" width="35.7109375" style="596" bestFit="1" customWidth="1"/>
    <col min="2310" max="2310" width="23.85546875" style="596" bestFit="1" customWidth="1"/>
    <col min="2311" max="2311" width="20.5703125" style="596" bestFit="1" customWidth="1"/>
    <col min="2312" max="2560" width="9.140625" style="596"/>
    <col min="2561" max="2563" width="9.28515625" style="596" bestFit="1" customWidth="1"/>
    <col min="2564" max="2564" width="11" style="596" bestFit="1" customWidth="1"/>
    <col min="2565" max="2565" width="35.7109375" style="596" bestFit="1" customWidth="1"/>
    <col min="2566" max="2566" width="23.85546875" style="596" bestFit="1" customWidth="1"/>
    <col min="2567" max="2567" width="20.5703125" style="596" bestFit="1" customWidth="1"/>
    <col min="2568" max="2816" width="9.140625" style="596"/>
    <col min="2817" max="2819" width="9.28515625" style="596" bestFit="1" customWidth="1"/>
    <col min="2820" max="2820" width="11" style="596" bestFit="1" customWidth="1"/>
    <col min="2821" max="2821" width="35.7109375" style="596" bestFit="1" customWidth="1"/>
    <col min="2822" max="2822" width="23.85546875" style="596" bestFit="1" customWidth="1"/>
    <col min="2823" max="2823" width="20.5703125" style="596" bestFit="1" customWidth="1"/>
    <col min="2824" max="3072" width="9.140625" style="596"/>
    <col min="3073" max="3075" width="9.28515625" style="596" bestFit="1" customWidth="1"/>
    <col min="3076" max="3076" width="11" style="596" bestFit="1" customWidth="1"/>
    <col min="3077" max="3077" width="35.7109375" style="596" bestFit="1" customWidth="1"/>
    <col min="3078" max="3078" width="23.85546875" style="596" bestFit="1" customWidth="1"/>
    <col min="3079" max="3079" width="20.5703125" style="596" bestFit="1" customWidth="1"/>
    <col min="3080" max="3328" width="9.140625" style="596"/>
    <col min="3329" max="3331" width="9.28515625" style="596" bestFit="1" customWidth="1"/>
    <col min="3332" max="3332" width="11" style="596" bestFit="1" customWidth="1"/>
    <col min="3333" max="3333" width="35.7109375" style="596" bestFit="1" customWidth="1"/>
    <col min="3334" max="3334" width="23.85546875" style="596" bestFit="1" customWidth="1"/>
    <col min="3335" max="3335" width="20.5703125" style="596" bestFit="1" customWidth="1"/>
    <col min="3336" max="3584" width="9.140625" style="596"/>
    <col min="3585" max="3587" width="9.28515625" style="596" bestFit="1" customWidth="1"/>
    <col min="3588" max="3588" width="11" style="596" bestFit="1" customWidth="1"/>
    <col min="3589" max="3589" width="35.7109375" style="596" bestFit="1" customWidth="1"/>
    <col min="3590" max="3590" width="23.85546875" style="596" bestFit="1" customWidth="1"/>
    <col min="3591" max="3591" width="20.5703125" style="596" bestFit="1" customWidth="1"/>
    <col min="3592" max="3840" width="9.140625" style="596"/>
    <col min="3841" max="3843" width="9.28515625" style="596" bestFit="1" customWidth="1"/>
    <col min="3844" max="3844" width="11" style="596" bestFit="1" customWidth="1"/>
    <col min="3845" max="3845" width="35.7109375" style="596" bestFit="1" customWidth="1"/>
    <col min="3846" max="3846" width="23.85546875" style="596" bestFit="1" customWidth="1"/>
    <col min="3847" max="3847" width="20.5703125" style="596" bestFit="1" customWidth="1"/>
    <col min="3848" max="4096" width="9.140625" style="596"/>
    <col min="4097" max="4099" width="9.28515625" style="596" bestFit="1" customWidth="1"/>
    <col min="4100" max="4100" width="11" style="596" bestFit="1" customWidth="1"/>
    <col min="4101" max="4101" width="35.7109375" style="596" bestFit="1" customWidth="1"/>
    <col min="4102" max="4102" width="23.85546875" style="596" bestFit="1" customWidth="1"/>
    <col min="4103" max="4103" width="20.5703125" style="596" bestFit="1" customWidth="1"/>
    <col min="4104" max="4352" width="9.140625" style="596"/>
    <col min="4353" max="4355" width="9.28515625" style="596" bestFit="1" customWidth="1"/>
    <col min="4356" max="4356" width="11" style="596" bestFit="1" customWidth="1"/>
    <col min="4357" max="4357" width="35.7109375" style="596" bestFit="1" customWidth="1"/>
    <col min="4358" max="4358" width="23.85546875" style="596" bestFit="1" customWidth="1"/>
    <col min="4359" max="4359" width="20.5703125" style="596" bestFit="1" customWidth="1"/>
    <col min="4360" max="4608" width="9.140625" style="596"/>
    <col min="4609" max="4611" width="9.28515625" style="596" bestFit="1" customWidth="1"/>
    <col min="4612" max="4612" width="11" style="596" bestFit="1" customWidth="1"/>
    <col min="4613" max="4613" width="35.7109375" style="596" bestFit="1" customWidth="1"/>
    <col min="4614" max="4614" width="23.85546875" style="596" bestFit="1" customWidth="1"/>
    <col min="4615" max="4615" width="20.5703125" style="596" bestFit="1" customWidth="1"/>
    <col min="4616" max="4864" width="9.140625" style="596"/>
    <col min="4865" max="4867" width="9.28515625" style="596" bestFit="1" customWidth="1"/>
    <col min="4868" max="4868" width="11" style="596" bestFit="1" customWidth="1"/>
    <col min="4869" max="4869" width="35.7109375" style="596" bestFit="1" customWidth="1"/>
    <col min="4870" max="4870" width="23.85546875" style="596" bestFit="1" customWidth="1"/>
    <col min="4871" max="4871" width="20.5703125" style="596" bestFit="1" customWidth="1"/>
    <col min="4872" max="5120" width="9.140625" style="596"/>
    <col min="5121" max="5123" width="9.28515625" style="596" bestFit="1" customWidth="1"/>
    <col min="5124" max="5124" width="11" style="596" bestFit="1" customWidth="1"/>
    <col min="5125" max="5125" width="35.7109375" style="596" bestFit="1" customWidth="1"/>
    <col min="5126" max="5126" width="23.85546875" style="596" bestFit="1" customWidth="1"/>
    <col min="5127" max="5127" width="20.5703125" style="596" bestFit="1" customWidth="1"/>
    <col min="5128" max="5376" width="9.140625" style="596"/>
    <col min="5377" max="5379" width="9.28515625" style="596" bestFit="1" customWidth="1"/>
    <col min="5380" max="5380" width="11" style="596" bestFit="1" customWidth="1"/>
    <col min="5381" max="5381" width="35.7109375" style="596" bestFit="1" customWidth="1"/>
    <col min="5382" max="5382" width="23.85546875" style="596" bestFit="1" customWidth="1"/>
    <col min="5383" max="5383" width="20.5703125" style="596" bestFit="1" customWidth="1"/>
    <col min="5384" max="5632" width="9.140625" style="596"/>
    <col min="5633" max="5635" width="9.28515625" style="596" bestFit="1" customWidth="1"/>
    <col min="5636" max="5636" width="11" style="596" bestFit="1" customWidth="1"/>
    <col min="5637" max="5637" width="35.7109375" style="596" bestFit="1" customWidth="1"/>
    <col min="5638" max="5638" width="23.85546875" style="596" bestFit="1" customWidth="1"/>
    <col min="5639" max="5639" width="20.5703125" style="596" bestFit="1" customWidth="1"/>
    <col min="5640" max="5888" width="9.140625" style="596"/>
    <col min="5889" max="5891" width="9.28515625" style="596" bestFit="1" customWidth="1"/>
    <col min="5892" max="5892" width="11" style="596" bestFit="1" customWidth="1"/>
    <col min="5893" max="5893" width="35.7109375" style="596" bestFit="1" customWidth="1"/>
    <col min="5894" max="5894" width="23.85546875" style="596" bestFit="1" customWidth="1"/>
    <col min="5895" max="5895" width="20.5703125" style="596" bestFit="1" customWidth="1"/>
    <col min="5896" max="6144" width="9.140625" style="596"/>
    <col min="6145" max="6147" width="9.28515625" style="596" bestFit="1" customWidth="1"/>
    <col min="6148" max="6148" width="11" style="596" bestFit="1" customWidth="1"/>
    <col min="6149" max="6149" width="35.7109375" style="596" bestFit="1" customWidth="1"/>
    <col min="6150" max="6150" width="23.85546875" style="596" bestFit="1" customWidth="1"/>
    <col min="6151" max="6151" width="20.5703125" style="596" bestFit="1" customWidth="1"/>
    <col min="6152" max="6400" width="9.140625" style="596"/>
    <col min="6401" max="6403" width="9.28515625" style="596" bestFit="1" customWidth="1"/>
    <col min="6404" max="6404" width="11" style="596" bestFit="1" customWidth="1"/>
    <col min="6405" max="6405" width="35.7109375" style="596" bestFit="1" customWidth="1"/>
    <col min="6406" max="6406" width="23.85546875" style="596" bestFit="1" customWidth="1"/>
    <col min="6407" max="6407" width="20.5703125" style="596" bestFit="1" customWidth="1"/>
    <col min="6408" max="6656" width="9.140625" style="596"/>
    <col min="6657" max="6659" width="9.28515625" style="596" bestFit="1" customWidth="1"/>
    <col min="6660" max="6660" width="11" style="596" bestFit="1" customWidth="1"/>
    <col min="6661" max="6661" width="35.7109375" style="596" bestFit="1" customWidth="1"/>
    <col min="6662" max="6662" width="23.85546875" style="596" bestFit="1" customWidth="1"/>
    <col min="6663" max="6663" width="20.5703125" style="596" bestFit="1" customWidth="1"/>
    <col min="6664" max="6912" width="9.140625" style="596"/>
    <col min="6913" max="6915" width="9.28515625" style="596" bestFit="1" customWidth="1"/>
    <col min="6916" max="6916" width="11" style="596" bestFit="1" customWidth="1"/>
    <col min="6917" max="6917" width="35.7109375" style="596" bestFit="1" customWidth="1"/>
    <col min="6918" max="6918" width="23.85546875" style="596" bestFit="1" customWidth="1"/>
    <col min="6919" max="6919" width="20.5703125" style="596" bestFit="1" customWidth="1"/>
    <col min="6920" max="7168" width="9.140625" style="596"/>
    <col min="7169" max="7171" width="9.28515625" style="596" bestFit="1" customWidth="1"/>
    <col min="7172" max="7172" width="11" style="596" bestFit="1" customWidth="1"/>
    <col min="7173" max="7173" width="35.7109375" style="596" bestFit="1" customWidth="1"/>
    <col min="7174" max="7174" width="23.85546875" style="596" bestFit="1" customWidth="1"/>
    <col min="7175" max="7175" width="20.5703125" style="596" bestFit="1" customWidth="1"/>
    <col min="7176" max="7424" width="9.140625" style="596"/>
    <col min="7425" max="7427" width="9.28515625" style="596" bestFit="1" customWidth="1"/>
    <col min="7428" max="7428" width="11" style="596" bestFit="1" customWidth="1"/>
    <col min="7429" max="7429" width="35.7109375" style="596" bestFit="1" customWidth="1"/>
    <col min="7430" max="7430" width="23.85546875" style="596" bestFit="1" customWidth="1"/>
    <col min="7431" max="7431" width="20.5703125" style="596" bestFit="1" customWidth="1"/>
    <col min="7432" max="7680" width="9.140625" style="596"/>
    <col min="7681" max="7683" width="9.28515625" style="596" bestFit="1" customWidth="1"/>
    <col min="7684" max="7684" width="11" style="596" bestFit="1" customWidth="1"/>
    <col min="7685" max="7685" width="35.7109375" style="596" bestFit="1" customWidth="1"/>
    <col min="7686" max="7686" width="23.85546875" style="596" bestFit="1" customWidth="1"/>
    <col min="7687" max="7687" width="20.5703125" style="596" bestFit="1" customWidth="1"/>
    <col min="7688" max="7936" width="9.140625" style="596"/>
    <col min="7937" max="7939" width="9.28515625" style="596" bestFit="1" customWidth="1"/>
    <col min="7940" max="7940" width="11" style="596" bestFit="1" customWidth="1"/>
    <col min="7941" max="7941" width="35.7109375" style="596" bestFit="1" customWidth="1"/>
    <col min="7942" max="7942" width="23.85546875" style="596" bestFit="1" customWidth="1"/>
    <col min="7943" max="7943" width="20.5703125" style="596" bestFit="1" customWidth="1"/>
    <col min="7944" max="8192" width="9.140625" style="596"/>
    <col min="8193" max="8195" width="9.28515625" style="596" bestFit="1" customWidth="1"/>
    <col min="8196" max="8196" width="11" style="596" bestFit="1" customWidth="1"/>
    <col min="8197" max="8197" width="35.7109375" style="596" bestFit="1" customWidth="1"/>
    <col min="8198" max="8198" width="23.85546875" style="596" bestFit="1" customWidth="1"/>
    <col min="8199" max="8199" width="20.5703125" style="596" bestFit="1" customWidth="1"/>
    <col min="8200" max="8448" width="9.140625" style="596"/>
    <col min="8449" max="8451" width="9.28515625" style="596" bestFit="1" customWidth="1"/>
    <col min="8452" max="8452" width="11" style="596" bestFit="1" customWidth="1"/>
    <col min="8453" max="8453" width="35.7109375" style="596" bestFit="1" customWidth="1"/>
    <col min="8454" max="8454" width="23.85546875" style="596" bestFit="1" customWidth="1"/>
    <col min="8455" max="8455" width="20.5703125" style="596" bestFit="1" customWidth="1"/>
    <col min="8456" max="8704" width="9.140625" style="596"/>
    <col min="8705" max="8707" width="9.28515625" style="596" bestFit="1" customWidth="1"/>
    <col min="8708" max="8708" width="11" style="596" bestFit="1" customWidth="1"/>
    <col min="8709" max="8709" width="35.7109375" style="596" bestFit="1" customWidth="1"/>
    <col min="8710" max="8710" width="23.85546875" style="596" bestFit="1" customWidth="1"/>
    <col min="8711" max="8711" width="20.5703125" style="596" bestFit="1" customWidth="1"/>
    <col min="8712" max="8960" width="9.140625" style="596"/>
    <col min="8961" max="8963" width="9.28515625" style="596" bestFit="1" customWidth="1"/>
    <col min="8964" max="8964" width="11" style="596" bestFit="1" customWidth="1"/>
    <col min="8965" max="8965" width="35.7109375" style="596" bestFit="1" customWidth="1"/>
    <col min="8966" max="8966" width="23.85546875" style="596" bestFit="1" customWidth="1"/>
    <col min="8967" max="8967" width="20.5703125" style="596" bestFit="1" customWidth="1"/>
    <col min="8968" max="9216" width="9.140625" style="596"/>
    <col min="9217" max="9219" width="9.28515625" style="596" bestFit="1" customWidth="1"/>
    <col min="9220" max="9220" width="11" style="596" bestFit="1" customWidth="1"/>
    <col min="9221" max="9221" width="35.7109375" style="596" bestFit="1" customWidth="1"/>
    <col min="9222" max="9222" width="23.85546875" style="596" bestFit="1" customWidth="1"/>
    <col min="9223" max="9223" width="20.5703125" style="596" bestFit="1" customWidth="1"/>
    <col min="9224" max="9472" width="9.140625" style="596"/>
    <col min="9473" max="9475" width="9.28515625" style="596" bestFit="1" customWidth="1"/>
    <col min="9476" max="9476" width="11" style="596" bestFit="1" customWidth="1"/>
    <col min="9477" max="9477" width="35.7109375" style="596" bestFit="1" customWidth="1"/>
    <col min="9478" max="9478" width="23.85546875" style="596" bestFit="1" customWidth="1"/>
    <col min="9479" max="9479" width="20.5703125" style="596" bestFit="1" customWidth="1"/>
    <col min="9480" max="9728" width="9.140625" style="596"/>
    <col min="9729" max="9731" width="9.28515625" style="596" bestFit="1" customWidth="1"/>
    <col min="9732" max="9732" width="11" style="596" bestFit="1" customWidth="1"/>
    <col min="9733" max="9733" width="35.7109375" style="596" bestFit="1" customWidth="1"/>
    <col min="9734" max="9734" width="23.85546875" style="596" bestFit="1" customWidth="1"/>
    <col min="9735" max="9735" width="20.5703125" style="596" bestFit="1" customWidth="1"/>
    <col min="9736" max="9984" width="9.140625" style="596"/>
    <col min="9985" max="9987" width="9.28515625" style="596" bestFit="1" customWidth="1"/>
    <col min="9988" max="9988" width="11" style="596" bestFit="1" customWidth="1"/>
    <col min="9989" max="9989" width="35.7109375" style="596" bestFit="1" customWidth="1"/>
    <col min="9990" max="9990" width="23.85546875" style="596" bestFit="1" customWidth="1"/>
    <col min="9991" max="9991" width="20.5703125" style="596" bestFit="1" customWidth="1"/>
    <col min="9992" max="10240" width="9.140625" style="596"/>
    <col min="10241" max="10243" width="9.28515625" style="596" bestFit="1" customWidth="1"/>
    <col min="10244" max="10244" width="11" style="596" bestFit="1" customWidth="1"/>
    <col min="10245" max="10245" width="35.7109375" style="596" bestFit="1" customWidth="1"/>
    <col min="10246" max="10246" width="23.85546875" style="596" bestFit="1" customWidth="1"/>
    <col min="10247" max="10247" width="20.5703125" style="596" bestFit="1" customWidth="1"/>
    <col min="10248" max="10496" width="9.140625" style="596"/>
    <col min="10497" max="10499" width="9.28515625" style="596" bestFit="1" customWidth="1"/>
    <col min="10500" max="10500" width="11" style="596" bestFit="1" customWidth="1"/>
    <col min="10501" max="10501" width="35.7109375" style="596" bestFit="1" customWidth="1"/>
    <col min="10502" max="10502" width="23.85546875" style="596" bestFit="1" customWidth="1"/>
    <col min="10503" max="10503" width="20.5703125" style="596" bestFit="1" customWidth="1"/>
    <col min="10504" max="10752" width="9.140625" style="596"/>
    <col min="10753" max="10755" width="9.28515625" style="596" bestFit="1" customWidth="1"/>
    <col min="10756" max="10756" width="11" style="596" bestFit="1" customWidth="1"/>
    <col min="10757" max="10757" width="35.7109375" style="596" bestFit="1" customWidth="1"/>
    <col min="10758" max="10758" width="23.85546875" style="596" bestFit="1" customWidth="1"/>
    <col min="10759" max="10759" width="20.5703125" style="596" bestFit="1" customWidth="1"/>
    <col min="10760" max="11008" width="9.140625" style="596"/>
    <col min="11009" max="11011" width="9.28515625" style="596" bestFit="1" customWidth="1"/>
    <col min="11012" max="11012" width="11" style="596" bestFit="1" customWidth="1"/>
    <col min="11013" max="11013" width="35.7109375" style="596" bestFit="1" customWidth="1"/>
    <col min="11014" max="11014" width="23.85546875" style="596" bestFit="1" customWidth="1"/>
    <col min="11015" max="11015" width="20.5703125" style="596" bestFit="1" customWidth="1"/>
    <col min="11016" max="11264" width="9.140625" style="596"/>
    <col min="11265" max="11267" width="9.28515625" style="596" bestFit="1" customWidth="1"/>
    <col min="11268" max="11268" width="11" style="596" bestFit="1" customWidth="1"/>
    <col min="11269" max="11269" width="35.7109375" style="596" bestFit="1" customWidth="1"/>
    <col min="11270" max="11270" width="23.85546875" style="596" bestFit="1" customWidth="1"/>
    <col min="11271" max="11271" width="20.5703125" style="596" bestFit="1" customWidth="1"/>
    <col min="11272" max="11520" width="9.140625" style="596"/>
    <col min="11521" max="11523" width="9.28515625" style="596" bestFit="1" customWidth="1"/>
    <col min="11524" max="11524" width="11" style="596" bestFit="1" customWidth="1"/>
    <col min="11525" max="11525" width="35.7109375" style="596" bestFit="1" customWidth="1"/>
    <col min="11526" max="11526" width="23.85546875" style="596" bestFit="1" customWidth="1"/>
    <col min="11527" max="11527" width="20.5703125" style="596" bestFit="1" customWidth="1"/>
    <col min="11528" max="11776" width="9.140625" style="596"/>
    <col min="11777" max="11779" width="9.28515625" style="596" bestFit="1" customWidth="1"/>
    <col min="11780" max="11780" width="11" style="596" bestFit="1" customWidth="1"/>
    <col min="11781" max="11781" width="35.7109375" style="596" bestFit="1" customWidth="1"/>
    <col min="11782" max="11782" width="23.85546875" style="596" bestFit="1" customWidth="1"/>
    <col min="11783" max="11783" width="20.5703125" style="596" bestFit="1" customWidth="1"/>
    <col min="11784" max="12032" width="9.140625" style="596"/>
    <col min="12033" max="12035" width="9.28515625" style="596" bestFit="1" customWidth="1"/>
    <col min="12036" max="12036" width="11" style="596" bestFit="1" customWidth="1"/>
    <col min="12037" max="12037" width="35.7109375" style="596" bestFit="1" customWidth="1"/>
    <col min="12038" max="12038" width="23.85546875" style="596" bestFit="1" customWidth="1"/>
    <col min="12039" max="12039" width="20.5703125" style="596" bestFit="1" customWidth="1"/>
    <col min="12040" max="12288" width="9.140625" style="596"/>
    <col min="12289" max="12291" width="9.28515625" style="596" bestFit="1" customWidth="1"/>
    <col min="12292" max="12292" width="11" style="596" bestFit="1" customWidth="1"/>
    <col min="12293" max="12293" width="35.7109375" style="596" bestFit="1" customWidth="1"/>
    <col min="12294" max="12294" width="23.85546875" style="596" bestFit="1" customWidth="1"/>
    <col min="12295" max="12295" width="20.5703125" style="596" bestFit="1" customWidth="1"/>
    <col min="12296" max="12544" width="9.140625" style="596"/>
    <col min="12545" max="12547" width="9.28515625" style="596" bestFit="1" customWidth="1"/>
    <col min="12548" max="12548" width="11" style="596" bestFit="1" customWidth="1"/>
    <col min="12549" max="12549" width="35.7109375" style="596" bestFit="1" customWidth="1"/>
    <col min="12550" max="12550" width="23.85546875" style="596" bestFit="1" customWidth="1"/>
    <col min="12551" max="12551" width="20.5703125" style="596" bestFit="1" customWidth="1"/>
    <col min="12552" max="12800" width="9.140625" style="596"/>
    <col min="12801" max="12803" width="9.28515625" style="596" bestFit="1" customWidth="1"/>
    <col min="12804" max="12804" width="11" style="596" bestFit="1" customWidth="1"/>
    <col min="12805" max="12805" width="35.7109375" style="596" bestFit="1" customWidth="1"/>
    <col min="12806" max="12806" width="23.85546875" style="596" bestFit="1" customWidth="1"/>
    <col min="12807" max="12807" width="20.5703125" style="596" bestFit="1" customWidth="1"/>
    <col min="12808" max="13056" width="9.140625" style="596"/>
    <col min="13057" max="13059" width="9.28515625" style="596" bestFit="1" customWidth="1"/>
    <col min="13060" max="13060" width="11" style="596" bestFit="1" customWidth="1"/>
    <col min="13061" max="13061" width="35.7109375" style="596" bestFit="1" customWidth="1"/>
    <col min="13062" max="13062" width="23.85546875" style="596" bestFit="1" customWidth="1"/>
    <col min="13063" max="13063" width="20.5703125" style="596" bestFit="1" customWidth="1"/>
    <col min="13064" max="13312" width="9.140625" style="596"/>
    <col min="13313" max="13315" width="9.28515625" style="596" bestFit="1" customWidth="1"/>
    <col min="13316" max="13316" width="11" style="596" bestFit="1" customWidth="1"/>
    <col min="13317" max="13317" width="35.7109375" style="596" bestFit="1" customWidth="1"/>
    <col min="13318" max="13318" width="23.85546875" style="596" bestFit="1" customWidth="1"/>
    <col min="13319" max="13319" width="20.5703125" style="596" bestFit="1" customWidth="1"/>
    <col min="13320" max="13568" width="9.140625" style="596"/>
    <col min="13569" max="13571" width="9.28515625" style="596" bestFit="1" customWidth="1"/>
    <col min="13572" max="13572" width="11" style="596" bestFit="1" customWidth="1"/>
    <col min="13573" max="13573" width="35.7109375" style="596" bestFit="1" customWidth="1"/>
    <col min="13574" max="13574" width="23.85546875" style="596" bestFit="1" customWidth="1"/>
    <col min="13575" max="13575" width="20.5703125" style="596" bestFit="1" customWidth="1"/>
    <col min="13576" max="13824" width="9.140625" style="596"/>
    <col min="13825" max="13827" width="9.28515625" style="596" bestFit="1" customWidth="1"/>
    <col min="13828" max="13828" width="11" style="596" bestFit="1" customWidth="1"/>
    <col min="13829" max="13829" width="35.7109375" style="596" bestFit="1" customWidth="1"/>
    <col min="13830" max="13830" width="23.85546875" style="596" bestFit="1" customWidth="1"/>
    <col min="13831" max="13831" width="20.5703125" style="596" bestFit="1" customWidth="1"/>
    <col min="13832" max="14080" width="9.140625" style="596"/>
    <col min="14081" max="14083" width="9.28515625" style="596" bestFit="1" customWidth="1"/>
    <col min="14084" max="14084" width="11" style="596" bestFit="1" customWidth="1"/>
    <col min="14085" max="14085" width="35.7109375" style="596" bestFit="1" customWidth="1"/>
    <col min="14086" max="14086" width="23.85546875" style="596" bestFit="1" customWidth="1"/>
    <col min="14087" max="14087" width="20.5703125" style="596" bestFit="1" customWidth="1"/>
    <col min="14088" max="14336" width="9.140625" style="596"/>
    <col min="14337" max="14339" width="9.28515625" style="596" bestFit="1" customWidth="1"/>
    <col min="14340" max="14340" width="11" style="596" bestFit="1" customWidth="1"/>
    <col min="14341" max="14341" width="35.7109375" style="596" bestFit="1" customWidth="1"/>
    <col min="14342" max="14342" width="23.85546875" style="596" bestFit="1" customWidth="1"/>
    <col min="14343" max="14343" width="20.5703125" style="596" bestFit="1" customWidth="1"/>
    <col min="14344" max="14592" width="9.140625" style="596"/>
    <col min="14593" max="14595" width="9.28515625" style="596" bestFit="1" customWidth="1"/>
    <col min="14596" max="14596" width="11" style="596" bestFit="1" customWidth="1"/>
    <col min="14597" max="14597" width="35.7109375" style="596" bestFit="1" customWidth="1"/>
    <col min="14598" max="14598" width="23.85546875" style="596" bestFit="1" customWidth="1"/>
    <col min="14599" max="14599" width="20.5703125" style="596" bestFit="1" customWidth="1"/>
    <col min="14600" max="14848" width="9.140625" style="596"/>
    <col min="14849" max="14851" width="9.28515625" style="596" bestFit="1" customWidth="1"/>
    <col min="14852" max="14852" width="11" style="596" bestFit="1" customWidth="1"/>
    <col min="14853" max="14853" width="35.7109375" style="596" bestFit="1" customWidth="1"/>
    <col min="14854" max="14854" width="23.85546875" style="596" bestFit="1" customWidth="1"/>
    <col min="14855" max="14855" width="20.5703125" style="596" bestFit="1" customWidth="1"/>
    <col min="14856" max="15104" width="9.140625" style="596"/>
    <col min="15105" max="15107" width="9.28515625" style="596" bestFit="1" customWidth="1"/>
    <col min="15108" max="15108" width="11" style="596" bestFit="1" customWidth="1"/>
    <col min="15109" max="15109" width="35.7109375" style="596" bestFit="1" customWidth="1"/>
    <col min="15110" max="15110" width="23.85546875" style="596" bestFit="1" customWidth="1"/>
    <col min="15111" max="15111" width="20.5703125" style="596" bestFit="1" customWidth="1"/>
    <col min="15112" max="15360" width="9.140625" style="596"/>
    <col min="15361" max="15363" width="9.28515625" style="596" bestFit="1" customWidth="1"/>
    <col min="15364" max="15364" width="11" style="596" bestFit="1" customWidth="1"/>
    <col min="15365" max="15365" width="35.7109375" style="596" bestFit="1" customWidth="1"/>
    <col min="15366" max="15366" width="23.85546875" style="596" bestFit="1" customWidth="1"/>
    <col min="15367" max="15367" width="20.5703125" style="596" bestFit="1" customWidth="1"/>
    <col min="15368" max="15616" width="9.140625" style="596"/>
    <col min="15617" max="15619" width="9.28515625" style="596" bestFit="1" customWidth="1"/>
    <col min="15620" max="15620" width="11" style="596" bestFit="1" customWidth="1"/>
    <col min="15621" max="15621" width="35.7109375" style="596" bestFit="1" customWidth="1"/>
    <col min="15622" max="15622" width="23.85546875" style="596" bestFit="1" customWidth="1"/>
    <col min="15623" max="15623" width="20.5703125" style="596" bestFit="1" customWidth="1"/>
    <col min="15624" max="15872" width="9.140625" style="596"/>
    <col min="15873" max="15875" width="9.28515625" style="596" bestFit="1" customWidth="1"/>
    <col min="15876" max="15876" width="11" style="596" bestFit="1" customWidth="1"/>
    <col min="15877" max="15877" width="35.7109375" style="596" bestFit="1" customWidth="1"/>
    <col min="15878" max="15878" width="23.85546875" style="596" bestFit="1" customWidth="1"/>
    <col min="15879" max="15879" width="20.5703125" style="596" bestFit="1" customWidth="1"/>
    <col min="15880" max="16128" width="9.140625" style="596"/>
    <col min="16129" max="16131" width="9.28515625" style="596" bestFit="1" customWidth="1"/>
    <col min="16132" max="16132" width="11" style="596" bestFit="1" customWidth="1"/>
    <col min="16133" max="16133" width="35.7109375" style="596" bestFit="1" customWidth="1"/>
    <col min="16134" max="16134" width="23.85546875" style="596" bestFit="1" customWidth="1"/>
    <col min="16135" max="16135" width="20.5703125" style="596" bestFit="1" customWidth="1"/>
    <col min="16136" max="16384" width="9.140625" style="596"/>
  </cols>
  <sheetData>
    <row r="1" spans="1:10" s="814" customFormat="1" ht="26.25" customHeight="1" thickBot="1">
      <c r="A1" s="843" t="s">
        <v>852</v>
      </c>
      <c r="B1" s="843" t="s">
        <v>853</v>
      </c>
      <c r="C1" s="843" t="s">
        <v>854</v>
      </c>
      <c r="D1" s="844" t="s">
        <v>855</v>
      </c>
      <c r="E1" s="843" t="s">
        <v>856</v>
      </c>
      <c r="F1" s="845" t="s">
        <v>857</v>
      </c>
      <c r="G1" s="845" t="s">
        <v>858</v>
      </c>
      <c r="H1" s="843" t="s">
        <v>859</v>
      </c>
    </row>
    <row r="2" spans="1:10" s="603" customFormat="1" ht="21" customHeight="1" thickTop="1">
      <c r="A2" s="1770">
        <v>2567</v>
      </c>
      <c r="B2" s="1870">
        <v>9</v>
      </c>
      <c r="C2" s="1870">
        <v>1</v>
      </c>
      <c r="D2" s="1762">
        <v>1500400004.0999999</v>
      </c>
      <c r="E2" s="1763" t="s">
        <v>824</v>
      </c>
      <c r="F2" s="873">
        <v>402867</v>
      </c>
      <c r="G2" s="873">
        <v>402867</v>
      </c>
      <c r="H2" s="873">
        <v>100</v>
      </c>
      <c r="I2" s="639"/>
    </row>
    <row r="3" spans="1:10" ht="21" customHeight="1">
      <c r="A3" s="1771">
        <v>2567</v>
      </c>
      <c r="B3" s="1764">
        <v>9</v>
      </c>
      <c r="C3" s="1764">
        <v>1</v>
      </c>
      <c r="D3" s="1765">
        <v>1500400125</v>
      </c>
      <c r="E3" s="1766" t="s">
        <v>5377</v>
      </c>
      <c r="F3" s="874">
        <v>468745</v>
      </c>
      <c r="G3" s="874">
        <v>468745</v>
      </c>
      <c r="H3" s="874">
        <v>100</v>
      </c>
      <c r="I3" s="640"/>
    </row>
    <row r="4" spans="1:10" ht="21" customHeight="1">
      <c r="A4" s="1771">
        <v>2567</v>
      </c>
      <c r="B4" s="1764">
        <v>9</v>
      </c>
      <c r="C4" s="1764">
        <v>1</v>
      </c>
      <c r="D4" s="1765">
        <v>1500400006</v>
      </c>
      <c r="E4" s="1767" t="s">
        <v>811</v>
      </c>
      <c r="F4" s="874">
        <v>372418.1</v>
      </c>
      <c r="G4" s="874">
        <v>372418.1</v>
      </c>
      <c r="H4" s="874">
        <v>100</v>
      </c>
      <c r="I4" s="640"/>
    </row>
    <row r="5" spans="1:10" ht="21" customHeight="1">
      <c r="A5" s="1771">
        <v>2567</v>
      </c>
      <c r="B5" s="1764">
        <v>9</v>
      </c>
      <c r="C5" s="1764">
        <v>1</v>
      </c>
      <c r="D5" s="1765">
        <v>1500400004</v>
      </c>
      <c r="E5" s="1767" t="s">
        <v>829</v>
      </c>
      <c r="F5" s="874">
        <v>547563060.11000001</v>
      </c>
      <c r="G5" s="874">
        <v>531821648.46999997</v>
      </c>
      <c r="H5" s="874">
        <v>97.125187437436395</v>
      </c>
      <c r="I5" s="640"/>
    </row>
    <row r="6" spans="1:10" ht="21" customHeight="1">
      <c r="A6" s="1771">
        <v>2567</v>
      </c>
      <c r="B6" s="1764">
        <v>9</v>
      </c>
      <c r="C6" s="1764">
        <v>1</v>
      </c>
      <c r="D6" s="1765">
        <v>1500400003</v>
      </c>
      <c r="E6" s="1768" t="s">
        <v>826</v>
      </c>
      <c r="F6" s="874">
        <v>12228337.949999999</v>
      </c>
      <c r="G6" s="874">
        <v>11728773.42</v>
      </c>
      <c r="H6" s="874">
        <v>95.91469803956474</v>
      </c>
      <c r="I6" s="640"/>
    </row>
    <row r="7" spans="1:10" s="813" customFormat="1" ht="21" customHeight="1">
      <c r="A7" s="1771">
        <v>2567</v>
      </c>
      <c r="B7" s="1764">
        <v>9</v>
      </c>
      <c r="C7" s="1764">
        <v>1</v>
      </c>
      <c r="D7" s="1769">
        <v>1500400009</v>
      </c>
      <c r="E7" s="1768" t="s">
        <v>868</v>
      </c>
      <c r="F7" s="874">
        <v>1699690.4</v>
      </c>
      <c r="G7" s="874">
        <v>1618335.92</v>
      </c>
      <c r="H7" s="874">
        <v>95.213570659691911</v>
      </c>
      <c r="I7" s="812"/>
    </row>
    <row r="8" spans="1:10" s="813" customFormat="1" ht="21" customHeight="1">
      <c r="A8" s="1771">
        <v>2567</v>
      </c>
      <c r="B8" s="1764">
        <v>9</v>
      </c>
      <c r="C8" s="1764">
        <v>1</v>
      </c>
      <c r="D8" s="1769">
        <v>1500400001</v>
      </c>
      <c r="E8" s="1767" t="s">
        <v>831</v>
      </c>
      <c r="F8" s="1439">
        <v>10002406.23</v>
      </c>
      <c r="G8" s="1439">
        <v>9333031.9299999997</v>
      </c>
      <c r="H8" s="874">
        <v>93.30786728105123</v>
      </c>
      <c r="I8" s="812"/>
    </row>
    <row r="9" spans="1:10" ht="21" customHeight="1">
      <c r="A9" s="1771">
        <v>2567</v>
      </c>
      <c r="B9" s="1764">
        <v>9</v>
      </c>
      <c r="C9" s="1764">
        <v>1</v>
      </c>
      <c r="D9" s="1769">
        <v>1500400007</v>
      </c>
      <c r="E9" s="1767" t="s">
        <v>833</v>
      </c>
      <c r="F9" s="874">
        <v>11081518.85</v>
      </c>
      <c r="G9" s="874">
        <v>10112820.100000001</v>
      </c>
      <c r="H9" s="874">
        <v>91.258429795478818</v>
      </c>
      <c r="I9" s="640"/>
    </row>
    <row r="10" spans="1:10" ht="21" customHeight="1">
      <c r="A10" s="1771">
        <v>2567</v>
      </c>
      <c r="B10" s="1764">
        <v>9</v>
      </c>
      <c r="C10" s="1764">
        <v>1</v>
      </c>
      <c r="D10" s="1765">
        <v>1500400002</v>
      </c>
      <c r="E10" s="1767" t="s">
        <v>750</v>
      </c>
      <c r="F10" s="874">
        <v>5419555</v>
      </c>
      <c r="G10" s="874">
        <v>4854619.24</v>
      </c>
      <c r="H10" s="874">
        <v>89.575975149251178</v>
      </c>
      <c r="I10" s="640"/>
    </row>
    <row r="11" spans="1:10" ht="21" customHeight="1">
      <c r="A11" s="1771">
        <v>2567</v>
      </c>
      <c r="B11" s="1764">
        <v>9</v>
      </c>
      <c r="C11" s="1764">
        <v>1</v>
      </c>
      <c r="D11" s="1765">
        <v>1500400010</v>
      </c>
      <c r="E11" s="1767" t="s">
        <v>813</v>
      </c>
      <c r="F11" s="874">
        <v>6088297.5800000001</v>
      </c>
      <c r="G11" s="874">
        <v>5445427.5800000001</v>
      </c>
      <c r="H11" s="874">
        <v>89.440890633995579</v>
      </c>
      <c r="I11" s="640"/>
    </row>
    <row r="12" spans="1:10" ht="21" customHeight="1">
      <c r="A12" s="1771">
        <v>2567</v>
      </c>
      <c r="B12" s="1764">
        <v>9</v>
      </c>
      <c r="C12" s="1764">
        <v>1</v>
      </c>
      <c r="D12" s="1765">
        <v>1500400008</v>
      </c>
      <c r="E12" s="1767" t="s">
        <v>815</v>
      </c>
      <c r="F12" s="874">
        <v>4905492.76</v>
      </c>
      <c r="G12" s="874">
        <v>4239918.26</v>
      </c>
      <c r="H12" s="874">
        <v>86.432056216101728</v>
      </c>
      <c r="I12" s="640"/>
    </row>
    <row r="13" spans="1:10" ht="21" customHeight="1">
      <c r="A13" s="1771">
        <v>2567</v>
      </c>
      <c r="B13" s="1764">
        <v>9</v>
      </c>
      <c r="C13" s="1764">
        <v>1</v>
      </c>
      <c r="D13" s="1765">
        <v>1500400112</v>
      </c>
      <c r="E13" s="1767" t="s">
        <v>835</v>
      </c>
      <c r="F13" s="874">
        <v>7491972.6999999993</v>
      </c>
      <c r="G13" s="874">
        <v>6030570.0999999996</v>
      </c>
      <c r="H13" s="874">
        <v>80.493754335223358</v>
      </c>
      <c r="I13" s="640"/>
    </row>
    <row r="14" spans="1:10" s="813" customFormat="1" ht="21" customHeight="1">
      <c r="A14" s="1771">
        <v>2567</v>
      </c>
      <c r="B14" s="1764">
        <v>9</v>
      </c>
      <c r="C14" s="1764">
        <v>1</v>
      </c>
      <c r="D14" s="1769">
        <v>1500400111</v>
      </c>
      <c r="E14" s="1766" t="s">
        <v>822</v>
      </c>
      <c r="F14" s="874">
        <v>37946780</v>
      </c>
      <c r="G14" s="874">
        <v>16601044</v>
      </c>
      <c r="H14" s="874">
        <v>43.748228439936142</v>
      </c>
      <c r="I14" s="812"/>
      <c r="J14" s="812"/>
    </row>
    <row r="15" spans="1:10" ht="21" customHeight="1">
      <c r="A15" s="1771">
        <v>2567</v>
      </c>
      <c r="B15" s="1764">
        <v>9</v>
      </c>
      <c r="C15" s="1764">
        <v>1</v>
      </c>
      <c r="D15" s="1765">
        <v>1500400011</v>
      </c>
      <c r="E15" s="1767" t="s">
        <v>817</v>
      </c>
      <c r="F15" s="874">
        <v>184566216.17000002</v>
      </c>
      <c r="G15" s="874">
        <v>60166218.599999994</v>
      </c>
      <c r="H15" s="874">
        <v>32.598717061296945</v>
      </c>
      <c r="I15" s="640"/>
      <c r="J15" s="640"/>
    </row>
    <row r="16" spans="1:10">
      <c r="A16" s="1772"/>
      <c r="B16" s="828"/>
      <c r="C16" s="828"/>
      <c r="D16" s="826"/>
      <c r="E16" s="826"/>
      <c r="F16" s="827"/>
      <c r="G16" s="827"/>
      <c r="H16" s="826"/>
      <c r="I16" s="640"/>
      <c r="J16" s="640"/>
    </row>
    <row r="17" spans="1:10">
      <c r="A17" s="1772"/>
      <c r="B17" s="828"/>
      <c r="C17" s="828"/>
      <c r="D17" s="826"/>
      <c r="E17" s="826"/>
      <c r="F17" s="827"/>
      <c r="G17" s="827"/>
      <c r="H17" s="826"/>
      <c r="I17" s="640"/>
      <c r="J17" s="64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L116"/>
  <sheetViews>
    <sheetView showGridLines="0" zoomScaleNormal="100" workbookViewId="0">
      <pane xSplit="1" ySplit="5" topLeftCell="B35" activePane="bottomRight" state="frozen"/>
      <selection activeCell="A25" sqref="A25:A33"/>
      <selection pane="topRight" activeCell="A25" sqref="A25:A33"/>
      <selection pane="bottomLeft" activeCell="A25" sqref="A25:A33"/>
      <selection pane="bottomRight" activeCell="F42" sqref="F42"/>
    </sheetView>
  </sheetViews>
  <sheetFormatPr defaultRowHeight="21.75"/>
  <cols>
    <col min="1" max="1" width="57.7109375" style="19" customWidth="1"/>
    <col min="2" max="2" width="18.5703125" style="19" bestFit="1" customWidth="1"/>
    <col min="3" max="3" width="18" style="18" customWidth="1"/>
    <col min="4" max="5" width="17.7109375" style="33" customWidth="1"/>
    <col min="6" max="6" width="17.7109375" style="18" customWidth="1"/>
    <col min="7" max="7" width="11.42578125" style="33" customWidth="1"/>
    <col min="8" max="8" width="23.5703125" style="18" customWidth="1"/>
    <col min="9" max="9" width="9.140625" style="19"/>
    <col min="10" max="10" width="14.5703125" style="18" bestFit="1" customWidth="1"/>
    <col min="11" max="11" width="14.5703125" style="19" bestFit="1" customWidth="1"/>
    <col min="12" max="12" width="16" style="19" bestFit="1" customWidth="1"/>
    <col min="13" max="16384" width="9.140625" style="19"/>
  </cols>
  <sheetData>
    <row r="1" spans="1:12" s="2" customFormat="1" ht="27" customHeight="1">
      <c r="A1" s="2005" t="e">
        <f>+#REF!</f>
        <v>#REF!</v>
      </c>
      <c r="B1" s="2005"/>
      <c r="C1" s="2005"/>
      <c r="D1" s="2005"/>
      <c r="E1" s="2005"/>
      <c r="F1" s="2005"/>
      <c r="G1" s="2005"/>
      <c r="H1" s="2005"/>
      <c r="J1" s="1"/>
    </row>
    <row r="2" spans="1:12" s="2" customFormat="1" ht="28.5" thickBot="1">
      <c r="A2" s="2006" t="e">
        <f>#REF!</f>
        <v>#REF!</v>
      </c>
      <c r="B2" s="2006"/>
      <c r="C2" s="2006"/>
      <c r="D2" s="2006"/>
      <c r="E2" s="2006"/>
      <c r="F2" s="2006"/>
      <c r="G2" s="2006"/>
      <c r="H2" s="2006"/>
      <c r="J2" s="1"/>
    </row>
    <row r="3" spans="1:12" s="3" customFormat="1" ht="21" customHeight="1">
      <c r="A3" s="2007" t="s">
        <v>3</v>
      </c>
      <c r="B3" s="2009" t="s">
        <v>34</v>
      </c>
      <c r="C3" s="102" t="s">
        <v>17</v>
      </c>
      <c r="D3" s="102" t="s">
        <v>20</v>
      </c>
      <c r="E3" s="2011" t="s">
        <v>35</v>
      </c>
      <c r="F3" s="2001" t="s">
        <v>22</v>
      </c>
      <c r="G3" s="105" t="s">
        <v>11</v>
      </c>
      <c r="H3" s="2003" t="s">
        <v>4</v>
      </c>
      <c r="J3" s="148" t="e">
        <f>+#REF!</f>
        <v>#REF!</v>
      </c>
      <c r="K3" s="146"/>
      <c r="L3" s="147"/>
    </row>
    <row r="4" spans="1:12" s="3" customFormat="1" ht="21" customHeight="1">
      <c r="A4" s="2008"/>
      <c r="B4" s="2010"/>
      <c r="C4" s="103" t="s">
        <v>19</v>
      </c>
      <c r="D4" s="103" t="s">
        <v>36</v>
      </c>
      <c r="E4" s="2012"/>
      <c r="F4" s="2002"/>
      <c r="G4" s="4" t="s">
        <v>12</v>
      </c>
      <c r="H4" s="2004"/>
      <c r="J4" s="138"/>
    </row>
    <row r="5" spans="1:12" s="9" customFormat="1" ht="21" customHeight="1" thickBot="1">
      <c r="A5" s="5" t="s">
        <v>23</v>
      </c>
      <c r="B5" s="6">
        <f>SUM(โอนเปลี่ยนแปลง!B5)</f>
        <v>3848475800</v>
      </c>
      <c r="C5" s="100">
        <f>SUM(โอนเปลี่ยนแปลง!C5)</f>
        <v>0</v>
      </c>
      <c r="D5" s="7">
        <f>+B5+C5</f>
        <v>3848475800</v>
      </c>
      <c r="E5" s="7" t="e">
        <f>#REF!</f>
        <v>#REF!</v>
      </c>
      <c r="F5" s="7" t="e">
        <f>+#REF!</f>
        <v>#REF!</v>
      </c>
      <c r="G5" s="7" t="e">
        <f>F5*100/D5</f>
        <v>#REF!</v>
      </c>
      <c r="H5" s="8" t="e">
        <f>+#REF!</f>
        <v>#REF!</v>
      </c>
      <c r="J5" s="139"/>
    </row>
    <row r="6" spans="1:12" s="9" customFormat="1" ht="21" customHeight="1" thickTop="1">
      <c r="A6" s="106" t="s">
        <v>29</v>
      </c>
      <c r="B6" s="10"/>
      <c r="C6" s="104"/>
      <c r="D6" s="11"/>
      <c r="E6" s="11"/>
      <c r="F6" s="12"/>
      <c r="G6" s="12"/>
      <c r="H6" s="107"/>
      <c r="J6" s="140"/>
    </row>
    <row r="7" spans="1:12" s="9" customFormat="1" ht="21" customHeight="1">
      <c r="A7" s="108" t="s">
        <v>25</v>
      </c>
      <c r="B7" s="13">
        <f>โอนเปลี่ยนแปลง!B6</f>
        <v>1699479700</v>
      </c>
      <c r="C7" s="101">
        <f>โอนเปลี่ยนแปลง!C6</f>
        <v>0</v>
      </c>
      <c r="D7" s="14">
        <f>+B7+C7</f>
        <v>1699479700</v>
      </c>
      <c r="E7" s="14" t="e">
        <f>#REF!</f>
        <v>#REF!</v>
      </c>
      <c r="F7" s="15" t="e">
        <f>+#REF!</f>
        <v>#REF!</v>
      </c>
      <c r="G7" s="15" t="e">
        <f>F7*100/D7</f>
        <v>#REF!</v>
      </c>
      <c r="H7" s="109" t="e">
        <f>+#REF!</f>
        <v>#REF!</v>
      </c>
      <c r="J7" s="140"/>
    </row>
    <row r="8" spans="1:12" ht="21" customHeight="1">
      <c r="A8" s="129" t="s">
        <v>26</v>
      </c>
      <c r="B8" s="134"/>
      <c r="C8" s="135"/>
      <c r="D8" s="136"/>
      <c r="E8" s="136"/>
      <c r="F8" s="132"/>
      <c r="G8" s="97"/>
      <c r="H8" s="137"/>
      <c r="J8" s="33"/>
    </row>
    <row r="9" spans="1:12" ht="21" customHeight="1">
      <c r="A9" s="65" t="s">
        <v>0</v>
      </c>
      <c r="B9" s="127">
        <f>+โอนเปลี่ยนแปลง!B7</f>
        <v>1278572700</v>
      </c>
      <c r="C9" s="120">
        <f>+โอนเปลี่ยนแปลง!C7</f>
        <v>0</v>
      </c>
      <c r="D9" s="120">
        <f>+โอนเปลี่ยนแปลง!D7</f>
        <v>1278572700</v>
      </c>
      <c r="E9" s="120" t="e">
        <f>#REF!</f>
        <v>#REF!</v>
      </c>
      <c r="F9" s="71" t="e">
        <f>+#REF!</f>
        <v>#REF!</v>
      </c>
      <c r="G9" s="71" t="e">
        <f t="shared" ref="G9:G17" si="0">+F9*100/D9</f>
        <v>#REF!</v>
      </c>
      <c r="H9" s="128" t="e">
        <f>+#REF!</f>
        <v>#REF!</v>
      </c>
      <c r="J9" s="33"/>
      <c r="K9" s="33"/>
      <c r="L9" s="141"/>
    </row>
    <row r="10" spans="1:12" ht="21" customHeight="1">
      <c r="A10" s="23" t="s">
        <v>1</v>
      </c>
      <c r="B10" s="24">
        <f>+โอนเปลี่ยนแปลง!B8</f>
        <v>119393000</v>
      </c>
      <c r="C10" s="25">
        <f>+โอนเปลี่ยนแปลง!C8</f>
        <v>0</v>
      </c>
      <c r="D10" s="25">
        <f>+โอนเปลี่ยนแปลง!D8</f>
        <v>119393000</v>
      </c>
      <c r="E10" s="25" t="e">
        <f>#REF!</f>
        <v>#REF!</v>
      </c>
      <c r="F10" s="26" t="e">
        <f>+#REF!</f>
        <v>#REF!</v>
      </c>
      <c r="G10" s="26" t="e">
        <f t="shared" si="0"/>
        <v>#REF!</v>
      </c>
      <c r="H10" s="113" t="e">
        <f>+#REF!</f>
        <v>#REF!</v>
      </c>
      <c r="J10" s="33"/>
      <c r="K10" s="33"/>
    </row>
    <row r="11" spans="1:12" hidden="1">
      <c r="A11" s="27" t="s">
        <v>14</v>
      </c>
      <c r="B11" s="24">
        <f>+โอนเปลี่ยนแปลง!B9</f>
        <v>63299800</v>
      </c>
      <c r="C11" s="25">
        <f>+โอนเปลี่ยนแปลง!C9</f>
        <v>0</v>
      </c>
      <c r="D11" s="25">
        <f>+โอนเปลี่ยนแปลง!D9</f>
        <v>63299800</v>
      </c>
      <c r="E11" s="25"/>
      <c r="F11" s="26" t="e">
        <f>+#REF!</f>
        <v>#REF!</v>
      </c>
      <c r="G11" s="26" t="e">
        <f t="shared" si="0"/>
        <v>#REF!</v>
      </c>
      <c r="H11" s="113" t="e">
        <f>+#REF!</f>
        <v>#REF!</v>
      </c>
      <c r="J11" s="33"/>
      <c r="K11" s="33"/>
    </row>
    <row r="12" spans="1:12" hidden="1">
      <c r="A12" s="27" t="s">
        <v>13</v>
      </c>
      <c r="B12" s="24">
        <f>+โอนเปลี่ยนแปลง!B10</f>
        <v>56093200</v>
      </c>
      <c r="C12" s="25">
        <f>+โอนเปลี่ยนแปลง!C10</f>
        <v>0</v>
      </c>
      <c r="D12" s="25">
        <f>+โอนเปลี่ยนแปลง!D10</f>
        <v>56093200</v>
      </c>
      <c r="E12" s="25"/>
      <c r="F12" s="26" t="e">
        <f>+#REF!</f>
        <v>#REF!</v>
      </c>
      <c r="G12" s="26" t="e">
        <f t="shared" si="0"/>
        <v>#REF!</v>
      </c>
      <c r="H12" s="113" t="e">
        <f>+#REF!</f>
        <v>#REF!</v>
      </c>
      <c r="J12" s="33"/>
      <c r="K12" s="33"/>
    </row>
    <row r="13" spans="1:12" hidden="1">
      <c r="A13" s="27" t="s">
        <v>24</v>
      </c>
      <c r="B13" s="24">
        <f>+โอนเปลี่ยนแปลง!B11</f>
        <v>0</v>
      </c>
      <c r="C13" s="25">
        <f>+โอนเปลี่ยนแปลง!C11</f>
        <v>0</v>
      </c>
      <c r="D13" s="25">
        <f>+โอนเปลี่ยนแปลง!D11</f>
        <v>0</v>
      </c>
      <c r="E13" s="25"/>
      <c r="F13" s="26" t="e">
        <f>+#REF!</f>
        <v>#REF!</v>
      </c>
      <c r="G13" s="26" t="e">
        <f t="shared" si="0"/>
        <v>#REF!</v>
      </c>
      <c r="H13" s="113" t="e">
        <f>+#REF!</f>
        <v>#REF!</v>
      </c>
      <c r="J13" s="33"/>
      <c r="K13" s="33"/>
    </row>
    <row r="14" spans="1:12" ht="21" customHeight="1">
      <c r="A14" s="23" t="s">
        <v>7</v>
      </c>
      <c r="B14" s="24">
        <f>+โอนเปลี่ยนแปลง!B12</f>
        <v>301514000</v>
      </c>
      <c r="C14" s="25">
        <f>+โอนเปลี่ยนแปลง!C12</f>
        <v>0</v>
      </c>
      <c r="D14" s="25">
        <f>+โอนเปลี่ยนแปลง!D12</f>
        <v>301514000</v>
      </c>
      <c r="E14" s="25" t="e">
        <f>#REF!</f>
        <v>#REF!</v>
      </c>
      <c r="F14" s="26" t="e">
        <f>+#REF!</f>
        <v>#REF!</v>
      </c>
      <c r="G14" s="26" t="e">
        <f t="shared" si="0"/>
        <v>#REF!</v>
      </c>
      <c r="H14" s="113" t="e">
        <f>+#REF!</f>
        <v>#REF!</v>
      </c>
      <c r="J14" s="33"/>
      <c r="K14" s="33"/>
    </row>
    <row r="15" spans="1:12" hidden="1">
      <c r="A15" s="27" t="s">
        <v>15</v>
      </c>
      <c r="B15" s="24">
        <f>+โอนเปลี่ยนแปลง!B13</f>
        <v>135937000</v>
      </c>
      <c r="C15" s="25">
        <f>+โอนเปลี่ยนแปลง!C13</f>
        <v>0</v>
      </c>
      <c r="D15" s="25">
        <f>+โอนเปลี่ยนแปลง!D13</f>
        <v>135937000</v>
      </c>
      <c r="E15" s="25"/>
      <c r="F15" s="26" t="e">
        <f>+#REF!</f>
        <v>#REF!</v>
      </c>
      <c r="G15" s="26" t="e">
        <f t="shared" si="0"/>
        <v>#REF!</v>
      </c>
      <c r="H15" s="113" t="e">
        <f>+#REF!</f>
        <v>#REF!</v>
      </c>
      <c r="J15" s="33"/>
      <c r="K15" s="33"/>
    </row>
    <row r="16" spans="1:12" hidden="1">
      <c r="A16" s="27" t="s">
        <v>16</v>
      </c>
      <c r="B16" s="24">
        <f>+โอนเปลี่ยนแปลง!B14</f>
        <v>165577000</v>
      </c>
      <c r="C16" s="25">
        <f>+โอนเปลี่ยนแปลง!C14</f>
        <v>0</v>
      </c>
      <c r="D16" s="25">
        <f>+โอนเปลี่ยนแปลง!D14</f>
        <v>165577000</v>
      </c>
      <c r="E16" s="25"/>
      <c r="F16" s="26" t="e">
        <f>+#REF!</f>
        <v>#REF!</v>
      </c>
      <c r="G16" s="26" t="e">
        <f t="shared" si="0"/>
        <v>#REF!</v>
      </c>
      <c r="H16" s="113" t="e">
        <f>+#REF!</f>
        <v>#REF!</v>
      </c>
      <c r="J16" s="33"/>
      <c r="K16" s="33"/>
    </row>
    <row r="17" spans="1:11" ht="21" customHeight="1">
      <c r="A17" s="114" t="s">
        <v>5</v>
      </c>
      <c r="B17" s="39">
        <f>โอนเปลี่ยนแปลง!B15</f>
        <v>0</v>
      </c>
      <c r="C17" s="40">
        <f>+โอนเปลี่ยนแปลง!C15</f>
        <v>0</v>
      </c>
      <c r="D17" s="40">
        <f>+โอนเปลี่ยนแปลง!D15</f>
        <v>0</v>
      </c>
      <c r="E17" s="40" t="e">
        <f>#REF!</f>
        <v>#REF!</v>
      </c>
      <c r="F17" s="38" t="e">
        <f>+#REF!</f>
        <v>#REF!</v>
      </c>
      <c r="G17" s="26" t="e">
        <f t="shared" si="0"/>
        <v>#REF!</v>
      </c>
      <c r="H17" s="115" t="e">
        <f>+#REF!</f>
        <v>#REF!</v>
      </c>
      <c r="J17" s="33"/>
      <c r="K17" s="33"/>
    </row>
    <row r="18" spans="1:11" ht="21" customHeight="1" thickBot="1">
      <c r="A18" s="28"/>
      <c r="B18" s="29"/>
      <c r="C18" s="16"/>
      <c r="D18" s="16"/>
      <c r="E18" s="16"/>
      <c r="F18" s="17"/>
      <c r="G18" s="17"/>
      <c r="H18" s="110"/>
      <c r="J18" s="33"/>
      <c r="K18" s="33"/>
    </row>
    <row r="19" spans="1:11" s="9" customFormat="1" ht="21" customHeight="1" thickTop="1">
      <c r="A19" s="122" t="s">
        <v>33</v>
      </c>
      <c r="B19" s="123">
        <f>SUM(โอนเปลี่ยนแปลง!B16)</f>
        <v>642534200</v>
      </c>
      <c r="C19" s="124">
        <f>SUM(โอนเปลี่ยนแปลง!C16)</f>
        <v>0</v>
      </c>
      <c r="D19" s="124">
        <f>+โอนเปลี่ยนแปลง!D16</f>
        <v>642534200</v>
      </c>
      <c r="E19" s="124" t="e">
        <f>#REF!</f>
        <v>#REF!</v>
      </c>
      <c r="F19" s="125" t="e">
        <f>+#REF!</f>
        <v>#REF!</v>
      </c>
      <c r="G19" s="125" t="e">
        <f>+F19*100/D19</f>
        <v>#REF!</v>
      </c>
      <c r="H19" s="126" t="e">
        <f>+#REF!</f>
        <v>#REF!</v>
      </c>
      <c r="J19" s="140"/>
      <c r="K19" s="140"/>
    </row>
    <row r="20" spans="1:11" s="9" customFormat="1" ht="21" customHeight="1">
      <c r="A20" s="129" t="s">
        <v>27</v>
      </c>
      <c r="B20" s="130"/>
      <c r="C20" s="131"/>
      <c r="D20" s="131"/>
      <c r="E20" s="131"/>
      <c r="F20" s="132"/>
      <c r="G20" s="132"/>
      <c r="H20" s="133"/>
      <c r="J20" s="140"/>
      <c r="K20" s="140"/>
    </row>
    <row r="21" spans="1:11" ht="21" customHeight="1">
      <c r="A21" s="65" t="s">
        <v>0</v>
      </c>
      <c r="B21" s="127">
        <f>+โอนเปลี่ยนแปลง!B18</f>
        <v>0</v>
      </c>
      <c r="C21" s="120">
        <f>+โอนเปลี่ยนแปลง!C18</f>
        <v>0</v>
      </c>
      <c r="D21" s="120">
        <f>+โอนเปลี่ยนแปลง!D18</f>
        <v>0</v>
      </c>
      <c r="E21" s="120" t="e">
        <f>#REF!</f>
        <v>#REF!</v>
      </c>
      <c r="F21" s="71">
        <v>0</v>
      </c>
      <c r="G21" s="71">
        <v>0</v>
      </c>
      <c r="H21" s="128" t="e">
        <f>+#REF!</f>
        <v>#REF!</v>
      </c>
      <c r="J21" s="33"/>
      <c r="K21" s="33"/>
    </row>
    <row r="22" spans="1:11" ht="21" customHeight="1">
      <c r="A22" s="23" t="s">
        <v>1</v>
      </c>
      <c r="B22" s="24">
        <f>+โอนเปลี่ยนแปลง!B19</f>
        <v>642534200</v>
      </c>
      <c r="C22" s="25">
        <f>+โอนเปลี่ยนแปลง!C19</f>
        <v>0</v>
      </c>
      <c r="D22" s="25">
        <f>+โอนเปลี่ยนแปลง!D19</f>
        <v>642534200</v>
      </c>
      <c r="E22" s="25" t="e">
        <f>#REF!</f>
        <v>#REF!</v>
      </c>
      <c r="F22" s="26" t="e">
        <f>+#REF!</f>
        <v>#REF!</v>
      </c>
      <c r="G22" s="26" t="e">
        <f t="shared" ref="G22:G27" si="1">+F22*100/D22</f>
        <v>#REF!</v>
      </c>
      <c r="H22" s="113" t="e">
        <f>+#REF!</f>
        <v>#REF!</v>
      </c>
      <c r="J22" s="33"/>
      <c r="K22" s="33"/>
    </row>
    <row r="23" spans="1:11" hidden="1">
      <c r="A23" s="27" t="s">
        <v>14</v>
      </c>
      <c r="B23" s="24">
        <f>+โอนเปลี่ยนแปลง!B20</f>
        <v>642534200</v>
      </c>
      <c r="C23" s="25">
        <f>+โอนเปลี่ยนแปลง!C20</f>
        <v>0</v>
      </c>
      <c r="D23" s="25">
        <f>+โอนเปลี่ยนแปลง!D20</f>
        <v>642534200</v>
      </c>
      <c r="E23" s="25"/>
      <c r="F23" s="26" t="e">
        <f>+#REF!</f>
        <v>#REF!</v>
      </c>
      <c r="G23" s="26" t="e">
        <f t="shared" si="1"/>
        <v>#REF!</v>
      </c>
      <c r="H23" s="113" t="e">
        <f>+#REF!</f>
        <v>#REF!</v>
      </c>
      <c r="J23" s="33"/>
      <c r="K23" s="33"/>
    </row>
    <row r="24" spans="1:11" hidden="1">
      <c r="A24" s="27" t="s">
        <v>13</v>
      </c>
      <c r="B24" s="24">
        <f>โอนเปลี่ยนแปลง!B21</f>
        <v>0</v>
      </c>
      <c r="C24" s="25">
        <f>+โอนเปลี่ยนแปลง!C21</f>
        <v>0</v>
      </c>
      <c r="D24" s="25">
        <f>+โอนเปลี่ยนแปลง!D21</f>
        <v>0</v>
      </c>
      <c r="E24" s="25"/>
      <c r="F24" s="26" t="e">
        <f>+#REF!</f>
        <v>#REF!</v>
      </c>
      <c r="G24" s="26" t="e">
        <f t="shared" si="1"/>
        <v>#REF!</v>
      </c>
      <c r="H24" s="113" t="e">
        <f>+#REF!</f>
        <v>#REF!</v>
      </c>
      <c r="J24" s="33"/>
      <c r="K24" s="33"/>
    </row>
    <row r="25" spans="1:11" ht="21" customHeight="1">
      <c r="A25" s="23" t="s">
        <v>7</v>
      </c>
      <c r="B25" s="24">
        <f>โอนเปลี่ยนแปลง!B22</f>
        <v>0</v>
      </c>
      <c r="C25" s="25">
        <f>+โอนเปลี่ยนแปลง!C22</f>
        <v>0</v>
      </c>
      <c r="D25" s="25">
        <f>+โอนเปลี่ยนแปลง!D22</f>
        <v>0</v>
      </c>
      <c r="E25" s="25" t="e">
        <f>#REF!</f>
        <v>#REF!</v>
      </c>
      <c r="F25" s="26" t="e">
        <f>+#REF!</f>
        <v>#REF!</v>
      </c>
      <c r="G25" s="26">
        <v>0</v>
      </c>
      <c r="H25" s="113" t="e">
        <f>+#REF!</f>
        <v>#REF!</v>
      </c>
      <c r="J25" s="33"/>
      <c r="K25" s="33"/>
    </row>
    <row r="26" spans="1:11" hidden="1">
      <c r="A26" s="27" t="s">
        <v>15</v>
      </c>
      <c r="B26" s="24">
        <f>โอนเปลี่ยนแปลง!B23</f>
        <v>0</v>
      </c>
      <c r="C26" s="25">
        <f>+โอนเปลี่ยนแปลง!C23</f>
        <v>0</v>
      </c>
      <c r="D26" s="25">
        <f>+โอนเปลี่ยนแปลง!D23</f>
        <v>0</v>
      </c>
      <c r="E26" s="25"/>
      <c r="F26" s="26" t="e">
        <f>+#REF!</f>
        <v>#REF!</v>
      </c>
      <c r="G26" s="26" t="e">
        <f t="shared" si="1"/>
        <v>#REF!</v>
      </c>
      <c r="H26" s="113" t="e">
        <f>+#REF!</f>
        <v>#REF!</v>
      </c>
      <c r="J26" s="33"/>
      <c r="K26" s="33"/>
    </row>
    <row r="27" spans="1:11" hidden="1">
      <c r="A27" s="27" t="s">
        <v>16</v>
      </c>
      <c r="B27" s="24">
        <f>โอนเปลี่ยนแปลง!B24</f>
        <v>0</v>
      </c>
      <c r="C27" s="25">
        <f>+โอนเปลี่ยนแปลง!C24</f>
        <v>0</v>
      </c>
      <c r="D27" s="25">
        <f>+โอนเปลี่ยนแปลง!D24</f>
        <v>0</v>
      </c>
      <c r="E27" s="25"/>
      <c r="F27" s="25" t="e">
        <f>+#REF!</f>
        <v>#REF!</v>
      </c>
      <c r="G27" s="26" t="e">
        <f t="shared" si="1"/>
        <v>#REF!</v>
      </c>
      <c r="H27" s="113" t="e">
        <f>+#REF!</f>
        <v>#REF!</v>
      </c>
      <c r="J27" s="33"/>
      <c r="K27" s="33"/>
    </row>
    <row r="28" spans="1:11" ht="21" customHeight="1" thickBot="1">
      <c r="A28" s="28" t="s">
        <v>5</v>
      </c>
      <c r="B28" s="29">
        <f>โอนเปลี่ยนแปลง!B25</f>
        <v>0</v>
      </c>
      <c r="C28" s="16">
        <f>+โอนเปลี่ยนแปลง!C25</f>
        <v>0</v>
      </c>
      <c r="D28" s="16">
        <f>+โอนเปลี่ยนแปลง!D25</f>
        <v>0</v>
      </c>
      <c r="E28" s="16"/>
      <c r="F28" s="17" t="e">
        <f>+#REF!</f>
        <v>#REF!</v>
      </c>
      <c r="G28" s="17">
        <v>0</v>
      </c>
      <c r="H28" s="110" t="e">
        <f>+#REF!</f>
        <v>#REF!</v>
      </c>
      <c r="J28" s="33"/>
      <c r="K28" s="33"/>
    </row>
    <row r="29" spans="1:11" s="9" customFormat="1" ht="21" customHeight="1" thickTop="1" thickBot="1">
      <c r="A29" s="116" t="s">
        <v>28</v>
      </c>
      <c r="B29" s="30">
        <f>SUM(โอนเปลี่ยนแปลง!B66)</f>
        <v>3848475800</v>
      </c>
      <c r="C29" s="41">
        <v>0</v>
      </c>
      <c r="D29" s="31">
        <f>+โอนเปลี่ยนแปลง!D66</f>
        <v>3848475800</v>
      </c>
      <c r="E29" s="121" t="e">
        <f>#REF!</f>
        <v>#REF!</v>
      </c>
      <c r="F29" s="32" t="e">
        <f>+#REF!</f>
        <v>#REF!</v>
      </c>
      <c r="G29" s="32" t="e">
        <f t="shared" ref="G29:G40" si="2">+F29*100/D29</f>
        <v>#REF!</v>
      </c>
      <c r="H29" s="117" t="e">
        <f>+#REF!</f>
        <v>#REF!</v>
      </c>
      <c r="J29" s="33"/>
      <c r="K29" s="140"/>
    </row>
    <row r="30" spans="1:11" ht="21" customHeight="1" thickTop="1">
      <c r="A30" s="111" t="s">
        <v>0</v>
      </c>
      <c r="B30" s="20">
        <f>โอนเปลี่ยนแปลง!B67</f>
        <v>1278572700</v>
      </c>
      <c r="C30" s="21">
        <f>โอนเปลี่ยนแปลง!C67</f>
        <v>0</v>
      </c>
      <c r="D30" s="20">
        <f>+โอนเปลี่ยนแปลง!D67</f>
        <v>1278572700</v>
      </c>
      <c r="E30" s="20" t="e">
        <f>#REF!</f>
        <v>#REF!</v>
      </c>
      <c r="F30" s="22" t="e">
        <f>+#REF!</f>
        <v>#REF!</v>
      </c>
      <c r="G30" s="22" t="e">
        <f t="shared" si="2"/>
        <v>#REF!</v>
      </c>
      <c r="H30" s="112" t="e">
        <f>+#REF!</f>
        <v>#REF!</v>
      </c>
      <c r="J30" s="140"/>
      <c r="K30" s="33"/>
    </row>
    <row r="31" spans="1:11" ht="21" customHeight="1">
      <c r="A31" s="23" t="s">
        <v>1</v>
      </c>
      <c r="B31" s="24">
        <f>โอนเปลี่ยนแปลง!B68</f>
        <v>2268389100</v>
      </c>
      <c r="C31" s="25">
        <f>โอนเปลี่ยนแปลง!C68</f>
        <v>0</v>
      </c>
      <c r="D31" s="24">
        <f>+โอนเปลี่ยนแปลง!D68</f>
        <v>2268389100</v>
      </c>
      <c r="E31" s="24" t="e">
        <f>#REF!</f>
        <v>#REF!</v>
      </c>
      <c r="F31" s="25" t="e">
        <f>+#REF!</f>
        <v>#REF!</v>
      </c>
      <c r="G31" s="26" t="e">
        <f t="shared" si="2"/>
        <v>#REF!</v>
      </c>
      <c r="H31" s="113" t="e">
        <f>+#REF!</f>
        <v>#REF!</v>
      </c>
      <c r="J31" s="33"/>
      <c r="K31" s="33"/>
    </row>
    <row r="32" spans="1:11" hidden="1">
      <c r="A32" s="27" t="s">
        <v>14</v>
      </c>
      <c r="B32" s="24">
        <f>โอนเปลี่ยนแปลง!B69</f>
        <v>2212295900</v>
      </c>
      <c r="C32" s="25">
        <f>โอนเปลี่ยนแปลง!C69</f>
        <v>0</v>
      </c>
      <c r="D32" s="24">
        <f>+โอนเปลี่ยนแปลง!D69</f>
        <v>2212295900</v>
      </c>
      <c r="E32" s="24"/>
      <c r="F32" s="26" t="e">
        <f>+#REF!</f>
        <v>#REF!</v>
      </c>
      <c r="G32" s="26" t="e">
        <f t="shared" si="2"/>
        <v>#REF!</v>
      </c>
      <c r="H32" s="113" t="e">
        <f>+#REF!</f>
        <v>#REF!</v>
      </c>
      <c r="J32" s="33"/>
      <c r="K32" s="33"/>
    </row>
    <row r="33" spans="1:11" hidden="1">
      <c r="A33" s="27" t="s">
        <v>13</v>
      </c>
      <c r="B33" s="24">
        <f>โอนเปลี่ยนแปลง!B70</f>
        <v>56093200</v>
      </c>
      <c r="C33" s="25">
        <f>โอนเปลี่ยนแปลง!C70</f>
        <v>0</v>
      </c>
      <c r="D33" s="24">
        <f>+โอนเปลี่ยนแปลง!D70</f>
        <v>56093200</v>
      </c>
      <c r="E33" s="24"/>
      <c r="F33" s="26" t="e">
        <f>+#REF!</f>
        <v>#REF!</v>
      </c>
      <c r="G33" s="26" t="e">
        <f t="shared" si="2"/>
        <v>#REF!</v>
      </c>
      <c r="H33" s="113" t="e">
        <f>+#REF!</f>
        <v>#REF!</v>
      </c>
      <c r="J33" s="33"/>
      <c r="K33" s="33"/>
    </row>
    <row r="34" spans="1:11" hidden="1">
      <c r="A34" s="27" t="s">
        <v>24</v>
      </c>
      <c r="B34" s="24">
        <f>โอนเปลี่ยนแปลง!B71</f>
        <v>0</v>
      </c>
      <c r="C34" s="25">
        <f>โอนเปลี่ยนแปลง!C71</f>
        <v>0</v>
      </c>
      <c r="D34" s="24">
        <f>+โอนเปลี่ยนแปลง!D71</f>
        <v>0</v>
      </c>
      <c r="E34" s="24"/>
      <c r="F34" s="26" t="e">
        <f>+#REF!</f>
        <v>#REF!</v>
      </c>
      <c r="G34" s="26" t="e">
        <f t="shared" si="2"/>
        <v>#REF!</v>
      </c>
      <c r="H34" s="113" t="e">
        <f>+#REF!</f>
        <v>#REF!</v>
      </c>
      <c r="J34" s="33"/>
      <c r="K34" s="33"/>
    </row>
    <row r="35" spans="1:11" ht="21" customHeight="1">
      <c r="A35" s="23" t="s">
        <v>7</v>
      </c>
      <c r="B35" s="24">
        <f>โอนเปลี่ยนแปลง!B72</f>
        <v>301514000</v>
      </c>
      <c r="C35" s="25">
        <f>โอนเปลี่ยนแปลง!C72</f>
        <v>0</v>
      </c>
      <c r="D35" s="24">
        <f>+โอนเปลี่ยนแปลง!D72</f>
        <v>301514000</v>
      </c>
      <c r="E35" s="24" t="e">
        <f>#REF!</f>
        <v>#REF!</v>
      </c>
      <c r="F35" s="26" t="e">
        <f>+#REF!</f>
        <v>#REF!</v>
      </c>
      <c r="G35" s="26" t="e">
        <f t="shared" si="2"/>
        <v>#REF!</v>
      </c>
      <c r="H35" s="113" t="e">
        <f>+#REF!</f>
        <v>#REF!</v>
      </c>
      <c r="J35" s="33"/>
      <c r="K35" s="33"/>
    </row>
    <row r="36" spans="1:11" hidden="1">
      <c r="A36" s="27" t="s">
        <v>15</v>
      </c>
      <c r="B36" s="24">
        <f>โอนเปลี่ยนแปลง!B73</f>
        <v>135937000</v>
      </c>
      <c r="C36" s="25">
        <f>โอนเปลี่ยนแปลง!C73</f>
        <v>0</v>
      </c>
      <c r="D36" s="24">
        <f>+โอนเปลี่ยนแปลง!D73</f>
        <v>135937000</v>
      </c>
      <c r="E36" s="24"/>
      <c r="F36" s="26" t="e">
        <f>+#REF!</f>
        <v>#REF!</v>
      </c>
      <c r="G36" s="26" t="e">
        <f t="shared" si="2"/>
        <v>#REF!</v>
      </c>
      <c r="H36" s="113" t="e">
        <f>+#REF!</f>
        <v>#REF!</v>
      </c>
      <c r="J36" s="33"/>
      <c r="K36" s="33"/>
    </row>
    <row r="37" spans="1:11" hidden="1">
      <c r="A37" s="27" t="s">
        <v>16</v>
      </c>
      <c r="B37" s="24">
        <f>โอนเปลี่ยนแปลง!B74</f>
        <v>165577000</v>
      </c>
      <c r="C37" s="25">
        <f>โอนเปลี่ยนแปลง!C74</f>
        <v>0</v>
      </c>
      <c r="D37" s="24">
        <f>+โอนเปลี่ยนแปลง!D74</f>
        <v>165577000</v>
      </c>
      <c r="E37" s="24"/>
      <c r="F37" s="26" t="e">
        <f>+#REF!</f>
        <v>#REF!</v>
      </c>
      <c r="G37" s="26" t="e">
        <f t="shared" si="2"/>
        <v>#REF!</v>
      </c>
      <c r="H37" s="113" t="e">
        <f>+#REF!</f>
        <v>#REF!</v>
      </c>
      <c r="J37" s="33"/>
      <c r="K37" s="33"/>
    </row>
    <row r="38" spans="1:11" ht="21" customHeight="1" thickBot="1">
      <c r="A38" s="28" t="s">
        <v>5</v>
      </c>
      <c r="B38" s="29">
        <f>โอนเปลี่ยนแปลง!B75</f>
        <v>0</v>
      </c>
      <c r="C38" s="16">
        <f>โอนเปลี่ยนแปลง!C75</f>
        <v>0</v>
      </c>
      <c r="D38" s="29">
        <f>+โอนเปลี่ยนแปลง!D75</f>
        <v>0</v>
      </c>
      <c r="E38" s="29" t="e">
        <f>#REF!</f>
        <v>#REF!</v>
      </c>
      <c r="F38" s="17" t="e">
        <f>+#REF!</f>
        <v>#REF!</v>
      </c>
      <c r="G38" s="17" t="e">
        <f t="shared" si="2"/>
        <v>#REF!</v>
      </c>
      <c r="H38" s="110" t="e">
        <f>+#REF!</f>
        <v>#REF!</v>
      </c>
      <c r="J38" s="33"/>
      <c r="K38" s="33"/>
    </row>
    <row r="39" spans="1:11" ht="9.75" customHeight="1" thickTop="1">
      <c r="A39" s="142"/>
      <c r="B39" s="143"/>
      <c r="C39" s="144"/>
      <c r="D39" s="143"/>
      <c r="E39" s="143"/>
      <c r="F39" s="145"/>
      <c r="G39" s="150"/>
      <c r="H39" s="145"/>
      <c r="J39" s="33"/>
      <c r="K39" s="33"/>
    </row>
    <row r="40" spans="1:11" s="9" customFormat="1" ht="21" customHeight="1">
      <c r="A40" s="149" t="s">
        <v>37</v>
      </c>
      <c r="B40" s="154">
        <f>+B30+B31+B38</f>
        <v>3546961800</v>
      </c>
      <c r="C40" s="154">
        <f t="shared" ref="C40:H40" si="3">+C30+C31+C38</f>
        <v>0</v>
      </c>
      <c r="D40" s="154">
        <f t="shared" si="3"/>
        <v>3546961800</v>
      </c>
      <c r="E40" s="154" t="e">
        <f t="shared" si="3"/>
        <v>#REF!</v>
      </c>
      <c r="F40" s="154" t="e">
        <f t="shared" si="3"/>
        <v>#REF!</v>
      </c>
      <c r="G40" s="155" t="e">
        <f t="shared" si="2"/>
        <v>#REF!</v>
      </c>
      <c r="H40" s="154" t="e">
        <f t="shared" si="3"/>
        <v>#REF!</v>
      </c>
      <c r="J40" s="140"/>
      <c r="K40" s="140"/>
    </row>
    <row r="41" spans="1:11" ht="21" customHeight="1">
      <c r="A41" s="142"/>
      <c r="B41" s="143"/>
      <c r="C41" s="144"/>
      <c r="D41" s="143"/>
      <c r="E41" s="143"/>
      <c r="F41" s="145"/>
      <c r="G41" s="153" t="e">
        <f>+J3</f>
        <v>#REF!</v>
      </c>
      <c r="H41" s="145"/>
      <c r="J41" s="33"/>
      <c r="K41" s="33"/>
    </row>
    <row r="42" spans="1:11" ht="24" customHeight="1">
      <c r="A42" s="9" t="s">
        <v>30</v>
      </c>
      <c r="B42" s="9"/>
      <c r="C42" s="33"/>
      <c r="D42" s="19"/>
      <c r="E42" s="19"/>
      <c r="F42" s="33"/>
      <c r="G42" s="151" t="e">
        <f>+J3</f>
        <v>#REF!</v>
      </c>
      <c r="H42" s="152"/>
      <c r="J42" s="33"/>
      <c r="K42" s="33"/>
    </row>
    <row r="43" spans="1:11" ht="24" customHeight="1">
      <c r="A43" s="119" t="s">
        <v>32</v>
      </c>
      <c r="B43" s="9"/>
      <c r="C43" s="33"/>
      <c r="D43" s="19"/>
      <c r="E43" s="19"/>
      <c r="F43" s="33"/>
      <c r="H43" s="33"/>
      <c r="J43" s="33"/>
      <c r="K43" s="33"/>
    </row>
    <row r="44" spans="1:11" ht="24" customHeight="1">
      <c r="A44" s="119" t="s">
        <v>31</v>
      </c>
      <c r="C44" s="33"/>
      <c r="D44" s="19"/>
      <c r="E44" s="19"/>
      <c r="F44" s="33"/>
      <c r="H44" s="33"/>
      <c r="J44" s="33"/>
      <c r="K44" s="33"/>
    </row>
    <row r="45" spans="1:11">
      <c r="C45" s="33"/>
      <c r="F45" s="33"/>
      <c r="H45" s="33"/>
      <c r="J45" s="33"/>
      <c r="K45" s="33"/>
    </row>
    <row r="46" spans="1:11">
      <c r="C46" s="33"/>
      <c r="F46" s="33"/>
      <c r="H46" s="33"/>
      <c r="J46" s="33"/>
      <c r="K46" s="33"/>
    </row>
    <row r="47" spans="1:11">
      <c r="C47" s="33"/>
      <c r="F47" s="33"/>
      <c r="H47" s="33"/>
      <c r="J47" s="33"/>
      <c r="K47" s="33"/>
    </row>
    <row r="48" spans="1:11">
      <c r="C48" s="33"/>
      <c r="F48" s="33"/>
      <c r="H48" s="33"/>
      <c r="J48" s="33"/>
      <c r="K48" s="33"/>
    </row>
    <row r="49" spans="3:11">
      <c r="C49" s="33"/>
      <c r="F49" s="33"/>
      <c r="H49" s="33"/>
      <c r="J49" s="33"/>
      <c r="K49" s="33"/>
    </row>
    <row r="50" spans="3:11">
      <c r="C50" s="33"/>
      <c r="F50" s="33"/>
      <c r="H50" s="33"/>
      <c r="J50" s="33"/>
      <c r="K50" s="33"/>
    </row>
    <row r="51" spans="3:11">
      <c r="C51" s="33"/>
      <c r="F51" s="33"/>
      <c r="H51" s="33"/>
      <c r="J51" s="33"/>
      <c r="K51" s="33"/>
    </row>
    <row r="52" spans="3:11">
      <c r="F52" s="33"/>
      <c r="J52" s="33"/>
      <c r="K52" s="18"/>
    </row>
    <row r="53" spans="3:11">
      <c r="F53" s="33"/>
      <c r="K53" s="18"/>
    </row>
    <row r="54" spans="3:11">
      <c r="F54" s="33"/>
      <c r="K54" s="18"/>
    </row>
    <row r="55" spans="3:11">
      <c r="F55" s="33"/>
      <c r="K55" s="18"/>
    </row>
    <row r="56" spans="3:11">
      <c r="F56" s="33"/>
      <c r="K56" s="18"/>
    </row>
    <row r="57" spans="3:11">
      <c r="F57" s="33"/>
      <c r="K57" s="18"/>
    </row>
    <row r="58" spans="3:11">
      <c r="F58" s="33"/>
      <c r="K58" s="18"/>
    </row>
    <row r="59" spans="3:11">
      <c r="F59" s="33"/>
      <c r="K59" s="18"/>
    </row>
    <row r="60" spans="3:11">
      <c r="F60" s="33"/>
      <c r="K60" s="18"/>
    </row>
    <row r="61" spans="3:11">
      <c r="F61" s="33"/>
      <c r="K61" s="18"/>
    </row>
    <row r="62" spans="3:11">
      <c r="K62" s="18"/>
    </row>
    <row r="63" spans="3:11">
      <c r="K63" s="18"/>
    </row>
    <row r="64" spans="3:11">
      <c r="K64" s="18"/>
    </row>
    <row r="65" spans="11:11">
      <c r="K65" s="18"/>
    </row>
    <row r="66" spans="11:11">
      <c r="K66" s="18"/>
    </row>
    <row r="67" spans="11:11">
      <c r="K67" s="18"/>
    </row>
    <row r="68" spans="11:11">
      <c r="K68" s="18"/>
    </row>
    <row r="69" spans="11:11">
      <c r="K69" s="18"/>
    </row>
    <row r="70" spans="11:11">
      <c r="K70" s="18"/>
    </row>
    <row r="71" spans="11:11">
      <c r="K71" s="18"/>
    </row>
    <row r="72" spans="11:11">
      <c r="K72" s="18"/>
    </row>
    <row r="73" spans="11:11">
      <c r="K73" s="18"/>
    </row>
    <row r="74" spans="11:11">
      <c r="K74" s="18"/>
    </row>
    <row r="75" spans="11:11">
      <c r="K75" s="18"/>
    </row>
    <row r="76" spans="11:11">
      <c r="K76" s="18"/>
    </row>
    <row r="77" spans="11:11">
      <c r="K77" s="18"/>
    </row>
    <row r="78" spans="11:11">
      <c r="K78" s="18"/>
    </row>
    <row r="79" spans="11:11">
      <c r="K79" s="18"/>
    </row>
    <row r="80" spans="11:11">
      <c r="K80" s="18"/>
    </row>
    <row r="81" spans="11:11">
      <c r="K81" s="18"/>
    </row>
    <row r="82" spans="11:11">
      <c r="K82" s="18"/>
    </row>
    <row r="83" spans="11:11">
      <c r="K83" s="18"/>
    </row>
    <row r="84" spans="11:11">
      <c r="K84" s="18"/>
    </row>
    <row r="85" spans="11:11">
      <c r="K85" s="18"/>
    </row>
    <row r="86" spans="11:11">
      <c r="K86" s="18"/>
    </row>
    <row r="87" spans="11:11">
      <c r="K87" s="18"/>
    </row>
    <row r="88" spans="11:11">
      <c r="K88" s="18"/>
    </row>
    <row r="89" spans="11:11">
      <c r="K89" s="18"/>
    </row>
    <row r="90" spans="11:11">
      <c r="K90" s="18"/>
    </row>
    <row r="91" spans="11:11">
      <c r="K91" s="18"/>
    </row>
    <row r="92" spans="11:11">
      <c r="K92" s="18"/>
    </row>
    <row r="93" spans="11:11">
      <c r="K93" s="18"/>
    </row>
    <row r="94" spans="11:11">
      <c r="K94" s="18"/>
    </row>
    <row r="95" spans="11:11">
      <c r="K95" s="18"/>
    </row>
    <row r="96" spans="11:11">
      <c r="K96" s="18"/>
    </row>
    <row r="97" spans="11:11">
      <c r="K97" s="18"/>
    </row>
    <row r="98" spans="11:11">
      <c r="K98" s="18"/>
    </row>
    <row r="99" spans="11:11">
      <c r="K99" s="18"/>
    </row>
    <row r="100" spans="11:11">
      <c r="K100" s="18"/>
    </row>
    <row r="101" spans="11:11">
      <c r="K101" s="18"/>
    </row>
    <row r="102" spans="11:11">
      <c r="K102" s="18"/>
    </row>
    <row r="103" spans="11:11">
      <c r="K103" s="18"/>
    </row>
    <row r="104" spans="11:11">
      <c r="K104" s="18"/>
    </row>
    <row r="105" spans="11:11">
      <c r="K105" s="18"/>
    </row>
    <row r="106" spans="11:11" ht="21" customHeight="1">
      <c r="K106" s="18"/>
    </row>
    <row r="107" spans="11:11">
      <c r="K107" s="18"/>
    </row>
    <row r="108" spans="11:11">
      <c r="K108" s="18"/>
    </row>
    <row r="109" spans="11:11">
      <c r="K109" s="18"/>
    </row>
    <row r="110" spans="11:11">
      <c r="K110" s="18"/>
    </row>
    <row r="111" spans="11:11">
      <c r="K111" s="18"/>
    </row>
    <row r="112" spans="11:11">
      <c r="K112" s="18"/>
    </row>
    <row r="113" spans="10:11">
      <c r="K113" s="18"/>
    </row>
    <row r="114" spans="10:11">
      <c r="K114" s="18"/>
    </row>
    <row r="115" spans="10:11">
      <c r="K115" s="141"/>
    </row>
    <row r="116" spans="10:11">
      <c r="J116" s="141"/>
    </row>
  </sheetData>
  <mergeCells count="7">
    <mergeCell ref="A1:H1"/>
    <mergeCell ref="A2:H2"/>
    <mergeCell ref="A3:A4"/>
    <mergeCell ref="B3:B4"/>
    <mergeCell ref="E3:E4"/>
    <mergeCell ref="F3:F4"/>
    <mergeCell ref="H3:H4"/>
  </mergeCells>
  <printOptions horizontalCentered="1"/>
  <pageMargins left="0.31496062992125984" right="0" top="0.43307086614173229" bottom="0.19685039370078741" header="0.31496062992125984" footer="0"/>
  <pageSetup paperSize="9" scale="80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topLeftCell="A73" zoomScaleNormal="100" workbookViewId="0">
      <selection activeCell="G2" sqref="G2:H77"/>
    </sheetView>
  </sheetViews>
  <sheetFormatPr defaultRowHeight="18"/>
  <cols>
    <col min="1" max="2" width="9.140625" style="815"/>
    <col min="3" max="3" width="9.140625" style="816"/>
    <col min="4" max="4" width="16.42578125" style="817" customWidth="1"/>
    <col min="5" max="5" width="19.85546875" style="818" customWidth="1"/>
    <col min="6" max="6" width="19.85546875" style="819" customWidth="1"/>
    <col min="7" max="7" width="21.42578125" style="819" customWidth="1"/>
    <col min="8" max="8" width="13.140625" style="818" customWidth="1"/>
    <col min="9" max="9" width="13" style="596" hidden="1" customWidth="1"/>
    <col min="10" max="259" width="9.140625" style="596"/>
    <col min="260" max="260" width="12.42578125" style="596" bestFit="1" customWidth="1"/>
    <col min="261" max="261" width="14.5703125" style="596" bestFit="1" customWidth="1"/>
    <col min="262" max="262" width="15" style="596" bestFit="1" customWidth="1"/>
    <col min="263" max="263" width="14" style="596" bestFit="1" customWidth="1"/>
    <col min="264" max="264" width="9.28515625" style="596" bestFit="1" customWidth="1"/>
    <col min="265" max="515" width="9.140625" style="596"/>
    <col min="516" max="516" width="12.42578125" style="596" bestFit="1" customWidth="1"/>
    <col min="517" max="517" width="14.5703125" style="596" bestFit="1" customWidth="1"/>
    <col min="518" max="518" width="15" style="596" bestFit="1" customWidth="1"/>
    <col min="519" max="519" width="14" style="596" bestFit="1" customWidth="1"/>
    <col min="520" max="520" width="9.28515625" style="596" bestFit="1" customWidth="1"/>
    <col min="521" max="771" width="9.140625" style="596"/>
    <col min="772" max="772" width="12.42578125" style="596" bestFit="1" customWidth="1"/>
    <col min="773" max="773" width="14.5703125" style="596" bestFit="1" customWidth="1"/>
    <col min="774" max="774" width="15" style="596" bestFit="1" customWidth="1"/>
    <col min="775" max="775" width="14" style="596" bestFit="1" customWidth="1"/>
    <col min="776" max="776" width="9.28515625" style="596" bestFit="1" customWidth="1"/>
    <col min="777" max="1027" width="9.140625" style="596"/>
    <col min="1028" max="1028" width="12.42578125" style="596" bestFit="1" customWidth="1"/>
    <col min="1029" max="1029" width="14.5703125" style="596" bestFit="1" customWidth="1"/>
    <col min="1030" max="1030" width="15" style="596" bestFit="1" customWidth="1"/>
    <col min="1031" max="1031" width="14" style="596" bestFit="1" customWidth="1"/>
    <col min="1032" max="1032" width="9.28515625" style="596" bestFit="1" customWidth="1"/>
    <col min="1033" max="1283" width="9.140625" style="596"/>
    <col min="1284" max="1284" width="12.42578125" style="596" bestFit="1" customWidth="1"/>
    <col min="1285" max="1285" width="14.5703125" style="596" bestFit="1" customWidth="1"/>
    <col min="1286" max="1286" width="15" style="596" bestFit="1" customWidth="1"/>
    <col min="1287" max="1287" width="14" style="596" bestFit="1" customWidth="1"/>
    <col min="1288" max="1288" width="9.28515625" style="596" bestFit="1" customWidth="1"/>
    <col min="1289" max="1539" width="9.140625" style="596"/>
    <col min="1540" max="1540" width="12.42578125" style="596" bestFit="1" customWidth="1"/>
    <col min="1541" max="1541" width="14.5703125" style="596" bestFit="1" customWidth="1"/>
    <col min="1542" max="1542" width="15" style="596" bestFit="1" customWidth="1"/>
    <col min="1543" max="1543" width="14" style="596" bestFit="1" customWidth="1"/>
    <col min="1544" max="1544" width="9.28515625" style="596" bestFit="1" customWidth="1"/>
    <col min="1545" max="1795" width="9.140625" style="596"/>
    <col min="1796" max="1796" width="12.42578125" style="596" bestFit="1" customWidth="1"/>
    <col min="1797" max="1797" width="14.5703125" style="596" bestFit="1" customWidth="1"/>
    <col min="1798" max="1798" width="15" style="596" bestFit="1" customWidth="1"/>
    <col min="1799" max="1799" width="14" style="596" bestFit="1" customWidth="1"/>
    <col min="1800" max="1800" width="9.28515625" style="596" bestFit="1" customWidth="1"/>
    <col min="1801" max="2051" width="9.140625" style="596"/>
    <col min="2052" max="2052" width="12.42578125" style="596" bestFit="1" customWidth="1"/>
    <col min="2053" max="2053" width="14.5703125" style="596" bestFit="1" customWidth="1"/>
    <col min="2054" max="2054" width="15" style="596" bestFit="1" customWidth="1"/>
    <col min="2055" max="2055" width="14" style="596" bestFit="1" customWidth="1"/>
    <col min="2056" max="2056" width="9.28515625" style="596" bestFit="1" customWidth="1"/>
    <col min="2057" max="2307" width="9.140625" style="596"/>
    <col min="2308" max="2308" width="12.42578125" style="596" bestFit="1" customWidth="1"/>
    <col min="2309" max="2309" width="14.5703125" style="596" bestFit="1" customWidth="1"/>
    <col min="2310" max="2310" width="15" style="596" bestFit="1" customWidth="1"/>
    <col min="2311" max="2311" width="14" style="596" bestFit="1" customWidth="1"/>
    <col min="2312" max="2312" width="9.28515625" style="596" bestFit="1" customWidth="1"/>
    <col min="2313" max="2563" width="9.140625" style="596"/>
    <col min="2564" max="2564" width="12.42578125" style="596" bestFit="1" customWidth="1"/>
    <col min="2565" max="2565" width="14.5703125" style="596" bestFit="1" customWidth="1"/>
    <col min="2566" max="2566" width="15" style="596" bestFit="1" customWidth="1"/>
    <col min="2567" max="2567" width="14" style="596" bestFit="1" customWidth="1"/>
    <col min="2568" max="2568" width="9.28515625" style="596" bestFit="1" customWidth="1"/>
    <col min="2569" max="2819" width="9.140625" style="596"/>
    <col min="2820" max="2820" width="12.42578125" style="596" bestFit="1" customWidth="1"/>
    <col min="2821" max="2821" width="14.5703125" style="596" bestFit="1" customWidth="1"/>
    <col min="2822" max="2822" width="15" style="596" bestFit="1" customWidth="1"/>
    <col min="2823" max="2823" width="14" style="596" bestFit="1" customWidth="1"/>
    <col min="2824" max="2824" width="9.28515625" style="596" bestFit="1" customWidth="1"/>
    <col min="2825" max="3075" width="9.140625" style="596"/>
    <col min="3076" max="3076" width="12.42578125" style="596" bestFit="1" customWidth="1"/>
    <col min="3077" max="3077" width="14.5703125" style="596" bestFit="1" customWidth="1"/>
    <col min="3078" max="3078" width="15" style="596" bestFit="1" customWidth="1"/>
    <col min="3079" max="3079" width="14" style="596" bestFit="1" customWidth="1"/>
    <col min="3080" max="3080" width="9.28515625" style="596" bestFit="1" customWidth="1"/>
    <col min="3081" max="3331" width="9.140625" style="596"/>
    <col min="3332" max="3332" width="12.42578125" style="596" bestFit="1" customWidth="1"/>
    <col min="3333" max="3333" width="14.5703125" style="596" bestFit="1" customWidth="1"/>
    <col min="3334" max="3334" width="15" style="596" bestFit="1" customWidth="1"/>
    <col min="3335" max="3335" width="14" style="596" bestFit="1" customWidth="1"/>
    <col min="3336" max="3336" width="9.28515625" style="596" bestFit="1" customWidth="1"/>
    <col min="3337" max="3587" width="9.140625" style="596"/>
    <col min="3588" max="3588" width="12.42578125" style="596" bestFit="1" customWidth="1"/>
    <col min="3589" max="3589" width="14.5703125" style="596" bestFit="1" customWidth="1"/>
    <col min="3590" max="3590" width="15" style="596" bestFit="1" customWidth="1"/>
    <col min="3591" max="3591" width="14" style="596" bestFit="1" customWidth="1"/>
    <col min="3592" max="3592" width="9.28515625" style="596" bestFit="1" customWidth="1"/>
    <col min="3593" max="3843" width="9.140625" style="596"/>
    <col min="3844" max="3844" width="12.42578125" style="596" bestFit="1" customWidth="1"/>
    <col min="3845" max="3845" width="14.5703125" style="596" bestFit="1" customWidth="1"/>
    <col min="3846" max="3846" width="15" style="596" bestFit="1" customWidth="1"/>
    <col min="3847" max="3847" width="14" style="596" bestFit="1" customWidth="1"/>
    <col min="3848" max="3848" width="9.28515625" style="596" bestFit="1" customWidth="1"/>
    <col min="3849" max="4099" width="9.140625" style="596"/>
    <col min="4100" max="4100" width="12.42578125" style="596" bestFit="1" customWidth="1"/>
    <col min="4101" max="4101" width="14.5703125" style="596" bestFit="1" customWidth="1"/>
    <col min="4102" max="4102" width="15" style="596" bestFit="1" customWidth="1"/>
    <col min="4103" max="4103" width="14" style="596" bestFit="1" customWidth="1"/>
    <col min="4104" max="4104" width="9.28515625" style="596" bestFit="1" customWidth="1"/>
    <col min="4105" max="4355" width="9.140625" style="596"/>
    <col min="4356" max="4356" width="12.42578125" style="596" bestFit="1" customWidth="1"/>
    <col min="4357" max="4357" width="14.5703125" style="596" bestFit="1" customWidth="1"/>
    <col min="4358" max="4358" width="15" style="596" bestFit="1" customWidth="1"/>
    <col min="4359" max="4359" width="14" style="596" bestFit="1" customWidth="1"/>
    <col min="4360" max="4360" width="9.28515625" style="596" bestFit="1" customWidth="1"/>
    <col min="4361" max="4611" width="9.140625" style="596"/>
    <col min="4612" max="4612" width="12.42578125" style="596" bestFit="1" customWidth="1"/>
    <col min="4613" max="4613" width="14.5703125" style="596" bestFit="1" customWidth="1"/>
    <col min="4614" max="4614" width="15" style="596" bestFit="1" customWidth="1"/>
    <col min="4615" max="4615" width="14" style="596" bestFit="1" customWidth="1"/>
    <col min="4616" max="4616" width="9.28515625" style="596" bestFit="1" customWidth="1"/>
    <col min="4617" max="4867" width="9.140625" style="596"/>
    <col min="4868" max="4868" width="12.42578125" style="596" bestFit="1" customWidth="1"/>
    <col min="4869" max="4869" width="14.5703125" style="596" bestFit="1" customWidth="1"/>
    <col min="4870" max="4870" width="15" style="596" bestFit="1" customWidth="1"/>
    <col min="4871" max="4871" width="14" style="596" bestFit="1" customWidth="1"/>
    <col min="4872" max="4872" width="9.28515625" style="596" bestFit="1" customWidth="1"/>
    <col min="4873" max="5123" width="9.140625" style="596"/>
    <col min="5124" max="5124" width="12.42578125" style="596" bestFit="1" customWidth="1"/>
    <col min="5125" max="5125" width="14.5703125" style="596" bestFit="1" customWidth="1"/>
    <col min="5126" max="5126" width="15" style="596" bestFit="1" customWidth="1"/>
    <col min="5127" max="5127" width="14" style="596" bestFit="1" customWidth="1"/>
    <col min="5128" max="5128" width="9.28515625" style="596" bestFit="1" customWidth="1"/>
    <col min="5129" max="5379" width="9.140625" style="596"/>
    <col min="5380" max="5380" width="12.42578125" style="596" bestFit="1" customWidth="1"/>
    <col min="5381" max="5381" width="14.5703125" style="596" bestFit="1" customWidth="1"/>
    <col min="5382" max="5382" width="15" style="596" bestFit="1" customWidth="1"/>
    <col min="5383" max="5383" width="14" style="596" bestFit="1" customWidth="1"/>
    <col min="5384" max="5384" width="9.28515625" style="596" bestFit="1" customWidth="1"/>
    <col min="5385" max="5635" width="9.140625" style="596"/>
    <col min="5636" max="5636" width="12.42578125" style="596" bestFit="1" customWidth="1"/>
    <col min="5637" max="5637" width="14.5703125" style="596" bestFit="1" customWidth="1"/>
    <col min="5638" max="5638" width="15" style="596" bestFit="1" customWidth="1"/>
    <col min="5639" max="5639" width="14" style="596" bestFit="1" customWidth="1"/>
    <col min="5640" max="5640" width="9.28515625" style="596" bestFit="1" customWidth="1"/>
    <col min="5641" max="5891" width="9.140625" style="596"/>
    <col min="5892" max="5892" width="12.42578125" style="596" bestFit="1" customWidth="1"/>
    <col min="5893" max="5893" width="14.5703125" style="596" bestFit="1" customWidth="1"/>
    <col min="5894" max="5894" width="15" style="596" bestFit="1" customWidth="1"/>
    <col min="5895" max="5895" width="14" style="596" bestFit="1" customWidth="1"/>
    <col min="5896" max="5896" width="9.28515625" style="596" bestFit="1" customWidth="1"/>
    <col min="5897" max="6147" width="9.140625" style="596"/>
    <col min="6148" max="6148" width="12.42578125" style="596" bestFit="1" customWidth="1"/>
    <col min="6149" max="6149" width="14.5703125" style="596" bestFit="1" customWidth="1"/>
    <col min="6150" max="6150" width="15" style="596" bestFit="1" customWidth="1"/>
    <col min="6151" max="6151" width="14" style="596" bestFit="1" customWidth="1"/>
    <col min="6152" max="6152" width="9.28515625" style="596" bestFit="1" customWidth="1"/>
    <col min="6153" max="6403" width="9.140625" style="596"/>
    <col min="6404" max="6404" width="12.42578125" style="596" bestFit="1" customWidth="1"/>
    <col min="6405" max="6405" width="14.5703125" style="596" bestFit="1" customWidth="1"/>
    <col min="6406" max="6406" width="15" style="596" bestFit="1" customWidth="1"/>
    <col min="6407" max="6407" width="14" style="596" bestFit="1" customWidth="1"/>
    <col min="6408" max="6408" width="9.28515625" style="596" bestFit="1" customWidth="1"/>
    <col min="6409" max="6659" width="9.140625" style="596"/>
    <col min="6660" max="6660" width="12.42578125" style="596" bestFit="1" customWidth="1"/>
    <col min="6661" max="6661" width="14.5703125" style="596" bestFit="1" customWidth="1"/>
    <col min="6662" max="6662" width="15" style="596" bestFit="1" customWidth="1"/>
    <col min="6663" max="6663" width="14" style="596" bestFit="1" customWidth="1"/>
    <col min="6664" max="6664" width="9.28515625" style="596" bestFit="1" customWidth="1"/>
    <col min="6665" max="6915" width="9.140625" style="596"/>
    <col min="6916" max="6916" width="12.42578125" style="596" bestFit="1" customWidth="1"/>
    <col min="6917" max="6917" width="14.5703125" style="596" bestFit="1" customWidth="1"/>
    <col min="6918" max="6918" width="15" style="596" bestFit="1" customWidth="1"/>
    <col min="6919" max="6919" width="14" style="596" bestFit="1" customWidth="1"/>
    <col min="6920" max="6920" width="9.28515625" style="596" bestFit="1" customWidth="1"/>
    <col min="6921" max="7171" width="9.140625" style="596"/>
    <col min="7172" max="7172" width="12.42578125" style="596" bestFit="1" customWidth="1"/>
    <col min="7173" max="7173" width="14.5703125" style="596" bestFit="1" customWidth="1"/>
    <col min="7174" max="7174" width="15" style="596" bestFit="1" customWidth="1"/>
    <col min="7175" max="7175" width="14" style="596" bestFit="1" customWidth="1"/>
    <col min="7176" max="7176" width="9.28515625" style="596" bestFit="1" customWidth="1"/>
    <col min="7177" max="7427" width="9.140625" style="596"/>
    <col min="7428" max="7428" width="12.42578125" style="596" bestFit="1" customWidth="1"/>
    <col min="7429" max="7429" width="14.5703125" style="596" bestFit="1" customWidth="1"/>
    <col min="7430" max="7430" width="15" style="596" bestFit="1" customWidth="1"/>
    <col min="7431" max="7431" width="14" style="596" bestFit="1" customWidth="1"/>
    <col min="7432" max="7432" width="9.28515625" style="596" bestFit="1" customWidth="1"/>
    <col min="7433" max="7683" width="9.140625" style="596"/>
    <col min="7684" max="7684" width="12.42578125" style="596" bestFit="1" customWidth="1"/>
    <col min="7685" max="7685" width="14.5703125" style="596" bestFit="1" customWidth="1"/>
    <col min="7686" max="7686" width="15" style="596" bestFit="1" customWidth="1"/>
    <col min="7687" max="7687" width="14" style="596" bestFit="1" customWidth="1"/>
    <col min="7688" max="7688" width="9.28515625" style="596" bestFit="1" customWidth="1"/>
    <col min="7689" max="7939" width="9.140625" style="596"/>
    <col min="7940" max="7940" width="12.42578125" style="596" bestFit="1" customWidth="1"/>
    <col min="7941" max="7941" width="14.5703125" style="596" bestFit="1" customWidth="1"/>
    <col min="7942" max="7942" width="15" style="596" bestFit="1" customWidth="1"/>
    <col min="7943" max="7943" width="14" style="596" bestFit="1" customWidth="1"/>
    <col min="7944" max="7944" width="9.28515625" style="596" bestFit="1" customWidth="1"/>
    <col min="7945" max="8195" width="9.140625" style="596"/>
    <col min="8196" max="8196" width="12.42578125" style="596" bestFit="1" customWidth="1"/>
    <col min="8197" max="8197" width="14.5703125" style="596" bestFit="1" customWidth="1"/>
    <col min="8198" max="8198" width="15" style="596" bestFit="1" customWidth="1"/>
    <col min="8199" max="8199" width="14" style="596" bestFit="1" customWidth="1"/>
    <col min="8200" max="8200" width="9.28515625" style="596" bestFit="1" customWidth="1"/>
    <col min="8201" max="8451" width="9.140625" style="596"/>
    <col min="8452" max="8452" width="12.42578125" style="596" bestFit="1" customWidth="1"/>
    <col min="8453" max="8453" width="14.5703125" style="596" bestFit="1" customWidth="1"/>
    <col min="8454" max="8454" width="15" style="596" bestFit="1" customWidth="1"/>
    <col min="8455" max="8455" width="14" style="596" bestFit="1" customWidth="1"/>
    <col min="8456" max="8456" width="9.28515625" style="596" bestFit="1" customWidth="1"/>
    <col min="8457" max="8707" width="9.140625" style="596"/>
    <col min="8708" max="8708" width="12.42578125" style="596" bestFit="1" customWidth="1"/>
    <col min="8709" max="8709" width="14.5703125" style="596" bestFit="1" customWidth="1"/>
    <col min="8710" max="8710" width="15" style="596" bestFit="1" customWidth="1"/>
    <col min="8711" max="8711" width="14" style="596" bestFit="1" customWidth="1"/>
    <col min="8712" max="8712" width="9.28515625" style="596" bestFit="1" customWidth="1"/>
    <col min="8713" max="8963" width="9.140625" style="596"/>
    <col min="8964" max="8964" width="12.42578125" style="596" bestFit="1" customWidth="1"/>
    <col min="8965" max="8965" width="14.5703125" style="596" bestFit="1" customWidth="1"/>
    <col min="8966" max="8966" width="15" style="596" bestFit="1" customWidth="1"/>
    <col min="8967" max="8967" width="14" style="596" bestFit="1" customWidth="1"/>
    <col min="8968" max="8968" width="9.28515625" style="596" bestFit="1" customWidth="1"/>
    <col min="8969" max="9219" width="9.140625" style="596"/>
    <col min="9220" max="9220" width="12.42578125" style="596" bestFit="1" customWidth="1"/>
    <col min="9221" max="9221" width="14.5703125" style="596" bestFit="1" customWidth="1"/>
    <col min="9222" max="9222" width="15" style="596" bestFit="1" customWidth="1"/>
    <col min="9223" max="9223" width="14" style="596" bestFit="1" customWidth="1"/>
    <col min="9224" max="9224" width="9.28515625" style="596" bestFit="1" customWidth="1"/>
    <col min="9225" max="9475" width="9.140625" style="596"/>
    <col min="9476" max="9476" width="12.42578125" style="596" bestFit="1" customWidth="1"/>
    <col min="9477" max="9477" width="14.5703125" style="596" bestFit="1" customWidth="1"/>
    <col min="9478" max="9478" width="15" style="596" bestFit="1" customWidth="1"/>
    <col min="9479" max="9479" width="14" style="596" bestFit="1" customWidth="1"/>
    <col min="9480" max="9480" width="9.28515625" style="596" bestFit="1" customWidth="1"/>
    <col min="9481" max="9731" width="9.140625" style="596"/>
    <col min="9732" max="9732" width="12.42578125" style="596" bestFit="1" customWidth="1"/>
    <col min="9733" max="9733" width="14.5703125" style="596" bestFit="1" customWidth="1"/>
    <col min="9734" max="9734" width="15" style="596" bestFit="1" customWidth="1"/>
    <col min="9735" max="9735" width="14" style="596" bestFit="1" customWidth="1"/>
    <col min="9736" max="9736" width="9.28515625" style="596" bestFit="1" customWidth="1"/>
    <col min="9737" max="9987" width="9.140625" style="596"/>
    <col min="9988" max="9988" width="12.42578125" style="596" bestFit="1" customWidth="1"/>
    <col min="9989" max="9989" width="14.5703125" style="596" bestFit="1" customWidth="1"/>
    <col min="9990" max="9990" width="15" style="596" bestFit="1" customWidth="1"/>
    <col min="9991" max="9991" width="14" style="596" bestFit="1" customWidth="1"/>
    <col min="9992" max="9992" width="9.28515625" style="596" bestFit="1" customWidth="1"/>
    <col min="9993" max="10243" width="9.140625" style="596"/>
    <col min="10244" max="10244" width="12.42578125" style="596" bestFit="1" customWidth="1"/>
    <col min="10245" max="10245" width="14.5703125" style="596" bestFit="1" customWidth="1"/>
    <col min="10246" max="10246" width="15" style="596" bestFit="1" customWidth="1"/>
    <col min="10247" max="10247" width="14" style="596" bestFit="1" customWidth="1"/>
    <col min="10248" max="10248" width="9.28515625" style="596" bestFit="1" customWidth="1"/>
    <col min="10249" max="10499" width="9.140625" style="596"/>
    <col min="10500" max="10500" width="12.42578125" style="596" bestFit="1" customWidth="1"/>
    <col min="10501" max="10501" width="14.5703125" style="596" bestFit="1" customWidth="1"/>
    <col min="10502" max="10502" width="15" style="596" bestFit="1" customWidth="1"/>
    <col min="10503" max="10503" width="14" style="596" bestFit="1" customWidth="1"/>
    <col min="10504" max="10504" width="9.28515625" style="596" bestFit="1" customWidth="1"/>
    <col min="10505" max="10755" width="9.140625" style="596"/>
    <col min="10756" max="10756" width="12.42578125" style="596" bestFit="1" customWidth="1"/>
    <col min="10757" max="10757" width="14.5703125" style="596" bestFit="1" customWidth="1"/>
    <col min="10758" max="10758" width="15" style="596" bestFit="1" customWidth="1"/>
    <col min="10759" max="10759" width="14" style="596" bestFit="1" customWidth="1"/>
    <col min="10760" max="10760" width="9.28515625" style="596" bestFit="1" customWidth="1"/>
    <col min="10761" max="11011" width="9.140625" style="596"/>
    <col min="11012" max="11012" width="12.42578125" style="596" bestFit="1" customWidth="1"/>
    <col min="11013" max="11013" width="14.5703125" style="596" bestFit="1" customWidth="1"/>
    <col min="11014" max="11014" width="15" style="596" bestFit="1" customWidth="1"/>
    <col min="11015" max="11015" width="14" style="596" bestFit="1" customWidth="1"/>
    <col min="11016" max="11016" width="9.28515625" style="596" bestFit="1" customWidth="1"/>
    <col min="11017" max="11267" width="9.140625" style="596"/>
    <col min="11268" max="11268" width="12.42578125" style="596" bestFit="1" customWidth="1"/>
    <col min="11269" max="11269" width="14.5703125" style="596" bestFit="1" customWidth="1"/>
    <col min="11270" max="11270" width="15" style="596" bestFit="1" customWidth="1"/>
    <col min="11271" max="11271" width="14" style="596" bestFit="1" customWidth="1"/>
    <col min="11272" max="11272" width="9.28515625" style="596" bestFit="1" customWidth="1"/>
    <col min="11273" max="11523" width="9.140625" style="596"/>
    <col min="11524" max="11524" width="12.42578125" style="596" bestFit="1" customWidth="1"/>
    <col min="11525" max="11525" width="14.5703125" style="596" bestFit="1" customWidth="1"/>
    <col min="11526" max="11526" width="15" style="596" bestFit="1" customWidth="1"/>
    <col min="11527" max="11527" width="14" style="596" bestFit="1" customWidth="1"/>
    <col min="11528" max="11528" width="9.28515625" style="596" bestFit="1" customWidth="1"/>
    <col min="11529" max="11779" width="9.140625" style="596"/>
    <col min="11780" max="11780" width="12.42578125" style="596" bestFit="1" customWidth="1"/>
    <col min="11781" max="11781" width="14.5703125" style="596" bestFit="1" customWidth="1"/>
    <col min="11782" max="11782" width="15" style="596" bestFit="1" customWidth="1"/>
    <col min="11783" max="11783" width="14" style="596" bestFit="1" customWidth="1"/>
    <col min="11784" max="11784" width="9.28515625" style="596" bestFit="1" customWidth="1"/>
    <col min="11785" max="12035" width="9.140625" style="596"/>
    <col min="12036" max="12036" width="12.42578125" style="596" bestFit="1" customWidth="1"/>
    <col min="12037" max="12037" width="14.5703125" style="596" bestFit="1" customWidth="1"/>
    <col min="12038" max="12038" width="15" style="596" bestFit="1" customWidth="1"/>
    <col min="12039" max="12039" width="14" style="596" bestFit="1" customWidth="1"/>
    <col min="12040" max="12040" width="9.28515625" style="596" bestFit="1" customWidth="1"/>
    <col min="12041" max="12291" width="9.140625" style="596"/>
    <col min="12292" max="12292" width="12.42578125" style="596" bestFit="1" customWidth="1"/>
    <col min="12293" max="12293" width="14.5703125" style="596" bestFit="1" customWidth="1"/>
    <col min="12294" max="12294" width="15" style="596" bestFit="1" customWidth="1"/>
    <col min="12295" max="12295" width="14" style="596" bestFit="1" customWidth="1"/>
    <col min="12296" max="12296" width="9.28515625" style="596" bestFit="1" customWidth="1"/>
    <col min="12297" max="12547" width="9.140625" style="596"/>
    <col min="12548" max="12548" width="12.42578125" style="596" bestFit="1" customWidth="1"/>
    <col min="12549" max="12549" width="14.5703125" style="596" bestFit="1" customWidth="1"/>
    <col min="12550" max="12550" width="15" style="596" bestFit="1" customWidth="1"/>
    <col min="12551" max="12551" width="14" style="596" bestFit="1" customWidth="1"/>
    <col min="12552" max="12552" width="9.28515625" style="596" bestFit="1" customWidth="1"/>
    <col min="12553" max="12803" width="9.140625" style="596"/>
    <col min="12804" max="12804" width="12.42578125" style="596" bestFit="1" customWidth="1"/>
    <col min="12805" max="12805" width="14.5703125" style="596" bestFit="1" customWidth="1"/>
    <col min="12806" max="12806" width="15" style="596" bestFit="1" customWidth="1"/>
    <col min="12807" max="12807" width="14" style="596" bestFit="1" customWidth="1"/>
    <col min="12808" max="12808" width="9.28515625" style="596" bestFit="1" customWidth="1"/>
    <col min="12809" max="13059" width="9.140625" style="596"/>
    <col min="13060" max="13060" width="12.42578125" style="596" bestFit="1" customWidth="1"/>
    <col min="13061" max="13061" width="14.5703125" style="596" bestFit="1" customWidth="1"/>
    <col min="13062" max="13062" width="15" style="596" bestFit="1" customWidth="1"/>
    <col min="13063" max="13063" width="14" style="596" bestFit="1" customWidth="1"/>
    <col min="13064" max="13064" width="9.28515625" style="596" bestFit="1" customWidth="1"/>
    <col min="13065" max="13315" width="9.140625" style="596"/>
    <col min="13316" max="13316" width="12.42578125" style="596" bestFit="1" customWidth="1"/>
    <col min="13317" max="13317" width="14.5703125" style="596" bestFit="1" customWidth="1"/>
    <col min="13318" max="13318" width="15" style="596" bestFit="1" customWidth="1"/>
    <col min="13319" max="13319" width="14" style="596" bestFit="1" customWidth="1"/>
    <col min="13320" max="13320" width="9.28515625" style="596" bestFit="1" customWidth="1"/>
    <col min="13321" max="13571" width="9.140625" style="596"/>
    <col min="13572" max="13572" width="12.42578125" style="596" bestFit="1" customWidth="1"/>
    <col min="13573" max="13573" width="14.5703125" style="596" bestFit="1" customWidth="1"/>
    <col min="13574" max="13574" width="15" style="596" bestFit="1" customWidth="1"/>
    <col min="13575" max="13575" width="14" style="596" bestFit="1" customWidth="1"/>
    <col min="13576" max="13576" width="9.28515625" style="596" bestFit="1" customWidth="1"/>
    <col min="13577" max="13827" width="9.140625" style="596"/>
    <col min="13828" max="13828" width="12.42578125" style="596" bestFit="1" customWidth="1"/>
    <col min="13829" max="13829" width="14.5703125" style="596" bestFit="1" customWidth="1"/>
    <col min="13830" max="13830" width="15" style="596" bestFit="1" customWidth="1"/>
    <col min="13831" max="13831" width="14" style="596" bestFit="1" customWidth="1"/>
    <col min="13832" max="13832" width="9.28515625" style="596" bestFit="1" customWidth="1"/>
    <col min="13833" max="14083" width="9.140625" style="596"/>
    <col min="14084" max="14084" width="12.42578125" style="596" bestFit="1" customWidth="1"/>
    <col min="14085" max="14085" width="14.5703125" style="596" bestFit="1" customWidth="1"/>
    <col min="14086" max="14086" width="15" style="596" bestFit="1" customWidth="1"/>
    <col min="14087" max="14087" width="14" style="596" bestFit="1" customWidth="1"/>
    <col min="14088" max="14088" width="9.28515625" style="596" bestFit="1" customWidth="1"/>
    <col min="14089" max="14339" width="9.140625" style="596"/>
    <col min="14340" max="14340" width="12.42578125" style="596" bestFit="1" customWidth="1"/>
    <col min="14341" max="14341" width="14.5703125" style="596" bestFit="1" customWidth="1"/>
    <col min="14342" max="14342" width="15" style="596" bestFit="1" customWidth="1"/>
    <col min="14343" max="14343" width="14" style="596" bestFit="1" customWidth="1"/>
    <col min="14344" max="14344" width="9.28515625" style="596" bestFit="1" customWidth="1"/>
    <col min="14345" max="14595" width="9.140625" style="596"/>
    <col min="14596" max="14596" width="12.42578125" style="596" bestFit="1" customWidth="1"/>
    <col min="14597" max="14597" width="14.5703125" style="596" bestFit="1" customWidth="1"/>
    <col min="14598" max="14598" width="15" style="596" bestFit="1" customWidth="1"/>
    <col min="14599" max="14599" width="14" style="596" bestFit="1" customWidth="1"/>
    <col min="14600" max="14600" width="9.28515625" style="596" bestFit="1" customWidth="1"/>
    <col min="14601" max="14851" width="9.140625" style="596"/>
    <col min="14852" max="14852" width="12.42578125" style="596" bestFit="1" customWidth="1"/>
    <col min="14853" max="14853" width="14.5703125" style="596" bestFit="1" customWidth="1"/>
    <col min="14854" max="14854" width="15" style="596" bestFit="1" customWidth="1"/>
    <col min="14855" max="14855" width="14" style="596" bestFit="1" customWidth="1"/>
    <col min="14856" max="14856" width="9.28515625" style="596" bestFit="1" customWidth="1"/>
    <col min="14857" max="15107" width="9.140625" style="596"/>
    <col min="15108" max="15108" width="12.42578125" style="596" bestFit="1" customWidth="1"/>
    <col min="15109" max="15109" width="14.5703125" style="596" bestFit="1" customWidth="1"/>
    <col min="15110" max="15110" width="15" style="596" bestFit="1" customWidth="1"/>
    <col min="15111" max="15111" width="14" style="596" bestFit="1" customWidth="1"/>
    <col min="15112" max="15112" width="9.28515625" style="596" bestFit="1" customWidth="1"/>
    <col min="15113" max="15363" width="9.140625" style="596"/>
    <col min="15364" max="15364" width="12.42578125" style="596" bestFit="1" customWidth="1"/>
    <col min="15365" max="15365" width="14.5703125" style="596" bestFit="1" customWidth="1"/>
    <col min="15366" max="15366" width="15" style="596" bestFit="1" customWidth="1"/>
    <col min="15367" max="15367" width="14" style="596" bestFit="1" customWidth="1"/>
    <col min="15368" max="15368" width="9.28515625" style="596" bestFit="1" customWidth="1"/>
    <col min="15369" max="15619" width="9.140625" style="596"/>
    <col min="15620" max="15620" width="12.42578125" style="596" bestFit="1" customWidth="1"/>
    <col min="15621" max="15621" width="14.5703125" style="596" bestFit="1" customWidth="1"/>
    <col min="15622" max="15622" width="15" style="596" bestFit="1" customWidth="1"/>
    <col min="15623" max="15623" width="14" style="596" bestFit="1" customWidth="1"/>
    <col min="15624" max="15624" width="9.28515625" style="596" bestFit="1" customWidth="1"/>
    <col min="15625" max="15875" width="9.140625" style="596"/>
    <col min="15876" max="15876" width="12.42578125" style="596" bestFit="1" customWidth="1"/>
    <col min="15877" max="15877" width="14.5703125" style="596" bestFit="1" customWidth="1"/>
    <col min="15878" max="15878" width="15" style="596" bestFit="1" customWidth="1"/>
    <col min="15879" max="15879" width="14" style="596" bestFit="1" customWidth="1"/>
    <col min="15880" max="15880" width="9.28515625" style="596" bestFit="1" customWidth="1"/>
    <col min="15881" max="16131" width="9.140625" style="596"/>
    <col min="16132" max="16132" width="12.42578125" style="596" bestFit="1" customWidth="1"/>
    <col min="16133" max="16133" width="14.5703125" style="596" bestFit="1" customWidth="1"/>
    <col min="16134" max="16134" width="15" style="596" bestFit="1" customWidth="1"/>
    <col min="16135" max="16135" width="14" style="596" bestFit="1" customWidth="1"/>
    <col min="16136" max="16136" width="9.28515625" style="596" bestFit="1" customWidth="1"/>
    <col min="16137" max="16384" width="9.140625" style="596"/>
  </cols>
  <sheetData>
    <row r="1" spans="1:9" ht="18.75" thickBot="1">
      <c r="A1" s="840" t="s">
        <v>852</v>
      </c>
      <c r="B1" s="840" t="s">
        <v>853</v>
      </c>
      <c r="C1" s="841" t="s">
        <v>854</v>
      </c>
      <c r="D1" s="840" t="s">
        <v>855</v>
      </c>
      <c r="E1" s="840" t="s">
        <v>856</v>
      </c>
      <c r="F1" s="842" t="s">
        <v>857</v>
      </c>
      <c r="G1" s="842" t="s">
        <v>858</v>
      </c>
      <c r="H1" s="840" t="s">
        <v>859</v>
      </c>
    </row>
    <row r="2" spans="1:9" ht="23.25" thickTop="1">
      <c r="A2" s="871">
        <v>2567</v>
      </c>
      <c r="B2" s="872">
        <v>9</v>
      </c>
      <c r="C2" s="872">
        <v>1</v>
      </c>
      <c r="D2" s="1347">
        <v>1500400094</v>
      </c>
      <c r="E2" s="880" t="s">
        <v>378</v>
      </c>
      <c r="F2" s="881">
        <v>15492178.789999999</v>
      </c>
      <c r="G2" s="881">
        <v>15482839.789999999</v>
      </c>
      <c r="H2" s="881">
        <v>99.939717969134023</v>
      </c>
      <c r="I2" s="846">
        <v>22159269.890000001</v>
      </c>
    </row>
    <row r="3" spans="1:9" ht="22.5">
      <c r="A3" s="823">
        <v>2567</v>
      </c>
      <c r="B3" s="824">
        <v>9</v>
      </c>
      <c r="C3" s="824">
        <v>1</v>
      </c>
      <c r="D3" s="879">
        <v>1500400042</v>
      </c>
      <c r="E3" s="875" t="s">
        <v>549</v>
      </c>
      <c r="F3" s="876">
        <v>34064751.310000002</v>
      </c>
      <c r="G3" s="876">
        <v>33798158.969999999</v>
      </c>
      <c r="H3" s="876">
        <v>99.217395314077223</v>
      </c>
      <c r="I3" s="847">
        <v>30520176.920000002</v>
      </c>
    </row>
    <row r="4" spans="1:9" ht="22.5">
      <c r="A4" s="823">
        <v>2567</v>
      </c>
      <c r="B4" s="824">
        <v>9</v>
      </c>
      <c r="C4" s="824">
        <v>1</v>
      </c>
      <c r="D4" s="879">
        <v>1500400097</v>
      </c>
      <c r="E4" s="875" t="s">
        <v>584</v>
      </c>
      <c r="F4" s="876">
        <v>15899376.82</v>
      </c>
      <c r="G4" s="876">
        <v>15682240.85</v>
      </c>
      <c r="H4" s="876">
        <v>98.63431144215123</v>
      </c>
      <c r="I4" s="847">
        <v>13998341.66</v>
      </c>
    </row>
    <row r="5" spans="1:9" ht="22.5">
      <c r="A5" s="823">
        <v>2567</v>
      </c>
      <c r="B5" s="824">
        <v>9</v>
      </c>
      <c r="C5" s="824">
        <v>1</v>
      </c>
      <c r="D5" s="879">
        <v>1500400028</v>
      </c>
      <c r="E5" s="875" t="s">
        <v>541</v>
      </c>
      <c r="F5" s="876">
        <v>13187800.640000001</v>
      </c>
      <c r="G5" s="876">
        <v>12957199.09</v>
      </c>
      <c r="H5" s="876">
        <v>98.251402517410199</v>
      </c>
      <c r="I5" s="847">
        <v>13778681.130000001</v>
      </c>
    </row>
    <row r="6" spans="1:9" ht="22.5">
      <c r="A6" s="823">
        <v>2567</v>
      </c>
      <c r="B6" s="824">
        <v>9</v>
      </c>
      <c r="C6" s="824">
        <v>1</v>
      </c>
      <c r="D6" s="879">
        <v>1500400059</v>
      </c>
      <c r="E6" s="875" t="s">
        <v>561</v>
      </c>
      <c r="F6" s="876">
        <v>11761027.449999999</v>
      </c>
      <c r="G6" s="876">
        <v>11554308.789999999</v>
      </c>
      <c r="H6" s="876">
        <v>98.242341828731981</v>
      </c>
      <c r="I6" s="847">
        <v>16324991.939999999</v>
      </c>
    </row>
    <row r="7" spans="1:9" ht="22.5">
      <c r="A7" s="823">
        <v>2567</v>
      </c>
      <c r="B7" s="824">
        <v>9</v>
      </c>
      <c r="C7" s="824">
        <v>1</v>
      </c>
      <c r="D7" s="879">
        <v>1500400124</v>
      </c>
      <c r="E7" s="875" t="s">
        <v>586</v>
      </c>
      <c r="F7" s="876">
        <v>19126134.870000001</v>
      </c>
      <c r="G7" s="876">
        <v>18673138.369999997</v>
      </c>
      <c r="H7" s="876">
        <v>97.631531393671466</v>
      </c>
      <c r="I7" s="847">
        <v>17021630.600000001</v>
      </c>
    </row>
    <row r="8" spans="1:9" ht="22.5">
      <c r="A8" s="823">
        <v>2567</v>
      </c>
      <c r="B8" s="824">
        <v>9</v>
      </c>
      <c r="C8" s="824">
        <v>1</v>
      </c>
      <c r="D8" s="879">
        <v>1500400045</v>
      </c>
      <c r="E8" s="875" t="s">
        <v>789</v>
      </c>
      <c r="F8" s="876">
        <v>37237958.600000001</v>
      </c>
      <c r="G8" s="876">
        <v>36338848.420000002</v>
      </c>
      <c r="H8" s="876">
        <v>97.585500887258618</v>
      </c>
      <c r="I8" s="847">
        <v>21091916.5</v>
      </c>
    </row>
    <row r="9" spans="1:9" ht="22.5">
      <c r="A9" s="823">
        <v>2567</v>
      </c>
      <c r="B9" s="824">
        <v>9</v>
      </c>
      <c r="C9" s="824">
        <v>1</v>
      </c>
      <c r="D9" s="879">
        <v>1500400090</v>
      </c>
      <c r="E9" s="875" t="s">
        <v>579</v>
      </c>
      <c r="F9" s="876">
        <v>9230532.6799999997</v>
      </c>
      <c r="G9" s="876">
        <v>8998347.6799999997</v>
      </c>
      <c r="H9" s="876">
        <v>97.484598039470896</v>
      </c>
      <c r="I9" s="847">
        <v>14979271.779999999</v>
      </c>
    </row>
    <row r="10" spans="1:9" ht="22.5">
      <c r="A10" s="823">
        <v>2567</v>
      </c>
      <c r="B10" s="824">
        <v>9</v>
      </c>
      <c r="C10" s="824">
        <v>1</v>
      </c>
      <c r="D10" s="879">
        <v>1500400052</v>
      </c>
      <c r="E10" s="875" t="s">
        <v>555</v>
      </c>
      <c r="F10" s="876">
        <v>23279209.91</v>
      </c>
      <c r="G10" s="876">
        <v>22670336.780000001</v>
      </c>
      <c r="H10" s="876">
        <v>97.384476825657018</v>
      </c>
      <c r="I10" s="847">
        <v>12571669.439999999</v>
      </c>
    </row>
    <row r="11" spans="1:9" ht="22.5">
      <c r="A11" s="823">
        <v>2567</v>
      </c>
      <c r="B11" s="824">
        <v>9</v>
      </c>
      <c r="C11" s="824">
        <v>1</v>
      </c>
      <c r="D11" s="879">
        <v>1500400064</v>
      </c>
      <c r="E11" s="875" t="s">
        <v>795</v>
      </c>
      <c r="F11" s="876">
        <v>12831953.130000001</v>
      </c>
      <c r="G11" s="876">
        <v>12488462.83</v>
      </c>
      <c r="H11" s="876">
        <v>97.323164318633999</v>
      </c>
      <c r="I11" s="847">
        <v>36857081.280000001</v>
      </c>
    </row>
    <row r="12" spans="1:9" ht="22.5">
      <c r="A12" s="823">
        <v>2567</v>
      </c>
      <c r="B12" s="824">
        <v>9</v>
      </c>
      <c r="C12" s="824">
        <v>1</v>
      </c>
      <c r="D12" s="879">
        <v>1500400062</v>
      </c>
      <c r="E12" s="875" t="s">
        <v>358</v>
      </c>
      <c r="F12" s="876">
        <v>18480353.82</v>
      </c>
      <c r="G12" s="876">
        <v>17974755.5</v>
      </c>
      <c r="H12" s="876">
        <v>97.26413073621552</v>
      </c>
      <c r="I12" s="847">
        <v>22844110.879999999</v>
      </c>
    </row>
    <row r="13" spans="1:9" ht="22.5">
      <c r="A13" s="823">
        <v>2567</v>
      </c>
      <c r="B13" s="824">
        <v>9</v>
      </c>
      <c r="C13" s="824">
        <v>1</v>
      </c>
      <c r="D13" s="879">
        <v>1500400093</v>
      </c>
      <c r="E13" s="875" t="s">
        <v>582</v>
      </c>
      <c r="F13" s="876">
        <v>11748337.07</v>
      </c>
      <c r="G13" s="876">
        <v>11426578.48</v>
      </c>
      <c r="H13" s="876">
        <v>97.26124141584576</v>
      </c>
      <c r="I13" s="847">
        <v>15467631.449999999</v>
      </c>
    </row>
    <row r="14" spans="1:9" ht="22.5">
      <c r="A14" s="823">
        <v>2567</v>
      </c>
      <c r="B14" s="824">
        <v>9</v>
      </c>
      <c r="C14" s="824">
        <v>1</v>
      </c>
      <c r="D14" s="879">
        <v>1500400031</v>
      </c>
      <c r="E14" s="875" t="s">
        <v>542</v>
      </c>
      <c r="F14" s="876">
        <v>11743974.689999999</v>
      </c>
      <c r="G14" s="876">
        <v>11420585.16</v>
      </c>
      <c r="H14" s="876">
        <v>97.246336623363419</v>
      </c>
      <c r="I14" s="847">
        <v>30970131.960000001</v>
      </c>
    </row>
    <row r="15" spans="1:9" ht="22.5">
      <c r="A15" s="823">
        <v>2567</v>
      </c>
      <c r="B15" s="824">
        <v>9</v>
      </c>
      <c r="C15" s="824">
        <v>1</v>
      </c>
      <c r="D15" s="879">
        <v>1500400040</v>
      </c>
      <c r="E15" s="875" t="s">
        <v>547</v>
      </c>
      <c r="F15" s="876">
        <v>13993154.869999999</v>
      </c>
      <c r="G15" s="876">
        <v>13601882.42</v>
      </c>
      <c r="H15" s="876">
        <v>97.203829632166432</v>
      </c>
      <c r="I15" s="847">
        <v>24848460.25</v>
      </c>
    </row>
    <row r="16" spans="1:9" ht="22.5">
      <c r="A16" s="823">
        <v>2567</v>
      </c>
      <c r="B16" s="824">
        <v>9</v>
      </c>
      <c r="C16" s="824">
        <v>1</v>
      </c>
      <c r="D16" s="879">
        <v>1500400063</v>
      </c>
      <c r="E16" s="875" t="s">
        <v>562</v>
      </c>
      <c r="F16" s="876">
        <v>13472305.869999999</v>
      </c>
      <c r="G16" s="876">
        <v>13095194.74</v>
      </c>
      <c r="H16" s="876">
        <v>97.200841981774275</v>
      </c>
      <c r="I16" s="847">
        <v>14781586.550000001</v>
      </c>
    </row>
    <row r="17" spans="1:9" ht="22.5">
      <c r="A17" s="823">
        <v>2567</v>
      </c>
      <c r="B17" s="824">
        <v>9</v>
      </c>
      <c r="C17" s="824">
        <v>1</v>
      </c>
      <c r="D17" s="879">
        <v>1500400096</v>
      </c>
      <c r="E17" s="875" t="s">
        <v>802</v>
      </c>
      <c r="F17" s="876">
        <v>19817025.98</v>
      </c>
      <c r="G17" s="876">
        <v>19231539.760000002</v>
      </c>
      <c r="H17" s="876">
        <v>97.045539423569963</v>
      </c>
      <c r="I17" s="847">
        <v>13455727.539999999</v>
      </c>
    </row>
    <row r="18" spans="1:9" ht="22.5">
      <c r="A18" s="823">
        <v>2567</v>
      </c>
      <c r="B18" s="824">
        <v>9</v>
      </c>
      <c r="C18" s="824">
        <v>1</v>
      </c>
      <c r="D18" s="879">
        <v>1500400047</v>
      </c>
      <c r="E18" s="875" t="s">
        <v>790</v>
      </c>
      <c r="F18" s="876">
        <v>26635742.829999998</v>
      </c>
      <c r="G18" s="876">
        <v>25843300.789999999</v>
      </c>
      <c r="H18" s="876">
        <v>97.024892284560323</v>
      </c>
      <c r="I18" s="847">
        <v>33051714.219999999</v>
      </c>
    </row>
    <row r="19" spans="1:9" ht="22.5">
      <c r="A19" s="823">
        <v>2567</v>
      </c>
      <c r="B19" s="824">
        <v>9</v>
      </c>
      <c r="C19" s="824">
        <v>1</v>
      </c>
      <c r="D19" s="879">
        <v>1500400057</v>
      </c>
      <c r="E19" s="875" t="s">
        <v>560</v>
      </c>
      <c r="F19" s="876">
        <v>34233293.759999998</v>
      </c>
      <c r="G19" s="876">
        <v>33193963.960000001</v>
      </c>
      <c r="H19" s="876">
        <v>96.96397954784473</v>
      </c>
      <c r="I19" s="847">
        <v>35466867.810000002</v>
      </c>
    </row>
    <row r="20" spans="1:9" ht="22.5">
      <c r="A20" s="823">
        <v>2567</v>
      </c>
      <c r="B20" s="824">
        <v>9</v>
      </c>
      <c r="C20" s="824">
        <v>1</v>
      </c>
      <c r="D20" s="879">
        <v>1500400076</v>
      </c>
      <c r="E20" s="875" t="s">
        <v>573</v>
      </c>
      <c r="F20" s="876">
        <v>20255140.079999998</v>
      </c>
      <c r="G20" s="876">
        <v>19628822.25</v>
      </c>
      <c r="H20" s="876">
        <v>96.907857326454987</v>
      </c>
      <c r="I20" s="847">
        <v>25087608.5</v>
      </c>
    </row>
    <row r="21" spans="1:9" ht="22.5">
      <c r="A21" s="823">
        <v>2567</v>
      </c>
      <c r="B21" s="824">
        <v>9</v>
      </c>
      <c r="C21" s="824">
        <v>1</v>
      </c>
      <c r="D21" s="879">
        <v>1500400024</v>
      </c>
      <c r="E21" s="875" t="s">
        <v>540</v>
      </c>
      <c r="F21" s="876">
        <v>14405539.220000001</v>
      </c>
      <c r="G21" s="876">
        <v>13957525.26</v>
      </c>
      <c r="H21" s="876">
        <v>96.889988266610672</v>
      </c>
      <c r="I21" s="847">
        <v>13789613.619999999</v>
      </c>
    </row>
    <row r="22" spans="1:9" ht="22.5">
      <c r="A22" s="823">
        <v>2567</v>
      </c>
      <c r="B22" s="824">
        <v>9</v>
      </c>
      <c r="C22" s="824">
        <v>1</v>
      </c>
      <c r="D22" s="879">
        <v>1500400070</v>
      </c>
      <c r="E22" s="875" t="s">
        <v>567</v>
      </c>
      <c r="F22" s="876">
        <v>12353095.050000001</v>
      </c>
      <c r="G22" s="876">
        <v>11951488.98</v>
      </c>
      <c r="H22" s="876">
        <v>96.748943739407238</v>
      </c>
      <c r="I22" s="847">
        <v>13119280.869999999</v>
      </c>
    </row>
    <row r="23" spans="1:9" ht="22.5">
      <c r="A23" s="823">
        <v>2567</v>
      </c>
      <c r="B23" s="824">
        <v>9</v>
      </c>
      <c r="C23" s="824">
        <v>1</v>
      </c>
      <c r="D23" s="879">
        <v>1500400082</v>
      </c>
      <c r="E23" s="875" t="s">
        <v>575</v>
      </c>
      <c r="F23" s="876">
        <v>7011892.04</v>
      </c>
      <c r="G23" s="876">
        <v>6776387.1699999999</v>
      </c>
      <c r="H23" s="876">
        <v>96.641350599003232</v>
      </c>
      <c r="I23" s="847">
        <v>14619414.24</v>
      </c>
    </row>
    <row r="24" spans="1:9" ht="22.5">
      <c r="A24" s="823">
        <v>2567</v>
      </c>
      <c r="B24" s="824">
        <v>9</v>
      </c>
      <c r="C24" s="824">
        <v>1</v>
      </c>
      <c r="D24" s="879">
        <v>1500400049</v>
      </c>
      <c r="E24" s="875" t="s">
        <v>791</v>
      </c>
      <c r="F24" s="876">
        <v>14767463.130000001</v>
      </c>
      <c r="G24" s="876">
        <v>14270002.33</v>
      </c>
      <c r="H24" s="876">
        <v>96.631372662854915</v>
      </c>
      <c r="I24" s="847">
        <v>14811940.949999999</v>
      </c>
    </row>
    <row r="25" spans="1:9" ht="22.5">
      <c r="A25" s="823">
        <v>2567</v>
      </c>
      <c r="B25" s="824">
        <v>9</v>
      </c>
      <c r="C25" s="824">
        <v>1</v>
      </c>
      <c r="D25" s="879">
        <v>1500400073</v>
      </c>
      <c r="E25" s="875" t="s">
        <v>570</v>
      </c>
      <c r="F25" s="876">
        <v>14261348.449999999</v>
      </c>
      <c r="G25" s="876">
        <v>13777904.949999999</v>
      </c>
      <c r="H25" s="876">
        <v>96.610113681080406</v>
      </c>
      <c r="I25" s="847">
        <v>8648748.6099999994</v>
      </c>
    </row>
    <row r="26" spans="1:9" ht="22.5">
      <c r="A26" s="823">
        <v>2567</v>
      </c>
      <c r="B26" s="824">
        <v>9</v>
      </c>
      <c r="C26" s="824">
        <v>1</v>
      </c>
      <c r="D26" s="879">
        <v>1500400077</v>
      </c>
      <c r="E26" s="875" t="s">
        <v>796</v>
      </c>
      <c r="F26" s="876">
        <v>14664569.970000001</v>
      </c>
      <c r="G26" s="876">
        <v>14166705.719999999</v>
      </c>
      <c r="H26" s="876">
        <v>96.604985683054423</v>
      </c>
      <c r="I26" s="847">
        <v>29535899.18</v>
      </c>
    </row>
    <row r="27" spans="1:9" ht="22.5">
      <c r="A27" s="823">
        <v>2567</v>
      </c>
      <c r="B27" s="824">
        <v>9</v>
      </c>
      <c r="C27" s="824">
        <v>1</v>
      </c>
      <c r="D27" s="879">
        <v>1500400048</v>
      </c>
      <c r="E27" s="875" t="s">
        <v>553</v>
      </c>
      <c r="F27" s="876">
        <v>12973830.08</v>
      </c>
      <c r="G27" s="876">
        <v>12531215.66</v>
      </c>
      <c r="H27" s="876">
        <v>96.588405911972615</v>
      </c>
      <c r="I27" s="847">
        <v>10649959.17</v>
      </c>
    </row>
    <row r="28" spans="1:9" ht="22.5">
      <c r="A28" s="823">
        <v>2567</v>
      </c>
      <c r="B28" s="824">
        <v>9</v>
      </c>
      <c r="C28" s="824">
        <v>1</v>
      </c>
      <c r="D28" s="879">
        <v>1500400044</v>
      </c>
      <c r="E28" s="875" t="s">
        <v>551</v>
      </c>
      <c r="F28" s="876">
        <v>36565484.640000001</v>
      </c>
      <c r="G28" s="876">
        <v>35311972.689999998</v>
      </c>
      <c r="H28" s="876">
        <v>96.571871090069592</v>
      </c>
      <c r="I28" s="847">
        <v>19864758.530000001</v>
      </c>
    </row>
    <row r="29" spans="1:9" ht="22.5">
      <c r="A29" s="823">
        <v>2567</v>
      </c>
      <c r="B29" s="824">
        <v>9</v>
      </c>
      <c r="C29" s="824">
        <v>1</v>
      </c>
      <c r="D29" s="879">
        <v>1500400086</v>
      </c>
      <c r="E29" s="875" t="s">
        <v>800</v>
      </c>
      <c r="F29" s="876">
        <v>13070325.449999999</v>
      </c>
      <c r="G29" s="876">
        <v>12611873.1</v>
      </c>
      <c r="H29" s="876">
        <v>96.492418251146148</v>
      </c>
      <c r="I29" s="847">
        <v>42752348.880000003</v>
      </c>
    </row>
    <row r="30" spans="1:9" ht="22.5">
      <c r="A30" s="823">
        <v>2567</v>
      </c>
      <c r="B30" s="824">
        <v>9</v>
      </c>
      <c r="C30" s="824">
        <v>1</v>
      </c>
      <c r="D30" s="879">
        <v>1500400066</v>
      </c>
      <c r="E30" s="875" t="s">
        <v>564</v>
      </c>
      <c r="F30" s="876">
        <v>14440014.869999999</v>
      </c>
      <c r="G30" s="876">
        <v>13930751.02</v>
      </c>
      <c r="H30" s="876">
        <v>96.473245667786486</v>
      </c>
      <c r="I30" s="847">
        <v>7899362.5999999996</v>
      </c>
    </row>
    <row r="31" spans="1:9" ht="22.5">
      <c r="A31" s="823">
        <v>2567</v>
      </c>
      <c r="B31" s="824">
        <v>9</v>
      </c>
      <c r="C31" s="824">
        <v>1</v>
      </c>
      <c r="D31" s="879">
        <v>1500400056</v>
      </c>
      <c r="E31" s="875" t="s">
        <v>559</v>
      </c>
      <c r="F31" s="876">
        <v>25157145.690000001</v>
      </c>
      <c r="G31" s="876">
        <v>24257289.690000001</v>
      </c>
      <c r="H31" s="876">
        <v>96.42306002799954</v>
      </c>
      <c r="I31" s="847">
        <v>55759434.07</v>
      </c>
    </row>
    <row r="32" spans="1:9" ht="22.5">
      <c r="A32" s="823">
        <v>2567</v>
      </c>
      <c r="B32" s="824">
        <v>9</v>
      </c>
      <c r="C32" s="824">
        <v>1</v>
      </c>
      <c r="D32" s="879">
        <v>1500400029</v>
      </c>
      <c r="E32" s="875" t="s">
        <v>783</v>
      </c>
      <c r="F32" s="876">
        <v>17565020.5</v>
      </c>
      <c r="G32" s="876">
        <v>16926324.27</v>
      </c>
      <c r="H32" s="876">
        <v>96.363817337987172</v>
      </c>
      <c r="I32" s="847">
        <v>13087153.289999999</v>
      </c>
    </row>
    <row r="33" spans="1:9" ht="22.5">
      <c r="A33" s="823">
        <v>2567</v>
      </c>
      <c r="B33" s="824">
        <v>9</v>
      </c>
      <c r="C33" s="824">
        <v>1</v>
      </c>
      <c r="D33" s="879">
        <v>1500400054</v>
      </c>
      <c r="E33" s="875" t="s">
        <v>557</v>
      </c>
      <c r="F33" s="876">
        <v>24734479.16</v>
      </c>
      <c r="G33" s="876">
        <v>23821488.170000002</v>
      </c>
      <c r="H33" s="876">
        <v>96.308832767028846</v>
      </c>
      <c r="I33" s="847">
        <v>9467843.3100000005</v>
      </c>
    </row>
    <row r="34" spans="1:9" ht="22.5">
      <c r="A34" s="823">
        <v>2567</v>
      </c>
      <c r="B34" s="824">
        <v>9</v>
      </c>
      <c r="C34" s="824">
        <v>1</v>
      </c>
      <c r="D34" s="879">
        <v>1500400067</v>
      </c>
      <c r="E34" s="875" t="s">
        <v>565</v>
      </c>
      <c r="F34" s="876">
        <v>31231476.969999999</v>
      </c>
      <c r="G34" s="876">
        <v>30078257.609999999</v>
      </c>
      <c r="H34" s="876">
        <v>96.307509372330529</v>
      </c>
      <c r="I34" s="847">
        <v>18014137.710000001</v>
      </c>
    </row>
    <row r="35" spans="1:9" ht="22.5">
      <c r="A35" s="823">
        <v>2567</v>
      </c>
      <c r="B35" s="824">
        <v>9</v>
      </c>
      <c r="C35" s="824">
        <v>1</v>
      </c>
      <c r="D35" s="879">
        <v>1500400043</v>
      </c>
      <c r="E35" s="875" t="s">
        <v>550</v>
      </c>
      <c r="F35" s="876">
        <v>28328537.34</v>
      </c>
      <c r="G35" s="876">
        <v>27229949.75</v>
      </c>
      <c r="H35" s="876">
        <v>96.12197560073534</v>
      </c>
      <c r="I35" s="847">
        <v>13760899.869999999</v>
      </c>
    </row>
    <row r="36" spans="1:9" ht="22.5">
      <c r="A36" s="823">
        <v>2567</v>
      </c>
      <c r="B36" s="824">
        <v>9</v>
      </c>
      <c r="C36" s="824">
        <v>1</v>
      </c>
      <c r="D36" s="879">
        <v>1500400079</v>
      </c>
      <c r="E36" s="875" t="s">
        <v>798</v>
      </c>
      <c r="F36" s="876">
        <v>17793573.690000001</v>
      </c>
      <c r="G36" s="876">
        <v>17073638.509999998</v>
      </c>
      <c r="H36" s="876">
        <v>95.953959600568567</v>
      </c>
      <c r="I36" s="847">
        <v>23423383.719999999</v>
      </c>
    </row>
    <row r="37" spans="1:9" ht="22.5">
      <c r="A37" s="823">
        <v>2567</v>
      </c>
      <c r="B37" s="824">
        <v>9</v>
      </c>
      <c r="C37" s="824">
        <v>1</v>
      </c>
      <c r="D37" s="879">
        <v>1500400026</v>
      </c>
      <c r="E37" s="875" t="s">
        <v>782</v>
      </c>
      <c r="F37" s="876">
        <v>12830437.449999999</v>
      </c>
      <c r="G37" s="876">
        <v>12310041.91</v>
      </c>
      <c r="H37" s="876">
        <v>95.944054580929361</v>
      </c>
      <c r="I37" s="847">
        <v>14694942.77</v>
      </c>
    </row>
    <row r="38" spans="1:9" ht="22.5">
      <c r="A38" s="823">
        <v>2567</v>
      </c>
      <c r="B38" s="824">
        <v>9</v>
      </c>
      <c r="C38" s="824">
        <v>1</v>
      </c>
      <c r="D38" s="879">
        <v>1500400091</v>
      </c>
      <c r="E38" s="875" t="s">
        <v>580</v>
      </c>
      <c r="F38" s="876">
        <v>12590083.82</v>
      </c>
      <c r="G38" s="876">
        <v>12067160.859999999</v>
      </c>
      <c r="H38" s="876">
        <v>95.846549018448073</v>
      </c>
      <c r="I38" s="847">
        <v>13565471.300000001</v>
      </c>
    </row>
    <row r="39" spans="1:9" ht="22.5">
      <c r="A39" s="823">
        <v>2567</v>
      </c>
      <c r="B39" s="824">
        <v>9</v>
      </c>
      <c r="C39" s="824">
        <v>1</v>
      </c>
      <c r="D39" s="879">
        <v>1500400069</v>
      </c>
      <c r="E39" s="875" t="s">
        <v>566</v>
      </c>
      <c r="F39" s="876">
        <v>22793703.129999999</v>
      </c>
      <c r="G39" s="876">
        <v>21823512.559999999</v>
      </c>
      <c r="H39" s="876">
        <v>95.743602676288788</v>
      </c>
      <c r="I39" s="847">
        <v>12193880.91</v>
      </c>
    </row>
    <row r="40" spans="1:9" ht="22.5">
      <c r="A40" s="823">
        <v>2567</v>
      </c>
      <c r="B40" s="824">
        <v>9</v>
      </c>
      <c r="C40" s="824">
        <v>1</v>
      </c>
      <c r="D40" s="879">
        <v>1500400058</v>
      </c>
      <c r="E40" s="875" t="s">
        <v>793</v>
      </c>
      <c r="F40" s="876">
        <v>21333914.57</v>
      </c>
      <c r="G40" s="876">
        <v>20423800.739999998</v>
      </c>
      <c r="H40" s="876">
        <v>95.73395765219847</v>
      </c>
      <c r="I40" s="847">
        <v>13417926.039999999</v>
      </c>
    </row>
    <row r="41" spans="1:9" ht="22.5">
      <c r="A41" s="823">
        <v>2567</v>
      </c>
      <c r="B41" s="824">
        <v>9</v>
      </c>
      <c r="C41" s="824">
        <v>1</v>
      </c>
      <c r="D41" s="879">
        <v>1500400035</v>
      </c>
      <c r="E41" s="875" t="s">
        <v>787</v>
      </c>
      <c r="F41" s="876">
        <v>14361094.289999999</v>
      </c>
      <c r="G41" s="876">
        <v>13716495.91</v>
      </c>
      <c r="H41" s="876">
        <v>95.511495384799133</v>
      </c>
      <c r="I41" s="847">
        <v>19222432.34</v>
      </c>
    </row>
    <row r="42" spans="1:9" ht="22.5">
      <c r="A42" s="823">
        <v>2567</v>
      </c>
      <c r="B42" s="824">
        <v>9</v>
      </c>
      <c r="C42" s="824">
        <v>1</v>
      </c>
      <c r="D42" s="879">
        <v>1500400034</v>
      </c>
      <c r="E42" s="875" t="s">
        <v>543</v>
      </c>
      <c r="F42" s="876">
        <v>12878653.68</v>
      </c>
      <c r="G42" s="876">
        <v>12297768.130000001</v>
      </c>
      <c r="H42" s="876">
        <v>95.489547553389926</v>
      </c>
      <c r="I42" s="847">
        <v>36884603.079999998</v>
      </c>
    </row>
    <row r="43" spans="1:9" ht="22.5">
      <c r="A43" s="823">
        <v>2567</v>
      </c>
      <c r="B43" s="824">
        <v>9</v>
      </c>
      <c r="C43" s="824">
        <v>1</v>
      </c>
      <c r="D43" s="879">
        <v>1500400030</v>
      </c>
      <c r="E43" s="875" t="s">
        <v>784</v>
      </c>
      <c r="F43" s="876">
        <v>9806277.5199999996</v>
      </c>
      <c r="G43" s="876">
        <v>9353009.0399999991</v>
      </c>
      <c r="H43" s="876">
        <v>95.377772257866908</v>
      </c>
      <c r="I43" s="847">
        <v>23609428.629999999</v>
      </c>
    </row>
    <row r="44" spans="1:9" ht="22.5">
      <c r="A44" s="823">
        <v>2567</v>
      </c>
      <c r="B44" s="824">
        <v>9</v>
      </c>
      <c r="C44" s="824">
        <v>1</v>
      </c>
      <c r="D44" s="879">
        <v>1500400055</v>
      </c>
      <c r="E44" s="875" t="s">
        <v>558</v>
      </c>
      <c r="F44" s="876">
        <v>34174235.039999999</v>
      </c>
      <c r="G44" s="876">
        <v>32587816.510000002</v>
      </c>
      <c r="H44" s="876">
        <v>95.357852112437513</v>
      </c>
      <c r="I44" s="847">
        <v>25337684.670000002</v>
      </c>
    </row>
    <row r="45" spans="1:9" ht="22.5">
      <c r="A45" s="823">
        <v>2567</v>
      </c>
      <c r="B45" s="824">
        <v>9</v>
      </c>
      <c r="C45" s="824">
        <v>1</v>
      </c>
      <c r="D45" s="879">
        <v>1500400085</v>
      </c>
      <c r="E45" s="877" t="s">
        <v>576</v>
      </c>
      <c r="F45" s="876">
        <v>34036070.810000002</v>
      </c>
      <c r="G45" s="876">
        <v>32427495.52</v>
      </c>
      <c r="H45" s="876">
        <v>95.273910143801345</v>
      </c>
      <c r="I45" s="847">
        <v>13676899.449999999</v>
      </c>
    </row>
    <row r="46" spans="1:9" ht="22.5">
      <c r="A46" s="823">
        <v>2567</v>
      </c>
      <c r="B46" s="824">
        <v>9</v>
      </c>
      <c r="C46" s="824">
        <v>1</v>
      </c>
      <c r="D46" s="879">
        <v>1500400027</v>
      </c>
      <c r="E46" s="875" t="s">
        <v>339</v>
      </c>
      <c r="F46" s="876">
        <v>23208398.760000002</v>
      </c>
      <c r="G46" s="876">
        <v>22078666.399999999</v>
      </c>
      <c r="H46" s="876">
        <v>95.132226175176243</v>
      </c>
      <c r="I46" s="847">
        <v>18832978.18</v>
      </c>
    </row>
    <row r="47" spans="1:9" ht="22.5">
      <c r="A47" s="823">
        <v>2567</v>
      </c>
      <c r="B47" s="824">
        <v>9</v>
      </c>
      <c r="C47" s="824">
        <v>1</v>
      </c>
      <c r="D47" s="879">
        <v>1500400046</v>
      </c>
      <c r="E47" s="875" t="s">
        <v>552</v>
      </c>
      <c r="F47" s="876">
        <v>18544447.379999999</v>
      </c>
      <c r="G47" s="876">
        <v>17628375.25</v>
      </c>
      <c r="H47" s="876">
        <v>95.060127103124287</v>
      </c>
      <c r="I47" s="847">
        <v>34593408.240000002</v>
      </c>
    </row>
    <row r="48" spans="1:9" ht="22.5">
      <c r="A48" s="823">
        <v>2567</v>
      </c>
      <c r="B48" s="824">
        <v>9</v>
      </c>
      <c r="C48" s="824">
        <v>1</v>
      </c>
      <c r="D48" s="879">
        <v>1500400053</v>
      </c>
      <c r="E48" s="875" t="s">
        <v>556</v>
      </c>
      <c r="F48" s="876">
        <v>15522587.66</v>
      </c>
      <c r="G48" s="876">
        <v>14749441.789999999</v>
      </c>
      <c r="H48" s="876">
        <v>95.01922046159666</v>
      </c>
      <c r="I48" s="847">
        <v>14315957.210000001</v>
      </c>
    </row>
    <row r="49" spans="1:9" ht="22.5">
      <c r="A49" s="823">
        <v>2567</v>
      </c>
      <c r="B49" s="824">
        <v>9</v>
      </c>
      <c r="C49" s="824">
        <v>1</v>
      </c>
      <c r="D49" s="879">
        <v>1500400075</v>
      </c>
      <c r="E49" s="875" t="s">
        <v>572</v>
      </c>
      <c r="F49" s="876">
        <v>16427362.34</v>
      </c>
      <c r="G49" s="876">
        <v>15589442.529999999</v>
      </c>
      <c r="H49" s="876">
        <v>94.899243148976524</v>
      </c>
      <c r="I49" s="847">
        <v>19622733.57</v>
      </c>
    </row>
    <row r="50" spans="1:9" ht="22.5">
      <c r="A50" s="823">
        <v>2567</v>
      </c>
      <c r="B50" s="824">
        <v>9</v>
      </c>
      <c r="C50" s="824">
        <v>1</v>
      </c>
      <c r="D50" s="879">
        <v>1500400071</v>
      </c>
      <c r="E50" s="875" t="s">
        <v>568</v>
      </c>
      <c r="F50" s="876">
        <v>17200714.109999999</v>
      </c>
      <c r="G50" s="876">
        <v>16295643.699999999</v>
      </c>
      <c r="H50" s="876">
        <v>94.738181192873739</v>
      </c>
      <c r="I50" s="847">
        <v>41913254.469999999</v>
      </c>
    </row>
    <row r="51" spans="1:9" ht="22.5">
      <c r="A51" s="823">
        <v>2567</v>
      </c>
      <c r="B51" s="824">
        <v>9</v>
      </c>
      <c r="C51" s="824">
        <v>1</v>
      </c>
      <c r="D51" s="879">
        <v>1500400080</v>
      </c>
      <c r="E51" s="875" t="s">
        <v>574</v>
      </c>
      <c r="F51" s="876">
        <v>12554357.32</v>
      </c>
      <c r="G51" s="876">
        <v>11874628.82</v>
      </c>
      <c r="H51" s="876">
        <v>94.585716475369537</v>
      </c>
      <c r="I51" s="847">
        <v>17953911.920000002</v>
      </c>
    </row>
    <row r="52" spans="1:9" ht="22.5">
      <c r="A52" s="823">
        <v>2567</v>
      </c>
      <c r="B52" s="824">
        <v>9</v>
      </c>
      <c r="C52" s="824">
        <v>1</v>
      </c>
      <c r="D52" s="879">
        <v>1500400061</v>
      </c>
      <c r="E52" s="875" t="s">
        <v>357</v>
      </c>
      <c r="F52" s="876">
        <v>12366631.449999999</v>
      </c>
      <c r="G52" s="876">
        <v>11691328.470000001</v>
      </c>
      <c r="H52" s="876">
        <v>94.539313452249772</v>
      </c>
      <c r="I52" s="847">
        <v>7481150.9900000002</v>
      </c>
    </row>
    <row r="53" spans="1:9" ht="22.5">
      <c r="A53" s="823">
        <v>2567</v>
      </c>
      <c r="B53" s="824">
        <v>9</v>
      </c>
      <c r="C53" s="824">
        <v>1</v>
      </c>
      <c r="D53" s="879">
        <v>1500400037</v>
      </c>
      <c r="E53" s="875" t="s">
        <v>545</v>
      </c>
      <c r="F53" s="876">
        <v>15455747.34</v>
      </c>
      <c r="G53" s="876">
        <v>14591613.529999999</v>
      </c>
      <c r="H53" s="876">
        <v>94.408980743599543</v>
      </c>
      <c r="I53" s="847">
        <v>21067485.129999999</v>
      </c>
    </row>
    <row r="54" spans="1:9" ht="22.5">
      <c r="A54" s="823">
        <v>2567</v>
      </c>
      <c r="B54" s="824">
        <v>9</v>
      </c>
      <c r="C54" s="824">
        <v>1</v>
      </c>
      <c r="D54" s="879">
        <v>1500400078</v>
      </c>
      <c r="E54" s="875" t="s">
        <v>797</v>
      </c>
      <c r="F54" s="876">
        <v>19408426.920000002</v>
      </c>
      <c r="G54" s="876">
        <v>18287699.559999999</v>
      </c>
      <c r="H54" s="876">
        <v>94.225563129770634</v>
      </c>
      <c r="I54" s="847">
        <v>14359134.08</v>
      </c>
    </row>
    <row r="55" spans="1:9" ht="22.5">
      <c r="A55" s="823">
        <v>2567</v>
      </c>
      <c r="B55" s="824">
        <v>9</v>
      </c>
      <c r="C55" s="824">
        <v>1</v>
      </c>
      <c r="D55" s="879">
        <v>1500400036</v>
      </c>
      <c r="E55" s="875" t="s">
        <v>544</v>
      </c>
      <c r="F55" s="876">
        <v>9774520.4499999993</v>
      </c>
      <c r="G55" s="876">
        <v>9208047.2699999996</v>
      </c>
      <c r="H55" s="876">
        <v>94.204593638146207</v>
      </c>
      <c r="I55" s="847">
        <v>12916158.58</v>
      </c>
    </row>
    <row r="56" spans="1:9" ht="22.5">
      <c r="A56" s="823">
        <v>2567</v>
      </c>
      <c r="B56" s="824">
        <v>9</v>
      </c>
      <c r="C56" s="824">
        <v>1</v>
      </c>
      <c r="D56" s="879">
        <v>1500400098</v>
      </c>
      <c r="E56" s="875" t="s">
        <v>585</v>
      </c>
      <c r="F56" s="876">
        <v>20258366.710000001</v>
      </c>
      <c r="G56" s="876">
        <v>19051986.699999999</v>
      </c>
      <c r="H56" s="876">
        <v>94.045028272666698</v>
      </c>
      <c r="I56" s="847">
        <v>17525304.219999999</v>
      </c>
    </row>
    <row r="57" spans="1:9" ht="22.5">
      <c r="A57" s="823">
        <v>2567</v>
      </c>
      <c r="B57" s="824">
        <v>9</v>
      </c>
      <c r="C57" s="824">
        <v>1</v>
      </c>
      <c r="D57" s="879">
        <v>1500400072</v>
      </c>
      <c r="E57" s="875" t="s">
        <v>569</v>
      </c>
      <c r="F57" s="876">
        <v>15152797.08</v>
      </c>
      <c r="G57" s="876">
        <v>14237633.27</v>
      </c>
      <c r="H57" s="876">
        <v>93.96042984560313</v>
      </c>
      <c r="I57" s="847">
        <v>11137259.199999999</v>
      </c>
    </row>
    <row r="58" spans="1:9" ht="22.5">
      <c r="A58" s="823">
        <v>2567</v>
      </c>
      <c r="B58" s="824">
        <v>9</v>
      </c>
      <c r="C58" s="824">
        <v>1</v>
      </c>
      <c r="D58" s="879">
        <v>1500400038</v>
      </c>
      <c r="E58" s="875" t="s">
        <v>788</v>
      </c>
      <c r="F58" s="876">
        <v>14387331.24</v>
      </c>
      <c r="G58" s="876">
        <v>13499139.539999999</v>
      </c>
      <c r="H58" s="876">
        <v>93.826570854707029</v>
      </c>
      <c r="I58" s="847">
        <v>8854209.4499999993</v>
      </c>
    </row>
    <row r="59" spans="1:9" ht="22.5">
      <c r="A59" s="823">
        <v>2567</v>
      </c>
      <c r="B59" s="824">
        <v>9</v>
      </c>
      <c r="C59" s="824">
        <v>1</v>
      </c>
      <c r="D59" s="879">
        <v>1500400025</v>
      </c>
      <c r="E59" s="875" t="s">
        <v>781</v>
      </c>
      <c r="F59" s="876">
        <v>10689707.130000001</v>
      </c>
      <c r="G59" s="876">
        <v>10023594.32</v>
      </c>
      <c r="H59" s="876">
        <v>93.768652387766579</v>
      </c>
      <c r="I59" s="847">
        <v>13025746.449999999</v>
      </c>
    </row>
    <row r="60" spans="1:9" ht="22.5">
      <c r="A60" s="823">
        <v>2567</v>
      </c>
      <c r="B60" s="824">
        <v>9</v>
      </c>
      <c r="C60" s="824">
        <v>1</v>
      </c>
      <c r="D60" s="879">
        <v>1500400083</v>
      </c>
      <c r="E60" s="875" t="s">
        <v>799</v>
      </c>
      <c r="F60" s="876">
        <v>14495301.789999999</v>
      </c>
      <c r="G60" s="876">
        <v>13574865.07</v>
      </c>
      <c r="H60" s="876">
        <v>93.650103093162301</v>
      </c>
      <c r="I60" s="847">
        <v>19126403.609999999</v>
      </c>
    </row>
    <row r="61" spans="1:9" ht="22.5">
      <c r="A61" s="823">
        <v>2567</v>
      </c>
      <c r="B61" s="824">
        <v>9</v>
      </c>
      <c r="C61" s="824">
        <v>1</v>
      </c>
      <c r="D61" s="879">
        <v>1500400065</v>
      </c>
      <c r="E61" s="875" t="s">
        <v>563</v>
      </c>
      <c r="F61" s="876">
        <v>19577161.93</v>
      </c>
      <c r="G61" s="876">
        <v>18315159.210000001</v>
      </c>
      <c r="H61" s="876">
        <v>93.553699333374212</v>
      </c>
      <c r="I61" s="847">
        <v>6351275.9400000004</v>
      </c>
    </row>
    <row r="62" spans="1:9" ht="22.5">
      <c r="A62" s="823">
        <v>2567</v>
      </c>
      <c r="B62" s="824">
        <v>9</v>
      </c>
      <c r="C62" s="824">
        <v>1</v>
      </c>
      <c r="D62" s="879">
        <v>1500400039</v>
      </c>
      <c r="E62" s="875" t="s">
        <v>546</v>
      </c>
      <c r="F62" s="876">
        <v>8845003.6099999994</v>
      </c>
      <c r="G62" s="876">
        <v>8272610.5499999998</v>
      </c>
      <c r="H62" s="876">
        <v>93.528628305443959</v>
      </c>
      <c r="I62" s="847">
        <v>11404451.119999999</v>
      </c>
    </row>
    <row r="63" spans="1:9" ht="22.5">
      <c r="A63" s="823">
        <v>2567</v>
      </c>
      <c r="B63" s="824">
        <v>9</v>
      </c>
      <c r="C63" s="824">
        <v>1</v>
      </c>
      <c r="D63" s="879">
        <v>1500400033</v>
      </c>
      <c r="E63" s="875" t="s">
        <v>786</v>
      </c>
      <c r="F63" s="876">
        <v>17855306.010000002</v>
      </c>
      <c r="G63" s="876">
        <v>16661019.869999999</v>
      </c>
      <c r="H63" s="876">
        <v>93.311309594295764</v>
      </c>
      <c r="I63" s="847">
        <v>13152176.33</v>
      </c>
    </row>
    <row r="64" spans="1:9" ht="22.5">
      <c r="A64" s="823">
        <v>2567</v>
      </c>
      <c r="B64" s="824">
        <v>9</v>
      </c>
      <c r="C64" s="824">
        <v>1</v>
      </c>
      <c r="D64" s="879">
        <v>1500400084</v>
      </c>
      <c r="E64" s="875" t="s">
        <v>343</v>
      </c>
      <c r="F64" s="876">
        <v>13243930.66</v>
      </c>
      <c r="G64" s="876">
        <v>12333132.720000001</v>
      </c>
      <c r="H64" s="876">
        <v>93.122903136673472</v>
      </c>
      <c r="I64" s="847">
        <v>13439857.08</v>
      </c>
    </row>
    <row r="65" spans="1:9" ht="22.5">
      <c r="A65" s="823">
        <v>2567</v>
      </c>
      <c r="B65" s="824">
        <v>9</v>
      </c>
      <c r="C65" s="824">
        <v>1</v>
      </c>
      <c r="D65" s="879">
        <v>1500400032</v>
      </c>
      <c r="E65" s="875" t="s">
        <v>785</v>
      </c>
      <c r="F65" s="876">
        <v>19120611.43</v>
      </c>
      <c r="G65" s="876">
        <v>17783268.25</v>
      </c>
      <c r="H65" s="876">
        <v>93.005750967242989</v>
      </c>
      <c r="I65" s="847">
        <v>13662969.15</v>
      </c>
    </row>
    <row r="66" spans="1:9" ht="22.5">
      <c r="A66" s="823">
        <v>2567</v>
      </c>
      <c r="B66" s="824">
        <v>9</v>
      </c>
      <c r="C66" s="824">
        <v>1</v>
      </c>
      <c r="D66" s="879">
        <v>1500400050</v>
      </c>
      <c r="E66" s="875" t="s">
        <v>554</v>
      </c>
      <c r="F66" s="876">
        <v>42192028.079999998</v>
      </c>
      <c r="G66" s="876">
        <v>39237108.460000001</v>
      </c>
      <c r="H66" s="876">
        <v>92.996497787692988</v>
      </c>
      <c r="I66" s="847">
        <v>22768201.719999999</v>
      </c>
    </row>
    <row r="67" spans="1:9" ht="22.5">
      <c r="A67" s="823">
        <v>2567</v>
      </c>
      <c r="B67" s="824">
        <v>9</v>
      </c>
      <c r="C67" s="824">
        <v>1</v>
      </c>
      <c r="D67" s="879">
        <v>1500400060</v>
      </c>
      <c r="E67" s="875" t="s">
        <v>794</v>
      </c>
      <c r="F67" s="876">
        <v>35649682.009999998</v>
      </c>
      <c r="G67" s="876">
        <v>33134709.190000001</v>
      </c>
      <c r="H67" s="876">
        <v>92.945314857802856</v>
      </c>
      <c r="I67" s="847">
        <v>11992546.449999999</v>
      </c>
    </row>
    <row r="68" spans="1:9" ht="22.5">
      <c r="A68" s="823">
        <v>2567</v>
      </c>
      <c r="B68" s="824">
        <v>9</v>
      </c>
      <c r="C68" s="824">
        <v>1</v>
      </c>
      <c r="D68" s="879">
        <v>1500400081</v>
      </c>
      <c r="E68" s="875" t="s">
        <v>344</v>
      </c>
      <c r="F68" s="876">
        <v>8544815.4000000004</v>
      </c>
      <c r="G68" s="876">
        <v>7923930.1600000001</v>
      </c>
      <c r="H68" s="876">
        <v>92.733778192563406</v>
      </c>
      <c r="I68" s="847">
        <v>32870541.379999999</v>
      </c>
    </row>
    <row r="69" spans="1:9" ht="22.5">
      <c r="A69" s="823">
        <v>2567</v>
      </c>
      <c r="B69" s="824">
        <v>9</v>
      </c>
      <c r="C69" s="824">
        <v>1</v>
      </c>
      <c r="D69" s="879">
        <v>1500400068</v>
      </c>
      <c r="E69" s="875" t="s">
        <v>359</v>
      </c>
      <c r="F69" s="876">
        <v>11660562.869999999</v>
      </c>
      <c r="G69" s="876">
        <v>10812937.83</v>
      </c>
      <c r="H69" s="876">
        <v>92.730839416159341</v>
      </c>
      <c r="I69" s="847">
        <v>30335376.030000001</v>
      </c>
    </row>
    <row r="70" spans="1:9" ht="22.5">
      <c r="A70" s="823">
        <v>2567</v>
      </c>
      <c r="B70" s="824">
        <v>9</v>
      </c>
      <c r="C70" s="824">
        <v>1</v>
      </c>
      <c r="D70" s="879">
        <v>1500400051</v>
      </c>
      <c r="E70" s="875" t="s">
        <v>792</v>
      </c>
      <c r="F70" s="876">
        <v>30127598.350000001</v>
      </c>
      <c r="G70" s="876">
        <v>27925570.27</v>
      </c>
      <c r="H70" s="876">
        <v>92.690993638396009</v>
      </c>
      <c r="I70" s="847">
        <v>7912033.9500000002</v>
      </c>
    </row>
    <row r="71" spans="1:9" ht="22.5">
      <c r="A71" s="823">
        <v>2567</v>
      </c>
      <c r="B71" s="824">
        <v>9</v>
      </c>
      <c r="C71" s="824">
        <v>1</v>
      </c>
      <c r="D71" s="879">
        <v>1500400088</v>
      </c>
      <c r="E71" s="875" t="s">
        <v>578</v>
      </c>
      <c r="F71" s="876">
        <v>9811169.8499999996</v>
      </c>
      <c r="G71" s="876">
        <v>9066971.5999999996</v>
      </c>
      <c r="H71" s="876">
        <v>92.414785786223035</v>
      </c>
      <c r="I71" s="847">
        <v>12290913.67</v>
      </c>
    </row>
    <row r="72" spans="1:9" ht="22.5">
      <c r="A72" s="823">
        <v>2567</v>
      </c>
      <c r="B72" s="824">
        <v>9</v>
      </c>
      <c r="C72" s="824">
        <v>1</v>
      </c>
      <c r="D72" s="879">
        <v>1500400092</v>
      </c>
      <c r="E72" s="875" t="s">
        <v>581</v>
      </c>
      <c r="F72" s="876">
        <v>24234443.32</v>
      </c>
      <c r="G72" s="876">
        <v>22279830.850000001</v>
      </c>
      <c r="H72" s="876">
        <v>91.934568315885713</v>
      </c>
      <c r="I72" s="847">
        <v>23437668.390000001</v>
      </c>
    </row>
    <row r="73" spans="1:9" ht="22.5">
      <c r="A73" s="823">
        <v>2567</v>
      </c>
      <c r="B73" s="824">
        <v>9</v>
      </c>
      <c r="C73" s="824">
        <v>1</v>
      </c>
      <c r="D73" s="879">
        <v>1500400087</v>
      </c>
      <c r="E73" s="875" t="s">
        <v>577</v>
      </c>
      <c r="F73" s="876">
        <v>11785039.23</v>
      </c>
      <c r="G73" s="876">
        <v>10805862.25</v>
      </c>
      <c r="H73" s="876">
        <v>91.69135578685723</v>
      </c>
      <c r="I73" s="847">
        <v>36059890.469999999</v>
      </c>
    </row>
    <row r="74" spans="1:9" ht="22.5">
      <c r="A74" s="823">
        <v>2567</v>
      </c>
      <c r="B74" s="824">
        <v>9</v>
      </c>
      <c r="C74" s="824">
        <v>1</v>
      </c>
      <c r="D74" s="879">
        <v>1500400095</v>
      </c>
      <c r="E74" s="875" t="s">
        <v>583</v>
      </c>
      <c r="F74" s="876">
        <v>16172192.08</v>
      </c>
      <c r="G74" s="876">
        <v>14675595.99</v>
      </c>
      <c r="H74" s="876">
        <v>90.745867458185671</v>
      </c>
      <c r="I74" s="847">
        <v>15718392.560000001</v>
      </c>
    </row>
    <row r="75" spans="1:9" ht="22.5">
      <c r="A75" s="823">
        <v>2567</v>
      </c>
      <c r="B75" s="824">
        <v>9</v>
      </c>
      <c r="C75" s="824">
        <v>1</v>
      </c>
      <c r="D75" s="879">
        <v>1500400041</v>
      </c>
      <c r="E75" s="875" t="s">
        <v>548</v>
      </c>
      <c r="F75" s="876">
        <v>54676522.200000003</v>
      </c>
      <c r="G75" s="876">
        <v>49526422.700000003</v>
      </c>
      <c r="H75" s="876">
        <v>90.580784415728615</v>
      </c>
      <c r="I75" s="847">
        <v>14088328.08</v>
      </c>
    </row>
    <row r="76" spans="1:9" ht="22.5">
      <c r="A76" s="823">
        <v>2567</v>
      </c>
      <c r="B76" s="824">
        <v>9</v>
      </c>
      <c r="C76" s="824">
        <v>1</v>
      </c>
      <c r="D76" s="879">
        <v>1500400089</v>
      </c>
      <c r="E76" s="875" t="s">
        <v>801</v>
      </c>
      <c r="F76" s="876">
        <v>24229987.32</v>
      </c>
      <c r="G76" s="876">
        <v>21820479.469999999</v>
      </c>
      <c r="H76" s="876">
        <v>90.055678452579556</v>
      </c>
      <c r="I76" s="847">
        <v>23591311.16</v>
      </c>
    </row>
    <row r="77" spans="1:9" ht="22.5">
      <c r="A77" s="823">
        <v>2567</v>
      </c>
      <c r="B77" s="824">
        <v>9</v>
      </c>
      <c r="C77" s="824">
        <v>1</v>
      </c>
      <c r="D77" s="879">
        <v>1500400074</v>
      </c>
      <c r="E77" s="875" t="s">
        <v>571</v>
      </c>
      <c r="F77" s="876">
        <v>20494982.969999999</v>
      </c>
      <c r="G77" s="876">
        <v>15870118.699999999</v>
      </c>
      <c r="H77" s="876">
        <v>77.434163879180815</v>
      </c>
      <c r="I77" s="847">
        <v>16264374.449999999</v>
      </c>
    </row>
    <row r="78" spans="1:9">
      <c r="H78" s="820"/>
    </row>
    <row r="79" spans="1:9">
      <c r="H79" s="820"/>
    </row>
    <row r="80" spans="1:9">
      <c r="H80" s="820"/>
    </row>
    <row r="81" spans="8:8">
      <c r="H81" s="820"/>
    </row>
    <row r="82" spans="8:8">
      <c r="H82" s="820"/>
    </row>
    <row r="83" spans="8:8">
      <c r="H83" s="820"/>
    </row>
    <row r="84" spans="8:8">
      <c r="H84" s="820"/>
    </row>
    <row r="85" spans="8:8">
      <c r="H85" s="820"/>
    </row>
    <row r="86" spans="8:8">
      <c r="H86" s="820"/>
    </row>
    <row r="87" spans="8:8">
      <c r="H87" s="820"/>
    </row>
    <row r="88" spans="8:8">
      <c r="H88" s="820"/>
    </row>
  </sheetData>
  <pageMargins left="0.7" right="0.7" top="0.75" bottom="0.75" header="0.3" footer="0.3"/>
  <pageSetup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J6" sqref="J6"/>
    </sheetView>
  </sheetViews>
  <sheetFormatPr defaultRowHeight="18"/>
  <cols>
    <col min="1" max="3" width="9.140625" style="818"/>
    <col min="4" max="4" width="15.5703125" style="818" customWidth="1"/>
    <col min="5" max="5" width="23.5703125" style="818" customWidth="1"/>
    <col min="6" max="6" width="19.5703125" style="819" customWidth="1"/>
    <col min="7" max="7" width="20.42578125" style="819" customWidth="1"/>
    <col min="8" max="8" width="13" style="818" customWidth="1"/>
    <col min="9" max="259" width="9.140625" style="596"/>
    <col min="260" max="260" width="11" style="596" bestFit="1" customWidth="1"/>
    <col min="261" max="261" width="14.7109375" style="596" bestFit="1" customWidth="1"/>
    <col min="262" max="262" width="11.42578125" style="596" bestFit="1" customWidth="1"/>
    <col min="263" max="263" width="11.5703125" style="596" bestFit="1" customWidth="1"/>
    <col min="264" max="264" width="9.28515625" style="596" bestFit="1" customWidth="1"/>
    <col min="265" max="515" width="9.140625" style="596"/>
    <col min="516" max="516" width="11" style="596" bestFit="1" customWidth="1"/>
    <col min="517" max="517" width="14.7109375" style="596" bestFit="1" customWidth="1"/>
    <col min="518" max="518" width="11.42578125" style="596" bestFit="1" customWidth="1"/>
    <col min="519" max="519" width="11.5703125" style="596" bestFit="1" customWidth="1"/>
    <col min="520" max="520" width="9.28515625" style="596" bestFit="1" customWidth="1"/>
    <col min="521" max="771" width="9.140625" style="596"/>
    <col min="772" max="772" width="11" style="596" bestFit="1" customWidth="1"/>
    <col min="773" max="773" width="14.7109375" style="596" bestFit="1" customWidth="1"/>
    <col min="774" max="774" width="11.42578125" style="596" bestFit="1" customWidth="1"/>
    <col min="775" max="775" width="11.5703125" style="596" bestFit="1" customWidth="1"/>
    <col min="776" max="776" width="9.28515625" style="596" bestFit="1" customWidth="1"/>
    <col min="777" max="1027" width="9.140625" style="596"/>
    <col min="1028" max="1028" width="11" style="596" bestFit="1" customWidth="1"/>
    <col min="1029" max="1029" width="14.7109375" style="596" bestFit="1" customWidth="1"/>
    <col min="1030" max="1030" width="11.42578125" style="596" bestFit="1" customWidth="1"/>
    <col min="1031" max="1031" width="11.5703125" style="596" bestFit="1" customWidth="1"/>
    <col min="1032" max="1032" width="9.28515625" style="596" bestFit="1" customWidth="1"/>
    <col min="1033" max="1283" width="9.140625" style="596"/>
    <col min="1284" max="1284" width="11" style="596" bestFit="1" customWidth="1"/>
    <col min="1285" max="1285" width="14.7109375" style="596" bestFit="1" customWidth="1"/>
    <col min="1286" max="1286" width="11.42578125" style="596" bestFit="1" customWidth="1"/>
    <col min="1287" max="1287" width="11.5703125" style="596" bestFit="1" customWidth="1"/>
    <col min="1288" max="1288" width="9.28515625" style="596" bestFit="1" customWidth="1"/>
    <col min="1289" max="1539" width="9.140625" style="596"/>
    <col min="1540" max="1540" width="11" style="596" bestFit="1" customWidth="1"/>
    <col min="1541" max="1541" width="14.7109375" style="596" bestFit="1" customWidth="1"/>
    <col min="1542" max="1542" width="11.42578125" style="596" bestFit="1" customWidth="1"/>
    <col min="1543" max="1543" width="11.5703125" style="596" bestFit="1" customWidth="1"/>
    <col min="1544" max="1544" width="9.28515625" style="596" bestFit="1" customWidth="1"/>
    <col min="1545" max="1795" width="9.140625" style="596"/>
    <col min="1796" max="1796" width="11" style="596" bestFit="1" customWidth="1"/>
    <col min="1797" max="1797" width="14.7109375" style="596" bestFit="1" customWidth="1"/>
    <col min="1798" max="1798" width="11.42578125" style="596" bestFit="1" customWidth="1"/>
    <col min="1799" max="1799" width="11.5703125" style="596" bestFit="1" customWidth="1"/>
    <col min="1800" max="1800" width="9.28515625" style="596" bestFit="1" customWidth="1"/>
    <col min="1801" max="2051" width="9.140625" style="596"/>
    <col min="2052" max="2052" width="11" style="596" bestFit="1" customWidth="1"/>
    <col min="2053" max="2053" width="14.7109375" style="596" bestFit="1" customWidth="1"/>
    <col min="2054" max="2054" width="11.42578125" style="596" bestFit="1" customWidth="1"/>
    <col min="2055" max="2055" width="11.5703125" style="596" bestFit="1" customWidth="1"/>
    <col min="2056" max="2056" width="9.28515625" style="596" bestFit="1" customWidth="1"/>
    <col min="2057" max="2307" width="9.140625" style="596"/>
    <col min="2308" max="2308" width="11" style="596" bestFit="1" customWidth="1"/>
    <col min="2309" max="2309" width="14.7109375" style="596" bestFit="1" customWidth="1"/>
    <col min="2310" max="2310" width="11.42578125" style="596" bestFit="1" customWidth="1"/>
    <col min="2311" max="2311" width="11.5703125" style="596" bestFit="1" customWidth="1"/>
    <col min="2312" max="2312" width="9.28515625" style="596" bestFit="1" customWidth="1"/>
    <col min="2313" max="2563" width="9.140625" style="596"/>
    <col min="2564" max="2564" width="11" style="596" bestFit="1" customWidth="1"/>
    <col min="2565" max="2565" width="14.7109375" style="596" bestFit="1" customWidth="1"/>
    <col min="2566" max="2566" width="11.42578125" style="596" bestFit="1" customWidth="1"/>
    <col min="2567" max="2567" width="11.5703125" style="596" bestFit="1" customWidth="1"/>
    <col min="2568" max="2568" width="9.28515625" style="596" bestFit="1" customWidth="1"/>
    <col min="2569" max="2819" width="9.140625" style="596"/>
    <col min="2820" max="2820" width="11" style="596" bestFit="1" customWidth="1"/>
    <col min="2821" max="2821" width="14.7109375" style="596" bestFit="1" customWidth="1"/>
    <col min="2822" max="2822" width="11.42578125" style="596" bestFit="1" customWidth="1"/>
    <col min="2823" max="2823" width="11.5703125" style="596" bestFit="1" customWidth="1"/>
    <col min="2824" max="2824" width="9.28515625" style="596" bestFit="1" customWidth="1"/>
    <col min="2825" max="3075" width="9.140625" style="596"/>
    <col min="3076" max="3076" width="11" style="596" bestFit="1" customWidth="1"/>
    <col min="3077" max="3077" width="14.7109375" style="596" bestFit="1" customWidth="1"/>
    <col min="3078" max="3078" width="11.42578125" style="596" bestFit="1" customWidth="1"/>
    <col min="3079" max="3079" width="11.5703125" style="596" bestFit="1" customWidth="1"/>
    <col min="3080" max="3080" width="9.28515625" style="596" bestFit="1" customWidth="1"/>
    <col min="3081" max="3331" width="9.140625" style="596"/>
    <col min="3332" max="3332" width="11" style="596" bestFit="1" customWidth="1"/>
    <col min="3333" max="3333" width="14.7109375" style="596" bestFit="1" customWidth="1"/>
    <col min="3334" max="3334" width="11.42578125" style="596" bestFit="1" customWidth="1"/>
    <col min="3335" max="3335" width="11.5703125" style="596" bestFit="1" customWidth="1"/>
    <col min="3336" max="3336" width="9.28515625" style="596" bestFit="1" customWidth="1"/>
    <col min="3337" max="3587" width="9.140625" style="596"/>
    <col min="3588" max="3588" width="11" style="596" bestFit="1" customWidth="1"/>
    <col min="3589" max="3589" width="14.7109375" style="596" bestFit="1" customWidth="1"/>
    <col min="3590" max="3590" width="11.42578125" style="596" bestFit="1" customWidth="1"/>
    <col min="3591" max="3591" width="11.5703125" style="596" bestFit="1" customWidth="1"/>
    <col min="3592" max="3592" width="9.28515625" style="596" bestFit="1" customWidth="1"/>
    <col min="3593" max="3843" width="9.140625" style="596"/>
    <col min="3844" max="3844" width="11" style="596" bestFit="1" customWidth="1"/>
    <col min="3845" max="3845" width="14.7109375" style="596" bestFit="1" customWidth="1"/>
    <col min="3846" max="3846" width="11.42578125" style="596" bestFit="1" customWidth="1"/>
    <col min="3847" max="3847" width="11.5703125" style="596" bestFit="1" customWidth="1"/>
    <col min="3848" max="3848" width="9.28515625" style="596" bestFit="1" customWidth="1"/>
    <col min="3849" max="4099" width="9.140625" style="596"/>
    <col min="4100" max="4100" width="11" style="596" bestFit="1" customWidth="1"/>
    <col min="4101" max="4101" width="14.7109375" style="596" bestFit="1" customWidth="1"/>
    <col min="4102" max="4102" width="11.42578125" style="596" bestFit="1" customWidth="1"/>
    <col min="4103" max="4103" width="11.5703125" style="596" bestFit="1" customWidth="1"/>
    <col min="4104" max="4104" width="9.28515625" style="596" bestFit="1" customWidth="1"/>
    <col min="4105" max="4355" width="9.140625" style="596"/>
    <col min="4356" max="4356" width="11" style="596" bestFit="1" customWidth="1"/>
    <col min="4357" max="4357" width="14.7109375" style="596" bestFit="1" customWidth="1"/>
    <col min="4358" max="4358" width="11.42578125" style="596" bestFit="1" customWidth="1"/>
    <col min="4359" max="4359" width="11.5703125" style="596" bestFit="1" customWidth="1"/>
    <col min="4360" max="4360" width="9.28515625" style="596" bestFit="1" customWidth="1"/>
    <col min="4361" max="4611" width="9.140625" style="596"/>
    <col min="4612" max="4612" width="11" style="596" bestFit="1" customWidth="1"/>
    <col min="4613" max="4613" width="14.7109375" style="596" bestFit="1" customWidth="1"/>
    <col min="4614" max="4614" width="11.42578125" style="596" bestFit="1" customWidth="1"/>
    <col min="4615" max="4615" width="11.5703125" style="596" bestFit="1" customWidth="1"/>
    <col min="4616" max="4616" width="9.28515625" style="596" bestFit="1" customWidth="1"/>
    <col min="4617" max="4867" width="9.140625" style="596"/>
    <col min="4868" max="4868" width="11" style="596" bestFit="1" customWidth="1"/>
    <col min="4869" max="4869" width="14.7109375" style="596" bestFit="1" customWidth="1"/>
    <col min="4870" max="4870" width="11.42578125" style="596" bestFit="1" customWidth="1"/>
    <col min="4871" max="4871" width="11.5703125" style="596" bestFit="1" customWidth="1"/>
    <col min="4872" max="4872" width="9.28515625" style="596" bestFit="1" customWidth="1"/>
    <col min="4873" max="5123" width="9.140625" style="596"/>
    <col min="5124" max="5124" width="11" style="596" bestFit="1" customWidth="1"/>
    <col min="5125" max="5125" width="14.7109375" style="596" bestFit="1" customWidth="1"/>
    <col min="5126" max="5126" width="11.42578125" style="596" bestFit="1" customWidth="1"/>
    <col min="5127" max="5127" width="11.5703125" style="596" bestFit="1" customWidth="1"/>
    <col min="5128" max="5128" width="9.28515625" style="596" bestFit="1" customWidth="1"/>
    <col min="5129" max="5379" width="9.140625" style="596"/>
    <col min="5380" max="5380" width="11" style="596" bestFit="1" customWidth="1"/>
    <col min="5381" max="5381" width="14.7109375" style="596" bestFit="1" customWidth="1"/>
    <col min="5382" max="5382" width="11.42578125" style="596" bestFit="1" customWidth="1"/>
    <col min="5383" max="5383" width="11.5703125" style="596" bestFit="1" customWidth="1"/>
    <col min="5384" max="5384" width="9.28515625" style="596" bestFit="1" customWidth="1"/>
    <col min="5385" max="5635" width="9.140625" style="596"/>
    <col min="5636" max="5636" width="11" style="596" bestFit="1" customWidth="1"/>
    <col min="5637" max="5637" width="14.7109375" style="596" bestFit="1" customWidth="1"/>
    <col min="5638" max="5638" width="11.42578125" style="596" bestFit="1" customWidth="1"/>
    <col min="5639" max="5639" width="11.5703125" style="596" bestFit="1" customWidth="1"/>
    <col min="5640" max="5640" width="9.28515625" style="596" bestFit="1" customWidth="1"/>
    <col min="5641" max="5891" width="9.140625" style="596"/>
    <col min="5892" max="5892" width="11" style="596" bestFit="1" customWidth="1"/>
    <col min="5893" max="5893" width="14.7109375" style="596" bestFit="1" customWidth="1"/>
    <col min="5894" max="5894" width="11.42578125" style="596" bestFit="1" customWidth="1"/>
    <col min="5895" max="5895" width="11.5703125" style="596" bestFit="1" customWidth="1"/>
    <col min="5896" max="5896" width="9.28515625" style="596" bestFit="1" customWidth="1"/>
    <col min="5897" max="6147" width="9.140625" style="596"/>
    <col min="6148" max="6148" width="11" style="596" bestFit="1" customWidth="1"/>
    <col min="6149" max="6149" width="14.7109375" style="596" bestFit="1" customWidth="1"/>
    <col min="6150" max="6150" width="11.42578125" style="596" bestFit="1" customWidth="1"/>
    <col min="6151" max="6151" width="11.5703125" style="596" bestFit="1" customWidth="1"/>
    <col min="6152" max="6152" width="9.28515625" style="596" bestFit="1" customWidth="1"/>
    <col min="6153" max="6403" width="9.140625" style="596"/>
    <col min="6404" max="6404" width="11" style="596" bestFit="1" customWidth="1"/>
    <col min="6405" max="6405" width="14.7109375" style="596" bestFit="1" customWidth="1"/>
    <col min="6406" max="6406" width="11.42578125" style="596" bestFit="1" customWidth="1"/>
    <col min="6407" max="6407" width="11.5703125" style="596" bestFit="1" customWidth="1"/>
    <col min="6408" max="6408" width="9.28515625" style="596" bestFit="1" customWidth="1"/>
    <col min="6409" max="6659" width="9.140625" style="596"/>
    <col min="6660" max="6660" width="11" style="596" bestFit="1" customWidth="1"/>
    <col min="6661" max="6661" width="14.7109375" style="596" bestFit="1" customWidth="1"/>
    <col min="6662" max="6662" width="11.42578125" style="596" bestFit="1" customWidth="1"/>
    <col min="6663" max="6663" width="11.5703125" style="596" bestFit="1" customWidth="1"/>
    <col min="6664" max="6664" width="9.28515625" style="596" bestFit="1" customWidth="1"/>
    <col min="6665" max="6915" width="9.140625" style="596"/>
    <col min="6916" max="6916" width="11" style="596" bestFit="1" customWidth="1"/>
    <col min="6917" max="6917" width="14.7109375" style="596" bestFit="1" customWidth="1"/>
    <col min="6918" max="6918" width="11.42578125" style="596" bestFit="1" customWidth="1"/>
    <col min="6919" max="6919" width="11.5703125" style="596" bestFit="1" customWidth="1"/>
    <col min="6920" max="6920" width="9.28515625" style="596" bestFit="1" customWidth="1"/>
    <col min="6921" max="7171" width="9.140625" style="596"/>
    <col min="7172" max="7172" width="11" style="596" bestFit="1" customWidth="1"/>
    <col min="7173" max="7173" width="14.7109375" style="596" bestFit="1" customWidth="1"/>
    <col min="7174" max="7174" width="11.42578125" style="596" bestFit="1" customWidth="1"/>
    <col min="7175" max="7175" width="11.5703125" style="596" bestFit="1" customWidth="1"/>
    <col min="7176" max="7176" width="9.28515625" style="596" bestFit="1" customWidth="1"/>
    <col min="7177" max="7427" width="9.140625" style="596"/>
    <col min="7428" max="7428" width="11" style="596" bestFit="1" customWidth="1"/>
    <col min="7429" max="7429" width="14.7109375" style="596" bestFit="1" customWidth="1"/>
    <col min="7430" max="7430" width="11.42578125" style="596" bestFit="1" customWidth="1"/>
    <col min="7431" max="7431" width="11.5703125" style="596" bestFit="1" customWidth="1"/>
    <col min="7432" max="7432" width="9.28515625" style="596" bestFit="1" customWidth="1"/>
    <col min="7433" max="7683" width="9.140625" style="596"/>
    <col min="7684" max="7684" width="11" style="596" bestFit="1" customWidth="1"/>
    <col min="7685" max="7685" width="14.7109375" style="596" bestFit="1" customWidth="1"/>
    <col min="7686" max="7686" width="11.42578125" style="596" bestFit="1" customWidth="1"/>
    <col min="7687" max="7687" width="11.5703125" style="596" bestFit="1" customWidth="1"/>
    <col min="7688" max="7688" width="9.28515625" style="596" bestFit="1" customWidth="1"/>
    <col min="7689" max="7939" width="9.140625" style="596"/>
    <col min="7940" max="7940" width="11" style="596" bestFit="1" customWidth="1"/>
    <col min="7941" max="7941" width="14.7109375" style="596" bestFit="1" customWidth="1"/>
    <col min="7942" max="7942" width="11.42578125" style="596" bestFit="1" customWidth="1"/>
    <col min="7943" max="7943" width="11.5703125" style="596" bestFit="1" customWidth="1"/>
    <col min="7944" max="7944" width="9.28515625" style="596" bestFit="1" customWidth="1"/>
    <col min="7945" max="8195" width="9.140625" style="596"/>
    <col min="8196" max="8196" width="11" style="596" bestFit="1" customWidth="1"/>
    <col min="8197" max="8197" width="14.7109375" style="596" bestFit="1" customWidth="1"/>
    <col min="8198" max="8198" width="11.42578125" style="596" bestFit="1" customWidth="1"/>
    <col min="8199" max="8199" width="11.5703125" style="596" bestFit="1" customWidth="1"/>
    <col min="8200" max="8200" width="9.28515625" style="596" bestFit="1" customWidth="1"/>
    <col min="8201" max="8451" width="9.140625" style="596"/>
    <col min="8452" max="8452" width="11" style="596" bestFit="1" customWidth="1"/>
    <col min="8453" max="8453" width="14.7109375" style="596" bestFit="1" customWidth="1"/>
    <col min="8454" max="8454" width="11.42578125" style="596" bestFit="1" customWidth="1"/>
    <col min="8455" max="8455" width="11.5703125" style="596" bestFit="1" customWidth="1"/>
    <col min="8456" max="8456" width="9.28515625" style="596" bestFit="1" customWidth="1"/>
    <col min="8457" max="8707" width="9.140625" style="596"/>
    <col min="8708" max="8708" width="11" style="596" bestFit="1" customWidth="1"/>
    <col min="8709" max="8709" width="14.7109375" style="596" bestFit="1" customWidth="1"/>
    <col min="8710" max="8710" width="11.42578125" style="596" bestFit="1" customWidth="1"/>
    <col min="8711" max="8711" width="11.5703125" style="596" bestFit="1" customWidth="1"/>
    <col min="8712" max="8712" width="9.28515625" style="596" bestFit="1" customWidth="1"/>
    <col min="8713" max="8963" width="9.140625" style="596"/>
    <col min="8964" max="8964" width="11" style="596" bestFit="1" customWidth="1"/>
    <col min="8965" max="8965" width="14.7109375" style="596" bestFit="1" customWidth="1"/>
    <col min="8966" max="8966" width="11.42578125" style="596" bestFit="1" customWidth="1"/>
    <col min="8967" max="8967" width="11.5703125" style="596" bestFit="1" customWidth="1"/>
    <col min="8968" max="8968" width="9.28515625" style="596" bestFit="1" customWidth="1"/>
    <col min="8969" max="9219" width="9.140625" style="596"/>
    <col min="9220" max="9220" width="11" style="596" bestFit="1" customWidth="1"/>
    <col min="9221" max="9221" width="14.7109375" style="596" bestFit="1" customWidth="1"/>
    <col min="9222" max="9222" width="11.42578125" style="596" bestFit="1" customWidth="1"/>
    <col min="9223" max="9223" width="11.5703125" style="596" bestFit="1" customWidth="1"/>
    <col min="9224" max="9224" width="9.28515625" style="596" bestFit="1" customWidth="1"/>
    <col min="9225" max="9475" width="9.140625" style="596"/>
    <col min="9476" max="9476" width="11" style="596" bestFit="1" customWidth="1"/>
    <col min="9477" max="9477" width="14.7109375" style="596" bestFit="1" customWidth="1"/>
    <col min="9478" max="9478" width="11.42578125" style="596" bestFit="1" customWidth="1"/>
    <col min="9479" max="9479" width="11.5703125" style="596" bestFit="1" customWidth="1"/>
    <col min="9480" max="9480" width="9.28515625" style="596" bestFit="1" customWidth="1"/>
    <col min="9481" max="9731" width="9.140625" style="596"/>
    <col min="9732" max="9732" width="11" style="596" bestFit="1" customWidth="1"/>
    <col min="9733" max="9733" width="14.7109375" style="596" bestFit="1" customWidth="1"/>
    <col min="9734" max="9734" width="11.42578125" style="596" bestFit="1" customWidth="1"/>
    <col min="9735" max="9735" width="11.5703125" style="596" bestFit="1" customWidth="1"/>
    <col min="9736" max="9736" width="9.28515625" style="596" bestFit="1" customWidth="1"/>
    <col min="9737" max="9987" width="9.140625" style="596"/>
    <col min="9988" max="9988" width="11" style="596" bestFit="1" customWidth="1"/>
    <col min="9989" max="9989" width="14.7109375" style="596" bestFit="1" customWidth="1"/>
    <col min="9990" max="9990" width="11.42578125" style="596" bestFit="1" customWidth="1"/>
    <col min="9991" max="9991" width="11.5703125" style="596" bestFit="1" customWidth="1"/>
    <col min="9992" max="9992" width="9.28515625" style="596" bestFit="1" customWidth="1"/>
    <col min="9993" max="10243" width="9.140625" style="596"/>
    <col min="10244" max="10244" width="11" style="596" bestFit="1" customWidth="1"/>
    <col min="10245" max="10245" width="14.7109375" style="596" bestFit="1" customWidth="1"/>
    <col min="10246" max="10246" width="11.42578125" style="596" bestFit="1" customWidth="1"/>
    <col min="10247" max="10247" width="11.5703125" style="596" bestFit="1" customWidth="1"/>
    <col min="10248" max="10248" width="9.28515625" style="596" bestFit="1" customWidth="1"/>
    <col min="10249" max="10499" width="9.140625" style="596"/>
    <col min="10500" max="10500" width="11" style="596" bestFit="1" customWidth="1"/>
    <col min="10501" max="10501" width="14.7109375" style="596" bestFit="1" customWidth="1"/>
    <col min="10502" max="10502" width="11.42578125" style="596" bestFit="1" customWidth="1"/>
    <col min="10503" max="10503" width="11.5703125" style="596" bestFit="1" customWidth="1"/>
    <col min="10504" max="10504" width="9.28515625" style="596" bestFit="1" customWidth="1"/>
    <col min="10505" max="10755" width="9.140625" style="596"/>
    <col min="10756" max="10756" width="11" style="596" bestFit="1" customWidth="1"/>
    <col min="10757" max="10757" width="14.7109375" style="596" bestFit="1" customWidth="1"/>
    <col min="10758" max="10758" width="11.42578125" style="596" bestFit="1" customWidth="1"/>
    <col min="10759" max="10759" width="11.5703125" style="596" bestFit="1" customWidth="1"/>
    <col min="10760" max="10760" width="9.28515625" style="596" bestFit="1" customWidth="1"/>
    <col min="10761" max="11011" width="9.140625" style="596"/>
    <col min="11012" max="11012" width="11" style="596" bestFit="1" customWidth="1"/>
    <col min="11013" max="11013" width="14.7109375" style="596" bestFit="1" customWidth="1"/>
    <col min="11014" max="11014" width="11.42578125" style="596" bestFit="1" customWidth="1"/>
    <col min="11015" max="11015" width="11.5703125" style="596" bestFit="1" customWidth="1"/>
    <col min="11016" max="11016" width="9.28515625" style="596" bestFit="1" customWidth="1"/>
    <col min="11017" max="11267" width="9.140625" style="596"/>
    <col min="11268" max="11268" width="11" style="596" bestFit="1" customWidth="1"/>
    <col min="11269" max="11269" width="14.7109375" style="596" bestFit="1" customWidth="1"/>
    <col min="11270" max="11270" width="11.42578125" style="596" bestFit="1" customWidth="1"/>
    <col min="11271" max="11271" width="11.5703125" style="596" bestFit="1" customWidth="1"/>
    <col min="11272" max="11272" width="9.28515625" style="596" bestFit="1" customWidth="1"/>
    <col min="11273" max="11523" width="9.140625" style="596"/>
    <col min="11524" max="11524" width="11" style="596" bestFit="1" customWidth="1"/>
    <col min="11525" max="11525" width="14.7109375" style="596" bestFit="1" customWidth="1"/>
    <col min="11526" max="11526" width="11.42578125" style="596" bestFit="1" customWidth="1"/>
    <col min="11527" max="11527" width="11.5703125" style="596" bestFit="1" customWidth="1"/>
    <col min="11528" max="11528" width="9.28515625" style="596" bestFit="1" customWidth="1"/>
    <col min="11529" max="11779" width="9.140625" style="596"/>
    <col min="11780" max="11780" width="11" style="596" bestFit="1" customWidth="1"/>
    <col min="11781" max="11781" width="14.7109375" style="596" bestFit="1" customWidth="1"/>
    <col min="11782" max="11782" width="11.42578125" style="596" bestFit="1" customWidth="1"/>
    <col min="11783" max="11783" width="11.5703125" style="596" bestFit="1" customWidth="1"/>
    <col min="11784" max="11784" width="9.28515625" style="596" bestFit="1" customWidth="1"/>
    <col min="11785" max="12035" width="9.140625" style="596"/>
    <col min="12036" max="12036" width="11" style="596" bestFit="1" customWidth="1"/>
    <col min="12037" max="12037" width="14.7109375" style="596" bestFit="1" customWidth="1"/>
    <col min="12038" max="12038" width="11.42578125" style="596" bestFit="1" customWidth="1"/>
    <col min="12039" max="12039" width="11.5703125" style="596" bestFit="1" customWidth="1"/>
    <col min="12040" max="12040" width="9.28515625" style="596" bestFit="1" customWidth="1"/>
    <col min="12041" max="12291" width="9.140625" style="596"/>
    <col min="12292" max="12292" width="11" style="596" bestFit="1" customWidth="1"/>
    <col min="12293" max="12293" width="14.7109375" style="596" bestFit="1" customWidth="1"/>
    <col min="12294" max="12294" width="11.42578125" style="596" bestFit="1" customWidth="1"/>
    <col min="12295" max="12295" width="11.5703125" style="596" bestFit="1" customWidth="1"/>
    <col min="12296" max="12296" width="9.28515625" style="596" bestFit="1" customWidth="1"/>
    <col min="12297" max="12547" width="9.140625" style="596"/>
    <col min="12548" max="12548" width="11" style="596" bestFit="1" customWidth="1"/>
    <col min="12549" max="12549" width="14.7109375" style="596" bestFit="1" customWidth="1"/>
    <col min="12550" max="12550" width="11.42578125" style="596" bestFit="1" customWidth="1"/>
    <col min="12551" max="12551" width="11.5703125" style="596" bestFit="1" customWidth="1"/>
    <col min="12552" max="12552" width="9.28515625" style="596" bestFit="1" customWidth="1"/>
    <col min="12553" max="12803" width="9.140625" style="596"/>
    <col min="12804" max="12804" width="11" style="596" bestFit="1" customWidth="1"/>
    <col min="12805" max="12805" width="14.7109375" style="596" bestFit="1" customWidth="1"/>
    <col min="12806" max="12806" width="11.42578125" style="596" bestFit="1" customWidth="1"/>
    <col min="12807" max="12807" width="11.5703125" style="596" bestFit="1" customWidth="1"/>
    <col min="12808" max="12808" width="9.28515625" style="596" bestFit="1" customWidth="1"/>
    <col min="12809" max="13059" width="9.140625" style="596"/>
    <col min="13060" max="13060" width="11" style="596" bestFit="1" customWidth="1"/>
    <col min="13061" max="13061" width="14.7109375" style="596" bestFit="1" customWidth="1"/>
    <col min="13062" max="13062" width="11.42578125" style="596" bestFit="1" customWidth="1"/>
    <col min="13063" max="13063" width="11.5703125" style="596" bestFit="1" customWidth="1"/>
    <col min="13064" max="13064" width="9.28515625" style="596" bestFit="1" customWidth="1"/>
    <col min="13065" max="13315" width="9.140625" style="596"/>
    <col min="13316" max="13316" width="11" style="596" bestFit="1" customWidth="1"/>
    <col min="13317" max="13317" width="14.7109375" style="596" bestFit="1" customWidth="1"/>
    <col min="13318" max="13318" width="11.42578125" style="596" bestFit="1" customWidth="1"/>
    <col min="13319" max="13319" width="11.5703125" style="596" bestFit="1" customWidth="1"/>
    <col min="13320" max="13320" width="9.28515625" style="596" bestFit="1" customWidth="1"/>
    <col min="13321" max="13571" width="9.140625" style="596"/>
    <col min="13572" max="13572" width="11" style="596" bestFit="1" customWidth="1"/>
    <col min="13573" max="13573" width="14.7109375" style="596" bestFit="1" customWidth="1"/>
    <col min="13574" max="13574" width="11.42578125" style="596" bestFit="1" customWidth="1"/>
    <col min="13575" max="13575" width="11.5703125" style="596" bestFit="1" customWidth="1"/>
    <col min="13576" max="13576" width="9.28515625" style="596" bestFit="1" customWidth="1"/>
    <col min="13577" max="13827" width="9.140625" style="596"/>
    <col min="13828" max="13828" width="11" style="596" bestFit="1" customWidth="1"/>
    <col min="13829" max="13829" width="14.7109375" style="596" bestFit="1" customWidth="1"/>
    <col min="13830" max="13830" width="11.42578125" style="596" bestFit="1" customWidth="1"/>
    <col min="13831" max="13831" width="11.5703125" style="596" bestFit="1" customWidth="1"/>
    <col min="13832" max="13832" width="9.28515625" style="596" bestFit="1" customWidth="1"/>
    <col min="13833" max="14083" width="9.140625" style="596"/>
    <col min="14084" max="14084" width="11" style="596" bestFit="1" customWidth="1"/>
    <col min="14085" max="14085" width="14.7109375" style="596" bestFit="1" customWidth="1"/>
    <col min="14086" max="14086" width="11.42578125" style="596" bestFit="1" customWidth="1"/>
    <col min="14087" max="14087" width="11.5703125" style="596" bestFit="1" customWidth="1"/>
    <col min="14088" max="14088" width="9.28515625" style="596" bestFit="1" customWidth="1"/>
    <col min="14089" max="14339" width="9.140625" style="596"/>
    <col min="14340" max="14340" width="11" style="596" bestFit="1" customWidth="1"/>
    <col min="14341" max="14341" width="14.7109375" style="596" bestFit="1" customWidth="1"/>
    <col min="14342" max="14342" width="11.42578125" style="596" bestFit="1" customWidth="1"/>
    <col min="14343" max="14343" width="11.5703125" style="596" bestFit="1" customWidth="1"/>
    <col min="14344" max="14344" width="9.28515625" style="596" bestFit="1" customWidth="1"/>
    <col min="14345" max="14595" width="9.140625" style="596"/>
    <col min="14596" max="14596" width="11" style="596" bestFit="1" customWidth="1"/>
    <col min="14597" max="14597" width="14.7109375" style="596" bestFit="1" customWidth="1"/>
    <col min="14598" max="14598" width="11.42578125" style="596" bestFit="1" customWidth="1"/>
    <col min="14599" max="14599" width="11.5703125" style="596" bestFit="1" customWidth="1"/>
    <col min="14600" max="14600" width="9.28515625" style="596" bestFit="1" customWidth="1"/>
    <col min="14601" max="14851" width="9.140625" style="596"/>
    <col min="14852" max="14852" width="11" style="596" bestFit="1" customWidth="1"/>
    <col min="14853" max="14853" width="14.7109375" style="596" bestFit="1" customWidth="1"/>
    <col min="14854" max="14854" width="11.42578125" style="596" bestFit="1" customWidth="1"/>
    <col min="14855" max="14855" width="11.5703125" style="596" bestFit="1" customWidth="1"/>
    <col min="14856" max="14856" width="9.28515625" style="596" bestFit="1" customWidth="1"/>
    <col min="14857" max="15107" width="9.140625" style="596"/>
    <col min="15108" max="15108" width="11" style="596" bestFit="1" customWidth="1"/>
    <col min="15109" max="15109" width="14.7109375" style="596" bestFit="1" customWidth="1"/>
    <col min="15110" max="15110" width="11.42578125" style="596" bestFit="1" customWidth="1"/>
    <col min="15111" max="15111" width="11.5703125" style="596" bestFit="1" customWidth="1"/>
    <col min="15112" max="15112" width="9.28515625" style="596" bestFit="1" customWidth="1"/>
    <col min="15113" max="15363" width="9.140625" style="596"/>
    <col min="15364" max="15364" width="11" style="596" bestFit="1" customWidth="1"/>
    <col min="15365" max="15365" width="14.7109375" style="596" bestFit="1" customWidth="1"/>
    <col min="15366" max="15366" width="11.42578125" style="596" bestFit="1" customWidth="1"/>
    <col min="15367" max="15367" width="11.5703125" style="596" bestFit="1" customWidth="1"/>
    <col min="15368" max="15368" width="9.28515625" style="596" bestFit="1" customWidth="1"/>
    <col min="15369" max="15619" width="9.140625" style="596"/>
    <col min="15620" max="15620" width="11" style="596" bestFit="1" customWidth="1"/>
    <col min="15621" max="15621" width="14.7109375" style="596" bestFit="1" customWidth="1"/>
    <col min="15622" max="15622" width="11.42578125" style="596" bestFit="1" customWidth="1"/>
    <col min="15623" max="15623" width="11.5703125" style="596" bestFit="1" customWidth="1"/>
    <col min="15624" max="15624" width="9.28515625" style="596" bestFit="1" customWidth="1"/>
    <col min="15625" max="15875" width="9.140625" style="596"/>
    <col min="15876" max="15876" width="11" style="596" bestFit="1" customWidth="1"/>
    <col min="15877" max="15877" width="14.7109375" style="596" bestFit="1" customWidth="1"/>
    <col min="15878" max="15878" width="11.42578125" style="596" bestFit="1" customWidth="1"/>
    <col min="15879" max="15879" width="11.5703125" style="596" bestFit="1" customWidth="1"/>
    <col min="15880" max="15880" width="9.28515625" style="596" bestFit="1" customWidth="1"/>
    <col min="15881" max="16131" width="9.140625" style="596"/>
    <col min="16132" max="16132" width="11" style="596" bestFit="1" customWidth="1"/>
    <col min="16133" max="16133" width="14.7109375" style="596" bestFit="1" customWidth="1"/>
    <col min="16134" max="16134" width="11.42578125" style="596" bestFit="1" customWidth="1"/>
    <col min="16135" max="16135" width="11.5703125" style="596" bestFit="1" customWidth="1"/>
    <col min="16136" max="16136" width="9.28515625" style="596" bestFit="1" customWidth="1"/>
    <col min="16137" max="16384" width="9.140625" style="596"/>
  </cols>
  <sheetData>
    <row r="1" spans="1:8">
      <c r="A1" s="821" t="s">
        <v>852</v>
      </c>
      <c r="B1" s="821" t="s">
        <v>853</v>
      </c>
      <c r="C1" s="821" t="s">
        <v>854</v>
      </c>
      <c r="D1" s="836" t="s">
        <v>855</v>
      </c>
      <c r="E1" s="821" t="s">
        <v>856</v>
      </c>
      <c r="F1" s="822" t="s">
        <v>857</v>
      </c>
      <c r="G1" s="822" t="s">
        <v>858</v>
      </c>
      <c r="H1" s="821" t="s">
        <v>859</v>
      </c>
    </row>
    <row r="2" spans="1:8" ht="22.5">
      <c r="A2" s="823">
        <v>2567</v>
      </c>
      <c r="B2" s="824">
        <v>9</v>
      </c>
      <c r="C2" s="824">
        <v>1</v>
      </c>
      <c r="D2" s="879">
        <v>1500400118</v>
      </c>
      <c r="E2" s="1440" t="s">
        <v>729</v>
      </c>
      <c r="F2" s="1219">
        <v>6145845.54</v>
      </c>
      <c r="G2" s="1219">
        <v>5996928.3499999996</v>
      </c>
      <c r="H2" s="1219">
        <v>97.576945449885159</v>
      </c>
    </row>
    <row r="3" spans="1:8" ht="22.5">
      <c r="A3" s="823">
        <v>2567</v>
      </c>
      <c r="B3" s="824">
        <v>9</v>
      </c>
      <c r="C3" s="824">
        <v>1</v>
      </c>
      <c r="D3" s="879">
        <v>1500400113</v>
      </c>
      <c r="E3" s="1440" t="s">
        <v>725</v>
      </c>
      <c r="F3" s="1219">
        <v>2947060.43</v>
      </c>
      <c r="G3" s="1219">
        <v>2854497.71</v>
      </c>
      <c r="H3" s="1219">
        <v>96.859150933664424</v>
      </c>
    </row>
    <row r="4" spans="1:8" ht="22.5">
      <c r="A4" s="823">
        <v>2567</v>
      </c>
      <c r="B4" s="824">
        <v>9</v>
      </c>
      <c r="C4" s="824">
        <v>1</v>
      </c>
      <c r="D4" s="879">
        <v>1500400116</v>
      </c>
      <c r="E4" s="1440" t="s">
        <v>728</v>
      </c>
      <c r="F4" s="1219">
        <v>4167529.34</v>
      </c>
      <c r="G4" s="1219">
        <v>4032488.68</v>
      </c>
      <c r="H4" s="1219">
        <v>96.759695037923834</v>
      </c>
    </row>
    <row r="5" spans="1:8" ht="22.5">
      <c r="A5" s="823">
        <v>2567</v>
      </c>
      <c r="B5" s="824">
        <v>9</v>
      </c>
      <c r="C5" s="824">
        <v>1</v>
      </c>
      <c r="D5" s="879">
        <v>1500400119</v>
      </c>
      <c r="E5" s="1440" t="s">
        <v>730</v>
      </c>
      <c r="F5" s="1219">
        <v>4712838.97</v>
      </c>
      <c r="G5" s="1219">
        <v>4552160.5999999996</v>
      </c>
      <c r="H5" s="1219">
        <v>96.590624652723918</v>
      </c>
    </row>
    <row r="6" spans="1:8" ht="22.5">
      <c r="A6" s="823">
        <v>2567</v>
      </c>
      <c r="B6" s="824">
        <v>9</v>
      </c>
      <c r="C6" s="824">
        <v>1</v>
      </c>
      <c r="D6" s="879">
        <v>1500400117</v>
      </c>
      <c r="E6" s="1440" t="s">
        <v>904</v>
      </c>
      <c r="F6" s="1219">
        <v>4589084.5999999996</v>
      </c>
      <c r="G6" s="1219">
        <v>4412353.5199999996</v>
      </c>
      <c r="H6" s="1219">
        <v>96.148881630990189</v>
      </c>
    </row>
    <row r="7" spans="1:8" ht="22.5">
      <c r="A7" s="823">
        <v>2567</v>
      </c>
      <c r="B7" s="824">
        <v>9</v>
      </c>
      <c r="C7" s="824">
        <v>1</v>
      </c>
      <c r="D7" s="879">
        <v>1500400115</v>
      </c>
      <c r="E7" s="1440" t="s">
        <v>727</v>
      </c>
      <c r="F7" s="1219">
        <v>3939020.03</v>
      </c>
      <c r="G7" s="1219">
        <v>3778909.31</v>
      </c>
      <c r="H7" s="1219">
        <v>95.935265147661624</v>
      </c>
    </row>
    <row r="8" spans="1:8" ht="22.5">
      <c r="A8" s="823">
        <v>2567</v>
      </c>
      <c r="B8" s="824">
        <v>9</v>
      </c>
      <c r="C8" s="824">
        <v>1</v>
      </c>
      <c r="D8" s="879">
        <v>1500400121</v>
      </c>
      <c r="E8" s="1440" t="s">
        <v>732</v>
      </c>
      <c r="F8" s="1219">
        <v>3075422.98</v>
      </c>
      <c r="G8" s="1219">
        <v>2942615.84</v>
      </c>
      <c r="H8" s="1219">
        <v>95.681662624501811</v>
      </c>
    </row>
    <row r="9" spans="1:8" ht="22.5">
      <c r="A9" s="823">
        <v>2567</v>
      </c>
      <c r="B9" s="824">
        <v>9</v>
      </c>
      <c r="C9" s="824">
        <v>1</v>
      </c>
      <c r="D9" s="879">
        <v>1500400120</v>
      </c>
      <c r="E9" s="1440" t="s">
        <v>4630</v>
      </c>
      <c r="F9" s="1219">
        <v>4124012.75</v>
      </c>
      <c r="G9" s="1219">
        <v>3932319.22</v>
      </c>
      <c r="H9" s="1219">
        <v>95.351771645225881</v>
      </c>
    </row>
    <row r="10" spans="1:8" ht="22.5">
      <c r="A10" s="823">
        <v>2567</v>
      </c>
      <c r="B10" s="824">
        <v>9</v>
      </c>
      <c r="C10" s="824">
        <v>1</v>
      </c>
      <c r="D10" s="879">
        <v>1500400114</v>
      </c>
      <c r="E10" s="1440" t="s">
        <v>726</v>
      </c>
      <c r="F10" s="1219">
        <v>4357443.21</v>
      </c>
      <c r="G10" s="1219">
        <v>4139159.15</v>
      </c>
      <c r="H10" s="1219">
        <v>94.990547220465089</v>
      </c>
    </row>
    <row r="11" spans="1:8" ht="22.5">
      <c r="A11" s="823">
        <v>2567</v>
      </c>
      <c r="B11" s="824">
        <v>9</v>
      </c>
      <c r="C11" s="824">
        <v>1</v>
      </c>
      <c r="D11" s="879">
        <v>1500400123</v>
      </c>
      <c r="E11" s="1441" t="s">
        <v>734</v>
      </c>
      <c r="F11" s="1219">
        <v>4629016.34</v>
      </c>
      <c r="G11" s="1219">
        <v>4378206.88</v>
      </c>
      <c r="H11" s="1219">
        <v>94.58179791173518</v>
      </c>
    </row>
    <row r="12" spans="1:8" ht="22.5">
      <c r="A12" s="823">
        <v>2567</v>
      </c>
      <c r="B12" s="824">
        <v>9</v>
      </c>
      <c r="C12" s="824">
        <v>1</v>
      </c>
      <c r="D12" s="879">
        <v>1500400122</v>
      </c>
      <c r="E12" s="1440" t="s">
        <v>733</v>
      </c>
      <c r="F12" s="1219">
        <v>4312830.8099999996</v>
      </c>
      <c r="G12" s="1219">
        <v>3733323.02</v>
      </c>
      <c r="H12" s="1219">
        <v>86.563168936367347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G2" sqref="G2"/>
    </sheetView>
  </sheetViews>
  <sheetFormatPr defaultRowHeight="18"/>
  <cols>
    <col min="1" max="3" width="9.140625" style="831"/>
    <col min="4" max="4" width="22.5703125" style="831" customWidth="1"/>
    <col min="5" max="5" width="9.140625" style="831"/>
    <col min="6" max="6" width="16.42578125" style="819" bestFit="1" customWidth="1"/>
    <col min="7" max="7" width="17" style="819" customWidth="1"/>
    <col min="8" max="8" width="10" style="831" customWidth="1"/>
    <col min="9" max="9" width="9.140625" style="831"/>
    <col min="10" max="16384" width="9.140625" style="624"/>
  </cols>
  <sheetData>
    <row r="1" spans="1:9">
      <c r="A1" s="829" t="s">
        <v>852</v>
      </c>
      <c r="B1" s="829" t="s">
        <v>853</v>
      </c>
      <c r="C1" s="829" t="s">
        <v>854</v>
      </c>
      <c r="D1" s="829" t="s">
        <v>856</v>
      </c>
      <c r="E1" s="829" t="s">
        <v>946</v>
      </c>
      <c r="F1" s="830" t="s">
        <v>857</v>
      </c>
      <c r="G1" s="830" t="s">
        <v>858</v>
      </c>
      <c r="H1" s="829" t="s">
        <v>859</v>
      </c>
    </row>
    <row r="2" spans="1:9" ht="28.5">
      <c r="A2" s="837">
        <v>2567</v>
      </c>
      <c r="B2" s="824">
        <v>9</v>
      </c>
      <c r="C2" s="824">
        <v>1</v>
      </c>
      <c r="D2" s="837" t="s">
        <v>903</v>
      </c>
      <c r="E2" s="1406">
        <v>173</v>
      </c>
      <c r="F2" s="838">
        <v>346246100</v>
      </c>
      <c r="G2" s="838">
        <v>145860430</v>
      </c>
      <c r="H2" s="839">
        <f>G2/F2*100</f>
        <v>42.126230447072182</v>
      </c>
      <c r="I2" s="832"/>
    </row>
    <row r="3" spans="1:9" ht="28.5">
      <c r="H3" s="833"/>
      <c r="I3" s="832"/>
    </row>
    <row r="4" spans="1:9" ht="28.5">
      <c r="H4" s="833"/>
      <c r="I4" s="832"/>
    </row>
    <row r="5" spans="1:9" ht="28.5">
      <c r="H5" s="833"/>
      <c r="I5" s="832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77"/>
  <sheetViews>
    <sheetView topLeftCell="A67" zoomScale="90" zoomScaleNormal="90" workbookViewId="0">
      <selection activeCell="L75" sqref="L75"/>
    </sheetView>
  </sheetViews>
  <sheetFormatPr defaultRowHeight="24"/>
  <cols>
    <col min="1" max="3" width="9.42578125" style="1929" bestFit="1" customWidth="1"/>
    <col min="4" max="4" width="17.7109375" style="1930" customWidth="1"/>
    <col min="5" max="5" width="11" style="1929" customWidth="1"/>
    <col min="6" max="6" width="18.7109375" style="1931" customWidth="1"/>
    <col min="7" max="7" width="16" style="1931" customWidth="1"/>
    <col min="8" max="8" width="14.85546875" style="1932" bestFit="1" customWidth="1"/>
    <col min="9" max="9" width="9.140625" style="1101"/>
    <col min="10" max="255" width="9.140625" style="624"/>
    <col min="256" max="258" width="9.28515625" style="624" bestFit="1" customWidth="1"/>
    <col min="259" max="259" width="17.85546875" style="624" customWidth="1"/>
    <col min="260" max="260" width="9.28515625" style="624" bestFit="1" customWidth="1"/>
    <col min="261" max="261" width="16.140625" style="624" bestFit="1" customWidth="1"/>
    <col min="262" max="262" width="10.7109375" style="624" bestFit="1" customWidth="1"/>
    <col min="263" max="263" width="14.7109375" style="624" bestFit="1" customWidth="1"/>
    <col min="264" max="511" width="9.140625" style="624"/>
    <col min="512" max="514" width="9.28515625" style="624" bestFit="1" customWidth="1"/>
    <col min="515" max="515" width="17.85546875" style="624" customWidth="1"/>
    <col min="516" max="516" width="9.28515625" style="624" bestFit="1" customWidth="1"/>
    <col min="517" max="517" width="16.140625" style="624" bestFit="1" customWidth="1"/>
    <col min="518" max="518" width="10.7109375" style="624" bestFit="1" customWidth="1"/>
    <col min="519" max="519" width="14.7109375" style="624" bestFit="1" customWidth="1"/>
    <col min="520" max="767" width="9.140625" style="624"/>
    <col min="768" max="770" width="9.28515625" style="624" bestFit="1" customWidth="1"/>
    <col min="771" max="771" width="17.85546875" style="624" customWidth="1"/>
    <col min="772" max="772" width="9.28515625" style="624" bestFit="1" customWidth="1"/>
    <col min="773" max="773" width="16.140625" style="624" bestFit="1" customWidth="1"/>
    <col min="774" max="774" width="10.7109375" style="624" bestFit="1" customWidth="1"/>
    <col min="775" max="775" width="14.7109375" style="624" bestFit="1" customWidth="1"/>
    <col min="776" max="1023" width="9.140625" style="624"/>
    <col min="1024" max="1026" width="9.28515625" style="624" bestFit="1" customWidth="1"/>
    <col min="1027" max="1027" width="17.85546875" style="624" customWidth="1"/>
    <col min="1028" max="1028" width="9.28515625" style="624" bestFit="1" customWidth="1"/>
    <col min="1029" max="1029" width="16.140625" style="624" bestFit="1" customWidth="1"/>
    <col min="1030" max="1030" width="10.7109375" style="624" bestFit="1" customWidth="1"/>
    <col min="1031" max="1031" width="14.7109375" style="624" bestFit="1" customWidth="1"/>
    <col min="1032" max="1279" width="9.140625" style="624"/>
    <col min="1280" max="1282" width="9.28515625" style="624" bestFit="1" customWidth="1"/>
    <col min="1283" max="1283" width="17.85546875" style="624" customWidth="1"/>
    <col min="1284" max="1284" width="9.28515625" style="624" bestFit="1" customWidth="1"/>
    <col min="1285" max="1285" width="16.140625" style="624" bestFit="1" customWidth="1"/>
    <col min="1286" max="1286" width="10.7109375" style="624" bestFit="1" customWidth="1"/>
    <col min="1287" max="1287" width="14.7109375" style="624" bestFit="1" customWidth="1"/>
    <col min="1288" max="1535" width="9.140625" style="624"/>
    <col min="1536" max="1538" width="9.28515625" style="624" bestFit="1" customWidth="1"/>
    <col min="1539" max="1539" width="17.85546875" style="624" customWidth="1"/>
    <col min="1540" max="1540" width="9.28515625" style="624" bestFit="1" customWidth="1"/>
    <col min="1541" max="1541" width="16.140625" style="624" bestFit="1" customWidth="1"/>
    <col min="1542" max="1542" width="10.7109375" style="624" bestFit="1" customWidth="1"/>
    <col min="1543" max="1543" width="14.7109375" style="624" bestFit="1" customWidth="1"/>
    <col min="1544" max="1791" width="9.140625" style="624"/>
    <col min="1792" max="1794" width="9.28515625" style="624" bestFit="1" customWidth="1"/>
    <col min="1795" max="1795" width="17.85546875" style="624" customWidth="1"/>
    <col min="1796" max="1796" width="9.28515625" style="624" bestFit="1" customWidth="1"/>
    <col min="1797" max="1797" width="16.140625" style="624" bestFit="1" customWidth="1"/>
    <col min="1798" max="1798" width="10.7109375" style="624" bestFit="1" customWidth="1"/>
    <col min="1799" max="1799" width="14.7109375" style="624" bestFit="1" customWidth="1"/>
    <col min="1800" max="2047" width="9.140625" style="624"/>
    <col min="2048" max="2050" width="9.28515625" style="624" bestFit="1" customWidth="1"/>
    <col min="2051" max="2051" width="17.85546875" style="624" customWidth="1"/>
    <col min="2052" max="2052" width="9.28515625" style="624" bestFit="1" customWidth="1"/>
    <col min="2053" max="2053" width="16.140625" style="624" bestFit="1" customWidth="1"/>
    <col min="2054" max="2054" width="10.7109375" style="624" bestFit="1" customWidth="1"/>
    <col min="2055" max="2055" width="14.7109375" style="624" bestFit="1" customWidth="1"/>
    <col min="2056" max="2303" width="9.140625" style="624"/>
    <col min="2304" max="2306" width="9.28515625" style="624" bestFit="1" customWidth="1"/>
    <col min="2307" max="2307" width="17.85546875" style="624" customWidth="1"/>
    <col min="2308" max="2308" width="9.28515625" style="624" bestFit="1" customWidth="1"/>
    <col min="2309" max="2309" width="16.140625" style="624" bestFit="1" customWidth="1"/>
    <col min="2310" max="2310" width="10.7109375" style="624" bestFit="1" customWidth="1"/>
    <col min="2311" max="2311" width="14.7109375" style="624" bestFit="1" customWidth="1"/>
    <col min="2312" max="2559" width="9.140625" style="624"/>
    <col min="2560" max="2562" width="9.28515625" style="624" bestFit="1" customWidth="1"/>
    <col min="2563" max="2563" width="17.85546875" style="624" customWidth="1"/>
    <col min="2564" max="2564" width="9.28515625" style="624" bestFit="1" customWidth="1"/>
    <col min="2565" max="2565" width="16.140625" style="624" bestFit="1" customWidth="1"/>
    <col min="2566" max="2566" width="10.7109375" style="624" bestFit="1" customWidth="1"/>
    <col min="2567" max="2567" width="14.7109375" style="624" bestFit="1" customWidth="1"/>
    <col min="2568" max="2815" width="9.140625" style="624"/>
    <col min="2816" max="2818" width="9.28515625" style="624" bestFit="1" customWidth="1"/>
    <col min="2819" max="2819" width="17.85546875" style="624" customWidth="1"/>
    <col min="2820" max="2820" width="9.28515625" style="624" bestFit="1" customWidth="1"/>
    <col min="2821" max="2821" width="16.140625" style="624" bestFit="1" customWidth="1"/>
    <col min="2822" max="2822" width="10.7109375" style="624" bestFit="1" customWidth="1"/>
    <col min="2823" max="2823" width="14.7109375" style="624" bestFit="1" customWidth="1"/>
    <col min="2824" max="3071" width="9.140625" style="624"/>
    <col min="3072" max="3074" width="9.28515625" style="624" bestFit="1" customWidth="1"/>
    <col min="3075" max="3075" width="17.85546875" style="624" customWidth="1"/>
    <col min="3076" max="3076" width="9.28515625" style="624" bestFit="1" customWidth="1"/>
    <col min="3077" max="3077" width="16.140625" style="624" bestFit="1" customWidth="1"/>
    <col min="3078" max="3078" width="10.7109375" style="624" bestFit="1" customWidth="1"/>
    <col min="3079" max="3079" width="14.7109375" style="624" bestFit="1" customWidth="1"/>
    <col min="3080" max="3327" width="9.140625" style="624"/>
    <col min="3328" max="3330" width="9.28515625" style="624" bestFit="1" customWidth="1"/>
    <col min="3331" max="3331" width="17.85546875" style="624" customWidth="1"/>
    <col min="3332" max="3332" width="9.28515625" style="624" bestFit="1" customWidth="1"/>
    <col min="3333" max="3333" width="16.140625" style="624" bestFit="1" customWidth="1"/>
    <col min="3334" max="3334" width="10.7109375" style="624" bestFit="1" customWidth="1"/>
    <col min="3335" max="3335" width="14.7109375" style="624" bestFit="1" customWidth="1"/>
    <col min="3336" max="3583" width="9.140625" style="624"/>
    <col min="3584" max="3586" width="9.28515625" style="624" bestFit="1" customWidth="1"/>
    <col min="3587" max="3587" width="17.85546875" style="624" customWidth="1"/>
    <col min="3588" max="3588" width="9.28515625" style="624" bestFit="1" customWidth="1"/>
    <col min="3589" max="3589" width="16.140625" style="624" bestFit="1" customWidth="1"/>
    <col min="3590" max="3590" width="10.7109375" style="624" bestFit="1" customWidth="1"/>
    <col min="3591" max="3591" width="14.7109375" style="624" bestFit="1" customWidth="1"/>
    <col min="3592" max="3839" width="9.140625" style="624"/>
    <col min="3840" max="3842" width="9.28515625" style="624" bestFit="1" customWidth="1"/>
    <col min="3843" max="3843" width="17.85546875" style="624" customWidth="1"/>
    <col min="3844" max="3844" width="9.28515625" style="624" bestFit="1" customWidth="1"/>
    <col min="3845" max="3845" width="16.140625" style="624" bestFit="1" customWidth="1"/>
    <col min="3846" max="3846" width="10.7109375" style="624" bestFit="1" customWidth="1"/>
    <col min="3847" max="3847" width="14.7109375" style="624" bestFit="1" customWidth="1"/>
    <col min="3848" max="4095" width="9.140625" style="624"/>
    <col min="4096" max="4098" width="9.28515625" style="624" bestFit="1" customWidth="1"/>
    <col min="4099" max="4099" width="17.85546875" style="624" customWidth="1"/>
    <col min="4100" max="4100" width="9.28515625" style="624" bestFit="1" customWidth="1"/>
    <col min="4101" max="4101" width="16.140625" style="624" bestFit="1" customWidth="1"/>
    <col min="4102" max="4102" width="10.7109375" style="624" bestFit="1" customWidth="1"/>
    <col min="4103" max="4103" width="14.7109375" style="624" bestFit="1" customWidth="1"/>
    <col min="4104" max="4351" width="9.140625" style="624"/>
    <col min="4352" max="4354" width="9.28515625" style="624" bestFit="1" customWidth="1"/>
    <col min="4355" max="4355" width="17.85546875" style="624" customWidth="1"/>
    <col min="4356" max="4356" width="9.28515625" style="624" bestFit="1" customWidth="1"/>
    <col min="4357" max="4357" width="16.140625" style="624" bestFit="1" customWidth="1"/>
    <col min="4358" max="4358" width="10.7109375" style="624" bestFit="1" customWidth="1"/>
    <col min="4359" max="4359" width="14.7109375" style="624" bestFit="1" customWidth="1"/>
    <col min="4360" max="4607" width="9.140625" style="624"/>
    <col min="4608" max="4610" width="9.28515625" style="624" bestFit="1" customWidth="1"/>
    <col min="4611" max="4611" width="17.85546875" style="624" customWidth="1"/>
    <col min="4612" max="4612" width="9.28515625" style="624" bestFit="1" customWidth="1"/>
    <col min="4613" max="4613" width="16.140625" style="624" bestFit="1" customWidth="1"/>
    <col min="4614" max="4614" width="10.7109375" style="624" bestFit="1" customWidth="1"/>
    <col min="4615" max="4615" width="14.7109375" style="624" bestFit="1" customWidth="1"/>
    <col min="4616" max="4863" width="9.140625" style="624"/>
    <col min="4864" max="4866" width="9.28515625" style="624" bestFit="1" customWidth="1"/>
    <col min="4867" max="4867" width="17.85546875" style="624" customWidth="1"/>
    <col min="4868" max="4868" width="9.28515625" style="624" bestFit="1" customWidth="1"/>
    <col min="4869" max="4869" width="16.140625" style="624" bestFit="1" customWidth="1"/>
    <col min="4870" max="4870" width="10.7109375" style="624" bestFit="1" customWidth="1"/>
    <col min="4871" max="4871" width="14.7109375" style="624" bestFit="1" customWidth="1"/>
    <col min="4872" max="5119" width="9.140625" style="624"/>
    <col min="5120" max="5122" width="9.28515625" style="624" bestFit="1" customWidth="1"/>
    <col min="5123" max="5123" width="17.85546875" style="624" customWidth="1"/>
    <col min="5124" max="5124" width="9.28515625" style="624" bestFit="1" customWidth="1"/>
    <col min="5125" max="5125" width="16.140625" style="624" bestFit="1" customWidth="1"/>
    <col min="5126" max="5126" width="10.7109375" style="624" bestFit="1" customWidth="1"/>
    <col min="5127" max="5127" width="14.7109375" style="624" bestFit="1" customWidth="1"/>
    <col min="5128" max="5375" width="9.140625" style="624"/>
    <col min="5376" max="5378" width="9.28515625" style="624" bestFit="1" customWidth="1"/>
    <col min="5379" max="5379" width="17.85546875" style="624" customWidth="1"/>
    <col min="5380" max="5380" width="9.28515625" style="624" bestFit="1" customWidth="1"/>
    <col min="5381" max="5381" width="16.140625" style="624" bestFit="1" customWidth="1"/>
    <col min="5382" max="5382" width="10.7109375" style="624" bestFit="1" customWidth="1"/>
    <col min="5383" max="5383" width="14.7109375" style="624" bestFit="1" customWidth="1"/>
    <col min="5384" max="5631" width="9.140625" style="624"/>
    <col min="5632" max="5634" width="9.28515625" style="624" bestFit="1" customWidth="1"/>
    <col min="5635" max="5635" width="17.85546875" style="624" customWidth="1"/>
    <col min="5636" max="5636" width="9.28515625" style="624" bestFit="1" customWidth="1"/>
    <col min="5637" max="5637" width="16.140625" style="624" bestFit="1" customWidth="1"/>
    <col min="5638" max="5638" width="10.7109375" style="624" bestFit="1" customWidth="1"/>
    <col min="5639" max="5639" width="14.7109375" style="624" bestFit="1" customWidth="1"/>
    <col min="5640" max="5887" width="9.140625" style="624"/>
    <col min="5888" max="5890" width="9.28515625" style="624" bestFit="1" customWidth="1"/>
    <col min="5891" max="5891" width="17.85546875" style="624" customWidth="1"/>
    <col min="5892" max="5892" width="9.28515625" style="624" bestFit="1" customWidth="1"/>
    <col min="5893" max="5893" width="16.140625" style="624" bestFit="1" customWidth="1"/>
    <col min="5894" max="5894" width="10.7109375" style="624" bestFit="1" customWidth="1"/>
    <col min="5895" max="5895" width="14.7109375" style="624" bestFit="1" customWidth="1"/>
    <col min="5896" max="6143" width="9.140625" style="624"/>
    <col min="6144" max="6146" width="9.28515625" style="624" bestFit="1" customWidth="1"/>
    <col min="6147" max="6147" width="17.85546875" style="624" customWidth="1"/>
    <col min="6148" max="6148" width="9.28515625" style="624" bestFit="1" customWidth="1"/>
    <col min="6149" max="6149" width="16.140625" style="624" bestFit="1" customWidth="1"/>
    <col min="6150" max="6150" width="10.7109375" style="624" bestFit="1" customWidth="1"/>
    <col min="6151" max="6151" width="14.7109375" style="624" bestFit="1" customWidth="1"/>
    <col min="6152" max="6399" width="9.140625" style="624"/>
    <col min="6400" max="6402" width="9.28515625" style="624" bestFit="1" customWidth="1"/>
    <col min="6403" max="6403" width="17.85546875" style="624" customWidth="1"/>
    <col min="6404" max="6404" width="9.28515625" style="624" bestFit="1" customWidth="1"/>
    <col min="6405" max="6405" width="16.140625" style="624" bestFit="1" customWidth="1"/>
    <col min="6406" max="6406" width="10.7109375" style="624" bestFit="1" customWidth="1"/>
    <col min="6407" max="6407" width="14.7109375" style="624" bestFit="1" customWidth="1"/>
    <col min="6408" max="6655" width="9.140625" style="624"/>
    <col min="6656" max="6658" width="9.28515625" style="624" bestFit="1" customWidth="1"/>
    <col min="6659" max="6659" width="17.85546875" style="624" customWidth="1"/>
    <col min="6660" max="6660" width="9.28515625" style="624" bestFit="1" customWidth="1"/>
    <col min="6661" max="6661" width="16.140625" style="624" bestFit="1" customWidth="1"/>
    <col min="6662" max="6662" width="10.7109375" style="624" bestFit="1" customWidth="1"/>
    <col min="6663" max="6663" width="14.7109375" style="624" bestFit="1" customWidth="1"/>
    <col min="6664" max="6911" width="9.140625" style="624"/>
    <col min="6912" max="6914" width="9.28515625" style="624" bestFit="1" customWidth="1"/>
    <col min="6915" max="6915" width="17.85546875" style="624" customWidth="1"/>
    <col min="6916" max="6916" width="9.28515625" style="624" bestFit="1" customWidth="1"/>
    <col min="6917" max="6917" width="16.140625" style="624" bestFit="1" customWidth="1"/>
    <col min="6918" max="6918" width="10.7109375" style="624" bestFit="1" customWidth="1"/>
    <col min="6919" max="6919" width="14.7109375" style="624" bestFit="1" customWidth="1"/>
    <col min="6920" max="7167" width="9.140625" style="624"/>
    <col min="7168" max="7170" width="9.28515625" style="624" bestFit="1" customWidth="1"/>
    <col min="7171" max="7171" width="17.85546875" style="624" customWidth="1"/>
    <col min="7172" max="7172" width="9.28515625" style="624" bestFit="1" customWidth="1"/>
    <col min="7173" max="7173" width="16.140625" style="624" bestFit="1" customWidth="1"/>
    <col min="7174" max="7174" width="10.7109375" style="624" bestFit="1" customWidth="1"/>
    <col min="7175" max="7175" width="14.7109375" style="624" bestFit="1" customWidth="1"/>
    <col min="7176" max="7423" width="9.140625" style="624"/>
    <col min="7424" max="7426" width="9.28515625" style="624" bestFit="1" customWidth="1"/>
    <col min="7427" max="7427" width="17.85546875" style="624" customWidth="1"/>
    <col min="7428" max="7428" width="9.28515625" style="624" bestFit="1" customWidth="1"/>
    <col min="7429" max="7429" width="16.140625" style="624" bestFit="1" customWidth="1"/>
    <col min="7430" max="7430" width="10.7109375" style="624" bestFit="1" customWidth="1"/>
    <col min="7431" max="7431" width="14.7109375" style="624" bestFit="1" customWidth="1"/>
    <col min="7432" max="7679" width="9.140625" style="624"/>
    <col min="7680" max="7682" width="9.28515625" style="624" bestFit="1" customWidth="1"/>
    <col min="7683" max="7683" width="17.85546875" style="624" customWidth="1"/>
    <col min="7684" max="7684" width="9.28515625" style="624" bestFit="1" customWidth="1"/>
    <col min="7685" max="7685" width="16.140625" style="624" bestFit="1" customWidth="1"/>
    <col min="7686" max="7686" width="10.7109375" style="624" bestFit="1" customWidth="1"/>
    <col min="7687" max="7687" width="14.7109375" style="624" bestFit="1" customWidth="1"/>
    <col min="7688" max="7935" width="9.140625" style="624"/>
    <col min="7936" max="7938" width="9.28515625" style="624" bestFit="1" customWidth="1"/>
    <col min="7939" max="7939" width="17.85546875" style="624" customWidth="1"/>
    <col min="7940" max="7940" width="9.28515625" style="624" bestFit="1" customWidth="1"/>
    <col min="7941" max="7941" width="16.140625" style="624" bestFit="1" customWidth="1"/>
    <col min="7942" max="7942" width="10.7109375" style="624" bestFit="1" customWidth="1"/>
    <col min="7943" max="7943" width="14.7109375" style="624" bestFit="1" customWidth="1"/>
    <col min="7944" max="8191" width="9.140625" style="624"/>
    <col min="8192" max="8194" width="9.28515625" style="624" bestFit="1" customWidth="1"/>
    <col min="8195" max="8195" width="17.85546875" style="624" customWidth="1"/>
    <col min="8196" max="8196" width="9.28515625" style="624" bestFit="1" customWidth="1"/>
    <col min="8197" max="8197" width="16.140625" style="624" bestFit="1" customWidth="1"/>
    <col min="8198" max="8198" width="10.7109375" style="624" bestFit="1" customWidth="1"/>
    <col min="8199" max="8199" width="14.7109375" style="624" bestFit="1" customWidth="1"/>
    <col min="8200" max="8447" width="9.140625" style="624"/>
    <col min="8448" max="8450" width="9.28515625" style="624" bestFit="1" customWidth="1"/>
    <col min="8451" max="8451" width="17.85546875" style="624" customWidth="1"/>
    <col min="8452" max="8452" width="9.28515625" style="624" bestFit="1" customWidth="1"/>
    <col min="8453" max="8453" width="16.140625" style="624" bestFit="1" customWidth="1"/>
    <col min="8454" max="8454" width="10.7109375" style="624" bestFit="1" customWidth="1"/>
    <col min="8455" max="8455" width="14.7109375" style="624" bestFit="1" customWidth="1"/>
    <col min="8456" max="8703" width="9.140625" style="624"/>
    <col min="8704" max="8706" width="9.28515625" style="624" bestFit="1" customWidth="1"/>
    <col min="8707" max="8707" width="17.85546875" style="624" customWidth="1"/>
    <col min="8708" max="8708" width="9.28515625" style="624" bestFit="1" customWidth="1"/>
    <col min="8709" max="8709" width="16.140625" style="624" bestFit="1" customWidth="1"/>
    <col min="8710" max="8710" width="10.7109375" style="624" bestFit="1" customWidth="1"/>
    <col min="8711" max="8711" width="14.7109375" style="624" bestFit="1" customWidth="1"/>
    <col min="8712" max="8959" width="9.140625" style="624"/>
    <col min="8960" max="8962" width="9.28515625" style="624" bestFit="1" customWidth="1"/>
    <col min="8963" max="8963" width="17.85546875" style="624" customWidth="1"/>
    <col min="8964" max="8964" width="9.28515625" style="624" bestFit="1" customWidth="1"/>
    <col min="8965" max="8965" width="16.140625" style="624" bestFit="1" customWidth="1"/>
    <col min="8966" max="8966" width="10.7109375" style="624" bestFit="1" customWidth="1"/>
    <col min="8967" max="8967" width="14.7109375" style="624" bestFit="1" customWidth="1"/>
    <col min="8968" max="9215" width="9.140625" style="624"/>
    <col min="9216" max="9218" width="9.28515625" style="624" bestFit="1" customWidth="1"/>
    <col min="9219" max="9219" width="17.85546875" style="624" customWidth="1"/>
    <col min="9220" max="9220" width="9.28515625" style="624" bestFit="1" customWidth="1"/>
    <col min="9221" max="9221" width="16.140625" style="624" bestFit="1" customWidth="1"/>
    <col min="9222" max="9222" width="10.7109375" style="624" bestFit="1" customWidth="1"/>
    <col min="9223" max="9223" width="14.7109375" style="624" bestFit="1" customWidth="1"/>
    <col min="9224" max="9471" width="9.140625" style="624"/>
    <col min="9472" max="9474" width="9.28515625" style="624" bestFit="1" customWidth="1"/>
    <col min="9475" max="9475" width="17.85546875" style="624" customWidth="1"/>
    <col min="9476" max="9476" width="9.28515625" style="624" bestFit="1" customWidth="1"/>
    <col min="9477" max="9477" width="16.140625" style="624" bestFit="1" customWidth="1"/>
    <col min="9478" max="9478" width="10.7109375" style="624" bestFit="1" customWidth="1"/>
    <col min="9479" max="9479" width="14.7109375" style="624" bestFit="1" customWidth="1"/>
    <col min="9480" max="9727" width="9.140625" style="624"/>
    <col min="9728" max="9730" width="9.28515625" style="624" bestFit="1" customWidth="1"/>
    <col min="9731" max="9731" width="17.85546875" style="624" customWidth="1"/>
    <col min="9732" max="9732" width="9.28515625" style="624" bestFit="1" customWidth="1"/>
    <col min="9733" max="9733" width="16.140625" style="624" bestFit="1" customWidth="1"/>
    <col min="9734" max="9734" width="10.7109375" style="624" bestFit="1" customWidth="1"/>
    <col min="9735" max="9735" width="14.7109375" style="624" bestFit="1" customWidth="1"/>
    <col min="9736" max="9983" width="9.140625" style="624"/>
    <col min="9984" max="9986" width="9.28515625" style="624" bestFit="1" customWidth="1"/>
    <col min="9987" max="9987" width="17.85546875" style="624" customWidth="1"/>
    <col min="9988" max="9988" width="9.28515625" style="624" bestFit="1" customWidth="1"/>
    <col min="9989" max="9989" width="16.140625" style="624" bestFit="1" customWidth="1"/>
    <col min="9990" max="9990" width="10.7109375" style="624" bestFit="1" customWidth="1"/>
    <col min="9991" max="9991" width="14.7109375" style="624" bestFit="1" customWidth="1"/>
    <col min="9992" max="10239" width="9.140625" style="624"/>
    <col min="10240" max="10242" width="9.28515625" style="624" bestFit="1" customWidth="1"/>
    <col min="10243" max="10243" width="17.85546875" style="624" customWidth="1"/>
    <col min="10244" max="10244" width="9.28515625" style="624" bestFit="1" customWidth="1"/>
    <col min="10245" max="10245" width="16.140625" style="624" bestFit="1" customWidth="1"/>
    <col min="10246" max="10246" width="10.7109375" style="624" bestFit="1" customWidth="1"/>
    <col min="10247" max="10247" width="14.7109375" style="624" bestFit="1" customWidth="1"/>
    <col min="10248" max="10495" width="9.140625" style="624"/>
    <col min="10496" max="10498" width="9.28515625" style="624" bestFit="1" customWidth="1"/>
    <col min="10499" max="10499" width="17.85546875" style="624" customWidth="1"/>
    <col min="10500" max="10500" width="9.28515625" style="624" bestFit="1" customWidth="1"/>
    <col min="10501" max="10501" width="16.140625" style="624" bestFit="1" customWidth="1"/>
    <col min="10502" max="10502" width="10.7109375" style="624" bestFit="1" customWidth="1"/>
    <col min="10503" max="10503" width="14.7109375" style="624" bestFit="1" customWidth="1"/>
    <col min="10504" max="10751" width="9.140625" style="624"/>
    <col min="10752" max="10754" width="9.28515625" style="624" bestFit="1" customWidth="1"/>
    <col min="10755" max="10755" width="17.85546875" style="624" customWidth="1"/>
    <col min="10756" max="10756" width="9.28515625" style="624" bestFit="1" customWidth="1"/>
    <col min="10757" max="10757" width="16.140625" style="624" bestFit="1" customWidth="1"/>
    <col min="10758" max="10758" width="10.7109375" style="624" bestFit="1" customWidth="1"/>
    <col min="10759" max="10759" width="14.7109375" style="624" bestFit="1" customWidth="1"/>
    <col min="10760" max="11007" width="9.140625" style="624"/>
    <col min="11008" max="11010" width="9.28515625" style="624" bestFit="1" customWidth="1"/>
    <col min="11011" max="11011" width="17.85546875" style="624" customWidth="1"/>
    <col min="11012" max="11012" width="9.28515625" style="624" bestFit="1" customWidth="1"/>
    <col min="11013" max="11013" width="16.140625" style="624" bestFit="1" customWidth="1"/>
    <col min="11014" max="11014" width="10.7109375" style="624" bestFit="1" customWidth="1"/>
    <col min="11015" max="11015" width="14.7109375" style="624" bestFit="1" customWidth="1"/>
    <col min="11016" max="11263" width="9.140625" style="624"/>
    <col min="11264" max="11266" width="9.28515625" style="624" bestFit="1" customWidth="1"/>
    <col min="11267" max="11267" width="17.85546875" style="624" customWidth="1"/>
    <col min="11268" max="11268" width="9.28515625" style="624" bestFit="1" customWidth="1"/>
    <col min="11269" max="11269" width="16.140625" style="624" bestFit="1" customWidth="1"/>
    <col min="11270" max="11270" width="10.7109375" style="624" bestFit="1" customWidth="1"/>
    <col min="11271" max="11271" width="14.7109375" style="624" bestFit="1" customWidth="1"/>
    <col min="11272" max="11519" width="9.140625" style="624"/>
    <col min="11520" max="11522" width="9.28515625" style="624" bestFit="1" customWidth="1"/>
    <col min="11523" max="11523" width="17.85546875" style="624" customWidth="1"/>
    <col min="11524" max="11524" width="9.28515625" style="624" bestFit="1" customWidth="1"/>
    <col min="11525" max="11525" width="16.140625" style="624" bestFit="1" customWidth="1"/>
    <col min="11526" max="11526" width="10.7109375" style="624" bestFit="1" customWidth="1"/>
    <col min="11527" max="11527" width="14.7109375" style="624" bestFit="1" customWidth="1"/>
    <col min="11528" max="11775" width="9.140625" style="624"/>
    <col min="11776" max="11778" width="9.28515625" style="624" bestFit="1" customWidth="1"/>
    <col min="11779" max="11779" width="17.85546875" style="624" customWidth="1"/>
    <col min="11780" max="11780" width="9.28515625" style="624" bestFit="1" customWidth="1"/>
    <col min="11781" max="11781" width="16.140625" style="624" bestFit="1" customWidth="1"/>
    <col min="11782" max="11782" width="10.7109375" style="624" bestFit="1" customWidth="1"/>
    <col min="11783" max="11783" width="14.7109375" style="624" bestFit="1" customWidth="1"/>
    <col min="11784" max="12031" width="9.140625" style="624"/>
    <col min="12032" max="12034" width="9.28515625" style="624" bestFit="1" customWidth="1"/>
    <col min="12035" max="12035" width="17.85546875" style="624" customWidth="1"/>
    <col min="12036" max="12036" width="9.28515625" style="624" bestFit="1" customWidth="1"/>
    <col min="12037" max="12037" width="16.140625" style="624" bestFit="1" customWidth="1"/>
    <col min="12038" max="12038" width="10.7109375" style="624" bestFit="1" customWidth="1"/>
    <col min="12039" max="12039" width="14.7109375" style="624" bestFit="1" customWidth="1"/>
    <col min="12040" max="12287" width="9.140625" style="624"/>
    <col min="12288" max="12290" width="9.28515625" style="624" bestFit="1" customWidth="1"/>
    <col min="12291" max="12291" width="17.85546875" style="624" customWidth="1"/>
    <col min="12292" max="12292" width="9.28515625" style="624" bestFit="1" customWidth="1"/>
    <col min="12293" max="12293" width="16.140625" style="624" bestFit="1" customWidth="1"/>
    <col min="12294" max="12294" width="10.7109375" style="624" bestFit="1" customWidth="1"/>
    <col min="12295" max="12295" width="14.7109375" style="624" bestFit="1" customWidth="1"/>
    <col min="12296" max="12543" width="9.140625" style="624"/>
    <col min="12544" max="12546" width="9.28515625" style="624" bestFit="1" customWidth="1"/>
    <col min="12547" max="12547" width="17.85546875" style="624" customWidth="1"/>
    <col min="12548" max="12548" width="9.28515625" style="624" bestFit="1" customWidth="1"/>
    <col min="12549" max="12549" width="16.140625" style="624" bestFit="1" customWidth="1"/>
    <col min="12550" max="12550" width="10.7109375" style="624" bestFit="1" customWidth="1"/>
    <col min="12551" max="12551" width="14.7109375" style="624" bestFit="1" customWidth="1"/>
    <col min="12552" max="12799" width="9.140625" style="624"/>
    <col min="12800" max="12802" width="9.28515625" style="624" bestFit="1" customWidth="1"/>
    <col min="12803" max="12803" width="17.85546875" style="624" customWidth="1"/>
    <col min="12804" max="12804" width="9.28515625" style="624" bestFit="1" customWidth="1"/>
    <col min="12805" max="12805" width="16.140625" style="624" bestFit="1" customWidth="1"/>
    <col min="12806" max="12806" width="10.7109375" style="624" bestFit="1" customWidth="1"/>
    <col min="12807" max="12807" width="14.7109375" style="624" bestFit="1" customWidth="1"/>
    <col min="12808" max="13055" width="9.140625" style="624"/>
    <col min="13056" max="13058" width="9.28515625" style="624" bestFit="1" customWidth="1"/>
    <col min="13059" max="13059" width="17.85546875" style="624" customWidth="1"/>
    <col min="13060" max="13060" width="9.28515625" style="624" bestFit="1" customWidth="1"/>
    <col min="13061" max="13061" width="16.140625" style="624" bestFit="1" customWidth="1"/>
    <col min="13062" max="13062" width="10.7109375" style="624" bestFit="1" customWidth="1"/>
    <col min="13063" max="13063" width="14.7109375" style="624" bestFit="1" customWidth="1"/>
    <col min="13064" max="13311" width="9.140625" style="624"/>
    <col min="13312" max="13314" width="9.28515625" style="624" bestFit="1" customWidth="1"/>
    <col min="13315" max="13315" width="17.85546875" style="624" customWidth="1"/>
    <col min="13316" max="13316" width="9.28515625" style="624" bestFit="1" customWidth="1"/>
    <col min="13317" max="13317" width="16.140625" style="624" bestFit="1" customWidth="1"/>
    <col min="13318" max="13318" width="10.7109375" style="624" bestFit="1" customWidth="1"/>
    <col min="13319" max="13319" width="14.7109375" style="624" bestFit="1" customWidth="1"/>
    <col min="13320" max="13567" width="9.140625" style="624"/>
    <col min="13568" max="13570" width="9.28515625" style="624" bestFit="1" customWidth="1"/>
    <col min="13571" max="13571" width="17.85546875" style="624" customWidth="1"/>
    <col min="13572" max="13572" width="9.28515625" style="624" bestFit="1" customWidth="1"/>
    <col min="13573" max="13573" width="16.140625" style="624" bestFit="1" customWidth="1"/>
    <col min="13574" max="13574" width="10.7109375" style="624" bestFit="1" customWidth="1"/>
    <col min="13575" max="13575" width="14.7109375" style="624" bestFit="1" customWidth="1"/>
    <col min="13576" max="13823" width="9.140625" style="624"/>
    <col min="13824" max="13826" width="9.28515625" style="624" bestFit="1" customWidth="1"/>
    <col min="13827" max="13827" width="17.85546875" style="624" customWidth="1"/>
    <col min="13828" max="13828" width="9.28515625" style="624" bestFit="1" customWidth="1"/>
    <col min="13829" max="13829" width="16.140625" style="624" bestFit="1" customWidth="1"/>
    <col min="13830" max="13830" width="10.7109375" style="624" bestFit="1" customWidth="1"/>
    <col min="13831" max="13831" width="14.7109375" style="624" bestFit="1" customWidth="1"/>
    <col min="13832" max="14079" width="9.140625" style="624"/>
    <col min="14080" max="14082" width="9.28515625" style="624" bestFit="1" customWidth="1"/>
    <col min="14083" max="14083" width="17.85546875" style="624" customWidth="1"/>
    <col min="14084" max="14084" width="9.28515625" style="624" bestFit="1" customWidth="1"/>
    <col min="14085" max="14085" width="16.140625" style="624" bestFit="1" customWidth="1"/>
    <col min="14086" max="14086" width="10.7109375" style="624" bestFit="1" customWidth="1"/>
    <col min="14087" max="14087" width="14.7109375" style="624" bestFit="1" customWidth="1"/>
    <col min="14088" max="14335" width="9.140625" style="624"/>
    <col min="14336" max="14338" width="9.28515625" style="624" bestFit="1" customWidth="1"/>
    <col min="14339" max="14339" width="17.85546875" style="624" customWidth="1"/>
    <col min="14340" max="14340" width="9.28515625" style="624" bestFit="1" customWidth="1"/>
    <col min="14341" max="14341" width="16.140625" style="624" bestFit="1" customWidth="1"/>
    <col min="14342" max="14342" width="10.7109375" style="624" bestFit="1" customWidth="1"/>
    <col min="14343" max="14343" width="14.7109375" style="624" bestFit="1" customWidth="1"/>
    <col min="14344" max="14591" width="9.140625" style="624"/>
    <col min="14592" max="14594" width="9.28515625" style="624" bestFit="1" customWidth="1"/>
    <col min="14595" max="14595" width="17.85546875" style="624" customWidth="1"/>
    <col min="14596" max="14596" width="9.28515625" style="624" bestFit="1" customWidth="1"/>
    <col min="14597" max="14597" width="16.140625" style="624" bestFit="1" customWidth="1"/>
    <col min="14598" max="14598" width="10.7109375" style="624" bestFit="1" customWidth="1"/>
    <col min="14599" max="14599" width="14.7109375" style="624" bestFit="1" customWidth="1"/>
    <col min="14600" max="14847" width="9.140625" style="624"/>
    <col min="14848" max="14850" width="9.28515625" style="624" bestFit="1" customWidth="1"/>
    <col min="14851" max="14851" width="17.85546875" style="624" customWidth="1"/>
    <col min="14852" max="14852" width="9.28515625" style="624" bestFit="1" customWidth="1"/>
    <col min="14853" max="14853" width="16.140625" style="624" bestFit="1" customWidth="1"/>
    <col min="14854" max="14854" width="10.7109375" style="624" bestFit="1" customWidth="1"/>
    <col min="14855" max="14855" width="14.7109375" style="624" bestFit="1" customWidth="1"/>
    <col min="14856" max="15103" width="9.140625" style="624"/>
    <col min="15104" max="15106" width="9.28515625" style="624" bestFit="1" customWidth="1"/>
    <col min="15107" max="15107" width="17.85546875" style="624" customWidth="1"/>
    <col min="15108" max="15108" width="9.28515625" style="624" bestFit="1" customWidth="1"/>
    <col min="15109" max="15109" width="16.140625" style="624" bestFit="1" customWidth="1"/>
    <col min="15110" max="15110" width="10.7109375" style="624" bestFit="1" customWidth="1"/>
    <col min="15111" max="15111" width="14.7109375" style="624" bestFit="1" customWidth="1"/>
    <col min="15112" max="15359" width="9.140625" style="624"/>
    <col min="15360" max="15362" width="9.28515625" style="624" bestFit="1" customWidth="1"/>
    <col min="15363" max="15363" width="17.85546875" style="624" customWidth="1"/>
    <col min="15364" max="15364" width="9.28515625" style="624" bestFit="1" customWidth="1"/>
    <col min="15365" max="15365" width="16.140625" style="624" bestFit="1" customWidth="1"/>
    <col min="15366" max="15366" width="10.7109375" style="624" bestFit="1" customWidth="1"/>
    <col min="15367" max="15367" width="14.7109375" style="624" bestFit="1" customWidth="1"/>
    <col min="15368" max="15615" width="9.140625" style="624"/>
    <col min="15616" max="15618" width="9.28515625" style="624" bestFit="1" customWidth="1"/>
    <col min="15619" max="15619" width="17.85546875" style="624" customWidth="1"/>
    <col min="15620" max="15620" width="9.28515625" style="624" bestFit="1" customWidth="1"/>
    <col min="15621" max="15621" width="16.140625" style="624" bestFit="1" customWidth="1"/>
    <col min="15622" max="15622" width="10.7109375" style="624" bestFit="1" customWidth="1"/>
    <col min="15623" max="15623" width="14.7109375" style="624" bestFit="1" customWidth="1"/>
    <col min="15624" max="15871" width="9.140625" style="624"/>
    <col min="15872" max="15874" width="9.28515625" style="624" bestFit="1" customWidth="1"/>
    <col min="15875" max="15875" width="17.85546875" style="624" customWidth="1"/>
    <col min="15876" max="15876" width="9.28515625" style="624" bestFit="1" customWidth="1"/>
    <col min="15877" max="15877" width="16.140625" style="624" bestFit="1" customWidth="1"/>
    <col min="15878" max="15878" width="10.7109375" style="624" bestFit="1" customWidth="1"/>
    <col min="15879" max="15879" width="14.7109375" style="624" bestFit="1" customWidth="1"/>
    <col min="15880" max="16127" width="9.140625" style="624"/>
    <col min="16128" max="16130" width="9.28515625" style="624" bestFit="1" customWidth="1"/>
    <col min="16131" max="16131" width="17.85546875" style="624" customWidth="1"/>
    <col min="16132" max="16132" width="9.28515625" style="624" bestFit="1" customWidth="1"/>
    <col min="16133" max="16133" width="16.140625" style="624" bestFit="1" customWidth="1"/>
    <col min="16134" max="16134" width="10.7109375" style="624" bestFit="1" customWidth="1"/>
    <col min="16135" max="16135" width="14.7109375" style="624" bestFit="1" customWidth="1"/>
    <col min="16136" max="16384" width="9.140625" style="624"/>
  </cols>
  <sheetData>
    <row r="1" spans="1:9" s="811" customFormat="1" ht="30" customHeight="1">
      <c r="A1" s="1917" t="s">
        <v>852</v>
      </c>
      <c r="B1" s="1917" t="s">
        <v>853</v>
      </c>
      <c r="C1" s="1917" t="s">
        <v>854</v>
      </c>
      <c r="D1" s="1918" t="s">
        <v>856</v>
      </c>
      <c r="E1" s="1917" t="s">
        <v>946</v>
      </c>
      <c r="F1" s="1919" t="s">
        <v>857</v>
      </c>
      <c r="G1" s="1919" t="s">
        <v>858</v>
      </c>
      <c r="H1" s="1920" t="s">
        <v>859</v>
      </c>
      <c r="I1" s="1100"/>
    </row>
    <row r="2" spans="1:9">
      <c r="A2" s="1921">
        <v>2567</v>
      </c>
      <c r="B2" s="1922">
        <v>9</v>
      </c>
      <c r="C2" s="1922">
        <v>1</v>
      </c>
      <c r="D2" s="2948" t="s">
        <v>4371</v>
      </c>
      <c r="E2" s="2949">
        <v>1</v>
      </c>
      <c r="F2" s="1923">
        <v>8000</v>
      </c>
      <c r="G2" s="2952">
        <v>8000</v>
      </c>
      <c r="H2" s="2953">
        <v>100</v>
      </c>
    </row>
    <row r="3" spans="1:9">
      <c r="A3" s="1921">
        <v>2567</v>
      </c>
      <c r="B3" s="1922">
        <v>9</v>
      </c>
      <c r="C3" s="1922">
        <v>1</v>
      </c>
      <c r="D3" s="2948" t="s">
        <v>1178</v>
      </c>
      <c r="E3" s="2949">
        <v>1</v>
      </c>
      <c r="F3" s="1923">
        <v>8000</v>
      </c>
      <c r="G3" s="2952">
        <v>8000</v>
      </c>
      <c r="H3" s="2953">
        <v>100</v>
      </c>
    </row>
    <row r="4" spans="1:9">
      <c r="A4" s="1921">
        <v>2567</v>
      </c>
      <c r="B4" s="1922">
        <v>9</v>
      </c>
      <c r="C4" s="1922">
        <v>1</v>
      </c>
      <c r="D4" s="2948" t="s">
        <v>786</v>
      </c>
      <c r="E4" s="2949">
        <v>3</v>
      </c>
      <c r="F4" s="1923">
        <v>202400</v>
      </c>
      <c r="G4" s="2952">
        <v>202400</v>
      </c>
      <c r="H4" s="2953">
        <v>100</v>
      </c>
    </row>
    <row r="5" spans="1:9">
      <c r="A5" s="1921">
        <v>2567</v>
      </c>
      <c r="B5" s="1922">
        <v>9</v>
      </c>
      <c r="C5" s="1922">
        <v>1</v>
      </c>
      <c r="D5" s="2948" t="s">
        <v>546</v>
      </c>
      <c r="E5" s="2949">
        <v>1</v>
      </c>
      <c r="F5" s="1923">
        <v>8000</v>
      </c>
      <c r="G5" s="2952">
        <v>8000</v>
      </c>
      <c r="H5" s="2953">
        <v>100</v>
      </c>
    </row>
    <row r="6" spans="1:9">
      <c r="A6" s="1921">
        <v>2567</v>
      </c>
      <c r="B6" s="1922">
        <v>9</v>
      </c>
      <c r="C6" s="1922">
        <v>1</v>
      </c>
      <c r="D6" s="2948" t="s">
        <v>553</v>
      </c>
      <c r="E6" s="2949">
        <v>7</v>
      </c>
      <c r="F6" s="1923">
        <v>1146453.01</v>
      </c>
      <c r="G6" s="2952">
        <v>1146453.01</v>
      </c>
      <c r="H6" s="2953">
        <v>100</v>
      </c>
    </row>
    <row r="7" spans="1:9">
      <c r="A7" s="1921">
        <v>2567</v>
      </c>
      <c r="B7" s="1922">
        <v>9</v>
      </c>
      <c r="C7" s="1922">
        <v>1</v>
      </c>
      <c r="D7" s="2948" t="s">
        <v>571</v>
      </c>
      <c r="E7" s="2949">
        <v>2</v>
      </c>
      <c r="F7" s="1923">
        <v>8000</v>
      </c>
      <c r="G7" s="2952">
        <v>8000</v>
      </c>
      <c r="H7" s="2953">
        <v>100</v>
      </c>
    </row>
    <row r="8" spans="1:9">
      <c r="A8" s="1921">
        <v>2567</v>
      </c>
      <c r="B8" s="1922">
        <v>9</v>
      </c>
      <c r="C8" s="1922">
        <v>1</v>
      </c>
      <c r="D8" s="2948" t="s">
        <v>798</v>
      </c>
      <c r="E8" s="2949">
        <v>4</v>
      </c>
      <c r="F8" s="1923">
        <v>503965.7</v>
      </c>
      <c r="G8" s="2952">
        <v>503965.7</v>
      </c>
      <c r="H8" s="2953">
        <v>100</v>
      </c>
    </row>
    <row r="9" spans="1:9">
      <c r="A9" s="1921">
        <v>2567</v>
      </c>
      <c r="B9" s="1922">
        <v>9</v>
      </c>
      <c r="C9" s="1922">
        <v>1</v>
      </c>
      <c r="D9" s="2948" t="s">
        <v>575</v>
      </c>
      <c r="E9" s="2949">
        <v>1</v>
      </c>
      <c r="F9" s="1923">
        <v>8000</v>
      </c>
      <c r="G9" s="2952">
        <v>8000</v>
      </c>
      <c r="H9" s="2953">
        <v>100</v>
      </c>
    </row>
    <row r="10" spans="1:9">
      <c r="A10" s="1921">
        <v>2567</v>
      </c>
      <c r="B10" s="1922">
        <v>9</v>
      </c>
      <c r="C10" s="1922">
        <v>1</v>
      </c>
      <c r="D10" s="2948" t="s">
        <v>799</v>
      </c>
      <c r="E10" s="2949">
        <v>3</v>
      </c>
      <c r="F10" s="1923">
        <v>195720</v>
      </c>
      <c r="G10" s="2952">
        <v>195720</v>
      </c>
      <c r="H10" s="2953">
        <v>100</v>
      </c>
    </row>
    <row r="11" spans="1:9">
      <c r="A11" s="1921">
        <v>2567</v>
      </c>
      <c r="B11" s="1922">
        <v>9</v>
      </c>
      <c r="C11" s="1922">
        <v>1</v>
      </c>
      <c r="D11" s="2948" t="s">
        <v>343</v>
      </c>
      <c r="E11" s="2949">
        <v>2</v>
      </c>
      <c r="F11" s="1923">
        <v>112000</v>
      </c>
      <c r="G11" s="2952">
        <v>112000</v>
      </c>
      <c r="H11" s="2953">
        <v>100</v>
      </c>
    </row>
    <row r="12" spans="1:9">
      <c r="A12" s="1921">
        <v>2567</v>
      </c>
      <c r="B12" s="1922">
        <v>9</v>
      </c>
      <c r="C12" s="1922">
        <v>1</v>
      </c>
      <c r="D12" s="2948" t="s">
        <v>577</v>
      </c>
      <c r="E12" s="2949">
        <v>1</v>
      </c>
      <c r="F12" s="1923">
        <v>8000</v>
      </c>
      <c r="G12" s="2952">
        <v>8000</v>
      </c>
      <c r="H12" s="2953">
        <v>100</v>
      </c>
    </row>
    <row r="13" spans="1:9">
      <c r="A13" s="1921">
        <v>2567</v>
      </c>
      <c r="B13" s="1922">
        <v>9</v>
      </c>
      <c r="C13" s="1922">
        <v>1</v>
      </c>
      <c r="D13" s="2948" t="s">
        <v>580</v>
      </c>
      <c r="E13" s="2949">
        <v>3</v>
      </c>
      <c r="F13" s="1923">
        <v>216000</v>
      </c>
      <c r="G13" s="2952">
        <v>216000</v>
      </c>
      <c r="H13" s="2953">
        <v>100</v>
      </c>
    </row>
    <row r="14" spans="1:9">
      <c r="A14" s="1921">
        <v>2567</v>
      </c>
      <c r="B14" s="1922">
        <v>9</v>
      </c>
      <c r="C14" s="1922">
        <v>1</v>
      </c>
      <c r="D14" s="2948" t="s">
        <v>378</v>
      </c>
      <c r="E14" s="2949">
        <v>1</v>
      </c>
      <c r="F14" s="1923">
        <v>8000</v>
      </c>
      <c r="G14" s="2952">
        <v>8000</v>
      </c>
      <c r="H14" s="2953">
        <v>100</v>
      </c>
    </row>
    <row r="15" spans="1:9">
      <c r="A15" s="1921">
        <v>2567</v>
      </c>
      <c r="B15" s="1922">
        <v>9</v>
      </c>
      <c r="C15" s="1922">
        <v>1</v>
      </c>
      <c r="D15" s="2948" t="s">
        <v>802</v>
      </c>
      <c r="E15" s="2949">
        <v>7</v>
      </c>
      <c r="F15" s="1923">
        <v>848900</v>
      </c>
      <c r="G15" s="2952">
        <v>848900</v>
      </c>
      <c r="H15" s="2953">
        <v>100</v>
      </c>
    </row>
    <row r="16" spans="1:9">
      <c r="A16" s="1921">
        <v>2567</v>
      </c>
      <c r="B16" s="1922">
        <v>9</v>
      </c>
      <c r="C16" s="1922">
        <v>1</v>
      </c>
      <c r="D16" s="2948" t="s">
        <v>550</v>
      </c>
      <c r="E16" s="2949">
        <v>16</v>
      </c>
      <c r="F16" s="1923">
        <v>1771200</v>
      </c>
      <c r="G16" s="2952">
        <v>1771200</v>
      </c>
      <c r="H16" s="2953">
        <v>100</v>
      </c>
    </row>
    <row r="17" spans="1:8">
      <c r="A17" s="1921">
        <v>2567</v>
      </c>
      <c r="B17" s="1922">
        <v>9</v>
      </c>
      <c r="C17" s="1922">
        <v>1</v>
      </c>
      <c r="D17" s="2948" t="s">
        <v>582</v>
      </c>
      <c r="E17" s="2949">
        <v>5</v>
      </c>
      <c r="F17" s="1923">
        <v>727600</v>
      </c>
      <c r="G17" s="2954">
        <v>727600</v>
      </c>
      <c r="H17" s="2953">
        <v>100</v>
      </c>
    </row>
    <row r="18" spans="1:8">
      <c r="A18" s="1921">
        <v>2567</v>
      </c>
      <c r="B18" s="1922">
        <v>9</v>
      </c>
      <c r="C18" s="1922">
        <v>1</v>
      </c>
      <c r="D18" s="2948" t="s">
        <v>359</v>
      </c>
      <c r="E18" s="2949">
        <v>3</v>
      </c>
      <c r="F18" s="1923">
        <v>315200</v>
      </c>
      <c r="G18" s="2952">
        <v>315200</v>
      </c>
      <c r="H18" s="2953">
        <v>100</v>
      </c>
    </row>
    <row r="19" spans="1:8">
      <c r="A19" s="1921">
        <v>2567</v>
      </c>
      <c r="B19" s="1922">
        <v>9</v>
      </c>
      <c r="C19" s="1922">
        <v>1</v>
      </c>
      <c r="D19" s="2948" t="s">
        <v>564</v>
      </c>
      <c r="E19" s="2949">
        <v>5</v>
      </c>
      <c r="F19" s="1923">
        <v>351600</v>
      </c>
      <c r="G19" s="2952">
        <v>351600</v>
      </c>
      <c r="H19" s="2953">
        <v>100</v>
      </c>
    </row>
    <row r="20" spans="1:8">
      <c r="A20" s="1921">
        <v>2567</v>
      </c>
      <c r="B20" s="1922">
        <v>9</v>
      </c>
      <c r="C20" s="1922">
        <v>1</v>
      </c>
      <c r="D20" s="2948" t="s">
        <v>567</v>
      </c>
      <c r="E20" s="2949">
        <v>2</v>
      </c>
      <c r="F20" s="1923">
        <v>112000</v>
      </c>
      <c r="G20" s="2952">
        <v>112000</v>
      </c>
      <c r="H20" s="2953">
        <v>100</v>
      </c>
    </row>
    <row r="21" spans="1:8">
      <c r="A21" s="1921">
        <v>2567</v>
      </c>
      <c r="B21" s="1922">
        <v>9</v>
      </c>
      <c r="C21" s="1922">
        <v>1</v>
      </c>
      <c r="D21" s="2948" t="s">
        <v>579</v>
      </c>
      <c r="E21" s="2949">
        <v>3</v>
      </c>
      <c r="F21" s="1923">
        <v>155000</v>
      </c>
      <c r="G21" s="2952">
        <v>155000</v>
      </c>
      <c r="H21" s="2953">
        <v>100</v>
      </c>
    </row>
    <row r="22" spans="1:8">
      <c r="A22" s="1921">
        <v>2567</v>
      </c>
      <c r="B22" s="1922">
        <v>9</v>
      </c>
      <c r="C22" s="1922">
        <v>1</v>
      </c>
      <c r="D22" s="2948" t="s">
        <v>543</v>
      </c>
      <c r="E22" s="2949">
        <v>4</v>
      </c>
      <c r="F22" s="1923">
        <v>143600</v>
      </c>
      <c r="G22" s="2952">
        <v>143600</v>
      </c>
      <c r="H22" s="2953">
        <v>100</v>
      </c>
    </row>
    <row r="23" spans="1:8">
      <c r="A23" s="1921">
        <v>2567</v>
      </c>
      <c r="B23" s="1922">
        <v>9</v>
      </c>
      <c r="C23" s="1922">
        <v>1</v>
      </c>
      <c r="D23" s="2948" t="s">
        <v>344</v>
      </c>
      <c r="E23" s="2949">
        <v>2</v>
      </c>
      <c r="F23" s="1923">
        <v>368000</v>
      </c>
      <c r="G23" s="2952">
        <v>368000</v>
      </c>
      <c r="H23" s="2953">
        <v>100</v>
      </c>
    </row>
    <row r="24" spans="1:8">
      <c r="A24" s="1921">
        <v>2567</v>
      </c>
      <c r="B24" s="1922">
        <v>9</v>
      </c>
      <c r="C24" s="1922">
        <v>1</v>
      </c>
      <c r="D24" s="2948" t="s">
        <v>796</v>
      </c>
      <c r="E24" s="2949">
        <v>2</v>
      </c>
      <c r="F24" s="1923">
        <v>424000</v>
      </c>
      <c r="G24" s="2952">
        <v>424000</v>
      </c>
      <c r="H24" s="2953">
        <v>100</v>
      </c>
    </row>
    <row r="25" spans="1:8">
      <c r="A25" s="1921">
        <v>2567</v>
      </c>
      <c r="B25" s="1922">
        <v>9</v>
      </c>
      <c r="C25" s="1922">
        <v>1</v>
      </c>
      <c r="D25" s="2948" t="s">
        <v>542</v>
      </c>
      <c r="E25" s="2949">
        <v>5</v>
      </c>
      <c r="F25" s="1923">
        <v>556000</v>
      </c>
      <c r="G25" s="2952">
        <v>556000</v>
      </c>
      <c r="H25" s="2953">
        <v>100</v>
      </c>
    </row>
    <row r="26" spans="1:8">
      <c r="A26" s="1921">
        <v>2567</v>
      </c>
      <c r="B26" s="1922">
        <v>9</v>
      </c>
      <c r="C26" s="1922">
        <v>1</v>
      </c>
      <c r="D26" s="2948" t="s">
        <v>800</v>
      </c>
      <c r="E26" s="2949">
        <v>3</v>
      </c>
      <c r="F26" s="1923">
        <v>611000</v>
      </c>
      <c r="G26" s="2952">
        <v>611000</v>
      </c>
      <c r="H26" s="2953">
        <v>100</v>
      </c>
    </row>
    <row r="27" spans="1:8">
      <c r="A27" s="1921">
        <v>2567</v>
      </c>
      <c r="B27" s="1922">
        <v>9</v>
      </c>
      <c r="C27" s="1922">
        <v>1</v>
      </c>
      <c r="D27" s="2948" t="s">
        <v>788</v>
      </c>
      <c r="E27" s="2949">
        <v>6</v>
      </c>
      <c r="F27" s="1923">
        <v>618400</v>
      </c>
      <c r="G27" s="2952">
        <v>618400</v>
      </c>
      <c r="H27" s="2953">
        <v>100</v>
      </c>
    </row>
    <row r="28" spans="1:8">
      <c r="A28" s="1921">
        <v>2567</v>
      </c>
      <c r="B28" s="1922">
        <v>9</v>
      </c>
      <c r="C28" s="1922">
        <v>1</v>
      </c>
      <c r="D28" s="2948" t="s">
        <v>573</v>
      </c>
      <c r="E28" s="2949">
        <v>5</v>
      </c>
      <c r="F28" s="1923">
        <v>696000</v>
      </c>
      <c r="G28" s="2952">
        <v>696000</v>
      </c>
      <c r="H28" s="2953">
        <v>100</v>
      </c>
    </row>
    <row r="29" spans="1:8">
      <c r="A29" s="1921">
        <v>2567</v>
      </c>
      <c r="B29" s="1922">
        <v>9</v>
      </c>
      <c r="C29" s="1922">
        <v>1</v>
      </c>
      <c r="D29" s="2948" t="s">
        <v>574</v>
      </c>
      <c r="E29" s="2949">
        <v>1</v>
      </c>
      <c r="F29" s="1923">
        <v>8000</v>
      </c>
      <c r="G29" s="2952">
        <v>8000</v>
      </c>
      <c r="H29" s="2953">
        <v>100</v>
      </c>
    </row>
    <row r="30" spans="1:8">
      <c r="A30" s="1921">
        <v>2567</v>
      </c>
      <c r="B30" s="1922">
        <v>9</v>
      </c>
      <c r="C30" s="1922">
        <v>1</v>
      </c>
      <c r="D30" s="2948" t="s">
        <v>555</v>
      </c>
      <c r="E30" s="2949">
        <v>17</v>
      </c>
      <c r="F30" s="1923">
        <v>2197600</v>
      </c>
      <c r="G30" s="2952">
        <v>2197600</v>
      </c>
      <c r="H30" s="2953">
        <v>100</v>
      </c>
    </row>
    <row r="31" spans="1:8">
      <c r="A31" s="1921">
        <v>2567</v>
      </c>
      <c r="B31" s="1922">
        <v>9</v>
      </c>
      <c r="C31" s="1922">
        <v>1</v>
      </c>
      <c r="D31" s="2948" t="s">
        <v>561</v>
      </c>
      <c r="E31" s="2949">
        <v>7</v>
      </c>
      <c r="F31" s="1923">
        <v>846214</v>
      </c>
      <c r="G31" s="2952">
        <v>846214</v>
      </c>
      <c r="H31" s="2953">
        <v>100</v>
      </c>
    </row>
    <row r="32" spans="1:8">
      <c r="A32" s="1921">
        <v>2567</v>
      </c>
      <c r="B32" s="1922">
        <v>9</v>
      </c>
      <c r="C32" s="1922">
        <v>1</v>
      </c>
      <c r="D32" s="2948" t="s">
        <v>576</v>
      </c>
      <c r="E32" s="2949">
        <v>9</v>
      </c>
      <c r="F32" s="1923">
        <v>2582899</v>
      </c>
      <c r="G32" s="2952">
        <v>2582899</v>
      </c>
      <c r="H32" s="2953">
        <v>100</v>
      </c>
    </row>
    <row r="33" spans="1:8">
      <c r="A33" s="1921">
        <v>2567</v>
      </c>
      <c r="B33" s="1922">
        <v>9</v>
      </c>
      <c r="C33" s="1922">
        <v>1</v>
      </c>
      <c r="D33" s="2948" t="s">
        <v>586</v>
      </c>
      <c r="E33" s="2949">
        <v>12</v>
      </c>
      <c r="F33" s="1923">
        <v>4468130</v>
      </c>
      <c r="G33" s="2952">
        <v>4468130</v>
      </c>
      <c r="H33" s="2953">
        <v>100</v>
      </c>
    </row>
    <row r="34" spans="1:8">
      <c r="A34" s="1921">
        <v>2567</v>
      </c>
      <c r="B34" s="1922">
        <v>9</v>
      </c>
      <c r="C34" s="1922">
        <v>1</v>
      </c>
      <c r="D34" s="2948" t="s">
        <v>583</v>
      </c>
      <c r="E34" s="2949">
        <v>7</v>
      </c>
      <c r="F34" s="1923">
        <v>594300</v>
      </c>
      <c r="G34" s="2952">
        <v>594300</v>
      </c>
      <c r="H34" s="2953">
        <v>100</v>
      </c>
    </row>
    <row r="35" spans="1:8">
      <c r="A35" s="1921">
        <v>2567</v>
      </c>
      <c r="B35" s="1922">
        <v>9</v>
      </c>
      <c r="C35" s="1922">
        <v>1</v>
      </c>
      <c r="D35" s="2948" t="s">
        <v>785</v>
      </c>
      <c r="E35" s="2949">
        <v>5</v>
      </c>
      <c r="F35" s="1923">
        <v>669061.16</v>
      </c>
      <c r="G35" s="2952">
        <v>669061.16</v>
      </c>
      <c r="H35" s="2953">
        <v>100</v>
      </c>
    </row>
    <row r="36" spans="1:8">
      <c r="A36" s="1921">
        <v>2567</v>
      </c>
      <c r="B36" s="1922">
        <v>9</v>
      </c>
      <c r="C36" s="1922">
        <v>1</v>
      </c>
      <c r="D36" s="2948" t="s">
        <v>795</v>
      </c>
      <c r="E36" s="2949">
        <v>5</v>
      </c>
      <c r="F36" s="1923">
        <v>299250</v>
      </c>
      <c r="G36" s="2952">
        <v>299250</v>
      </c>
      <c r="H36" s="2953">
        <v>100</v>
      </c>
    </row>
    <row r="37" spans="1:8">
      <c r="A37" s="1921">
        <v>2567</v>
      </c>
      <c r="B37" s="1922">
        <v>9</v>
      </c>
      <c r="C37" s="1922">
        <v>1</v>
      </c>
      <c r="D37" s="2948" t="s">
        <v>790</v>
      </c>
      <c r="E37" s="2949">
        <v>12</v>
      </c>
      <c r="F37" s="1923">
        <v>1856957.28</v>
      </c>
      <c r="G37" s="2952">
        <v>1856957.28</v>
      </c>
      <c r="H37" s="2953">
        <v>100</v>
      </c>
    </row>
    <row r="38" spans="1:8">
      <c r="A38" s="1921">
        <v>2567</v>
      </c>
      <c r="B38" s="1922">
        <v>9</v>
      </c>
      <c r="C38" s="1922">
        <v>1</v>
      </c>
      <c r="D38" s="2948" t="s">
        <v>559</v>
      </c>
      <c r="E38" s="2949">
        <v>10</v>
      </c>
      <c r="F38" s="1923">
        <v>1029337.49</v>
      </c>
      <c r="G38" s="2952">
        <v>1029337.49</v>
      </c>
      <c r="H38" s="2953">
        <v>100</v>
      </c>
    </row>
    <row r="39" spans="1:8">
      <c r="A39" s="1921">
        <v>2567</v>
      </c>
      <c r="B39" s="1922">
        <v>9</v>
      </c>
      <c r="C39" s="1922">
        <v>1</v>
      </c>
      <c r="D39" s="2948" t="s">
        <v>557</v>
      </c>
      <c r="E39" s="2949">
        <v>14</v>
      </c>
      <c r="F39" s="1923">
        <v>2350221.87</v>
      </c>
      <c r="G39" s="2952">
        <v>2350221.87</v>
      </c>
      <c r="H39" s="2953">
        <v>100</v>
      </c>
    </row>
    <row r="40" spans="1:8">
      <c r="A40" s="1921">
        <v>2567</v>
      </c>
      <c r="B40" s="1922">
        <v>9</v>
      </c>
      <c r="C40" s="1922">
        <v>1</v>
      </c>
      <c r="D40" s="2948" t="s">
        <v>793</v>
      </c>
      <c r="E40" s="2949">
        <v>19</v>
      </c>
      <c r="F40" s="1923">
        <v>2233368</v>
      </c>
      <c r="G40" s="2952">
        <v>2233368</v>
      </c>
      <c r="H40" s="2953">
        <v>100</v>
      </c>
    </row>
    <row r="41" spans="1:8">
      <c r="A41" s="1921">
        <v>2567</v>
      </c>
      <c r="B41" s="1922">
        <v>9</v>
      </c>
      <c r="C41" s="1922">
        <v>1</v>
      </c>
      <c r="D41" s="2948" t="s">
        <v>556</v>
      </c>
      <c r="E41" s="2949">
        <v>7</v>
      </c>
      <c r="F41" s="1923">
        <v>497100</v>
      </c>
      <c r="G41" s="2952">
        <v>497100</v>
      </c>
      <c r="H41" s="2953">
        <v>100</v>
      </c>
    </row>
    <row r="42" spans="1:8">
      <c r="A42" s="1921">
        <v>2567</v>
      </c>
      <c r="B42" s="1922">
        <v>9</v>
      </c>
      <c r="C42" s="1922">
        <v>1</v>
      </c>
      <c r="D42" s="2948" t="s">
        <v>339</v>
      </c>
      <c r="E42" s="2949">
        <v>7</v>
      </c>
      <c r="F42" s="1923">
        <v>423872</v>
      </c>
      <c r="G42" s="2952">
        <v>423872</v>
      </c>
      <c r="H42" s="2953">
        <v>100</v>
      </c>
    </row>
    <row r="43" spans="1:8">
      <c r="A43" s="1921">
        <v>2567</v>
      </c>
      <c r="B43" s="1922">
        <v>9</v>
      </c>
      <c r="C43" s="1922">
        <v>1</v>
      </c>
      <c r="D43" s="2948" t="s">
        <v>568</v>
      </c>
      <c r="E43" s="2949">
        <v>4</v>
      </c>
      <c r="F43" s="1923">
        <v>864884</v>
      </c>
      <c r="G43" s="2952">
        <v>864884</v>
      </c>
      <c r="H43" s="2953">
        <v>100</v>
      </c>
    </row>
    <row r="44" spans="1:8">
      <c r="A44" s="1921">
        <v>2567</v>
      </c>
      <c r="B44" s="1922">
        <v>9</v>
      </c>
      <c r="C44" s="1922">
        <v>1</v>
      </c>
      <c r="D44" s="2948" t="s">
        <v>797</v>
      </c>
      <c r="E44" s="2949">
        <v>4</v>
      </c>
      <c r="F44" s="1923">
        <v>269200</v>
      </c>
      <c r="G44" s="2952">
        <v>269200</v>
      </c>
      <c r="H44" s="2953">
        <v>100</v>
      </c>
    </row>
    <row r="45" spans="1:8">
      <c r="A45" s="1921">
        <v>2567</v>
      </c>
      <c r="B45" s="1922">
        <v>9</v>
      </c>
      <c r="C45" s="1922">
        <v>1</v>
      </c>
      <c r="D45" s="2948" t="s">
        <v>801</v>
      </c>
      <c r="E45" s="2949">
        <v>5</v>
      </c>
      <c r="F45" s="1923">
        <v>469200</v>
      </c>
      <c r="G45" s="2952">
        <v>469200</v>
      </c>
      <c r="H45" s="2953">
        <v>100</v>
      </c>
    </row>
    <row r="46" spans="1:8">
      <c r="A46" s="1921">
        <v>2567</v>
      </c>
      <c r="B46" s="1922">
        <v>9</v>
      </c>
      <c r="C46" s="1922">
        <v>1</v>
      </c>
      <c r="D46" s="2948" t="s">
        <v>358</v>
      </c>
      <c r="E46" s="2949">
        <v>4</v>
      </c>
      <c r="F46" s="1923">
        <v>157200</v>
      </c>
      <c r="G46" s="2952">
        <v>157200</v>
      </c>
      <c r="H46" s="2953">
        <v>100</v>
      </c>
    </row>
    <row r="47" spans="1:8">
      <c r="A47" s="1921">
        <v>2567</v>
      </c>
      <c r="B47" s="1922">
        <v>9</v>
      </c>
      <c r="C47" s="1922">
        <v>1</v>
      </c>
      <c r="D47" s="2948" t="s">
        <v>2959</v>
      </c>
      <c r="E47" s="2949">
        <v>3</v>
      </c>
      <c r="F47" s="1923">
        <v>191660</v>
      </c>
      <c r="G47" s="2952">
        <v>191660</v>
      </c>
      <c r="H47" s="2953">
        <v>100</v>
      </c>
    </row>
    <row r="48" spans="1:8">
      <c r="A48" s="1921">
        <v>2567</v>
      </c>
      <c r="B48" s="1922">
        <v>9</v>
      </c>
      <c r="C48" s="1922">
        <v>1</v>
      </c>
      <c r="D48" s="2948" t="s">
        <v>357</v>
      </c>
      <c r="E48" s="2949">
        <v>3</v>
      </c>
      <c r="F48" s="1923">
        <v>126700</v>
      </c>
      <c r="G48" s="2952">
        <v>126700</v>
      </c>
      <c r="H48" s="2953">
        <v>100</v>
      </c>
    </row>
    <row r="49" spans="1:8">
      <c r="A49" s="1921">
        <v>2567</v>
      </c>
      <c r="B49" s="1922">
        <v>9</v>
      </c>
      <c r="C49" s="1922">
        <v>1</v>
      </c>
      <c r="D49" s="2948" t="s">
        <v>545</v>
      </c>
      <c r="E49" s="2949">
        <v>2</v>
      </c>
      <c r="F49" s="1923">
        <v>50830</v>
      </c>
      <c r="G49" s="2952">
        <v>50830</v>
      </c>
      <c r="H49" s="2953">
        <v>100</v>
      </c>
    </row>
    <row r="50" spans="1:8">
      <c r="A50" s="1921">
        <v>2567</v>
      </c>
      <c r="B50" s="1922">
        <v>9</v>
      </c>
      <c r="C50" s="1922">
        <v>1</v>
      </c>
      <c r="D50" s="2948" t="s">
        <v>570</v>
      </c>
      <c r="E50" s="2949">
        <v>2</v>
      </c>
      <c r="F50" s="1923">
        <v>36523</v>
      </c>
      <c r="G50" s="2952">
        <v>36523</v>
      </c>
      <c r="H50" s="2953">
        <v>100</v>
      </c>
    </row>
    <row r="51" spans="1:8">
      <c r="A51" s="1921">
        <v>2567</v>
      </c>
      <c r="B51" s="1922">
        <v>9</v>
      </c>
      <c r="C51" s="1922">
        <v>1</v>
      </c>
      <c r="D51" s="2948" t="s">
        <v>572</v>
      </c>
      <c r="E51" s="2949">
        <v>3</v>
      </c>
      <c r="F51" s="1923">
        <v>152847.02000000002</v>
      </c>
      <c r="G51" s="2952">
        <v>152847.01999999999</v>
      </c>
      <c r="H51" s="2953">
        <v>99.999999999999972</v>
      </c>
    </row>
    <row r="52" spans="1:8">
      <c r="A52" s="1921">
        <v>2567</v>
      </c>
      <c r="B52" s="1922">
        <v>9</v>
      </c>
      <c r="C52" s="1922">
        <v>1</v>
      </c>
      <c r="D52" s="2948" t="s">
        <v>541</v>
      </c>
      <c r="E52" s="2949">
        <v>7</v>
      </c>
      <c r="F52" s="1923">
        <v>1806016.49</v>
      </c>
      <c r="G52" s="2952">
        <v>1804016.49</v>
      </c>
      <c r="H52" s="2953">
        <v>99.889259039932682</v>
      </c>
    </row>
    <row r="53" spans="1:8">
      <c r="A53" s="1921">
        <v>2567</v>
      </c>
      <c r="B53" s="1922">
        <v>9</v>
      </c>
      <c r="C53" s="1922">
        <v>1</v>
      </c>
      <c r="D53" s="2948" t="s">
        <v>552</v>
      </c>
      <c r="E53" s="2949">
        <v>14</v>
      </c>
      <c r="F53" s="1923">
        <v>2063739.96</v>
      </c>
      <c r="G53" s="2952">
        <v>2057239.96</v>
      </c>
      <c r="H53" s="2953">
        <v>99.685037837809759</v>
      </c>
    </row>
    <row r="54" spans="1:8">
      <c r="A54" s="1921">
        <v>2567</v>
      </c>
      <c r="B54" s="1922">
        <v>9</v>
      </c>
      <c r="C54" s="1922">
        <v>1</v>
      </c>
      <c r="D54" s="2948" t="s">
        <v>563</v>
      </c>
      <c r="E54" s="2949">
        <v>6</v>
      </c>
      <c r="F54" s="1923">
        <v>1151400</v>
      </c>
      <c r="G54" s="2952">
        <v>1146850.26</v>
      </c>
      <c r="H54" s="2953">
        <v>99.604851485148515</v>
      </c>
    </row>
    <row r="55" spans="1:8">
      <c r="A55" s="1921">
        <v>2567</v>
      </c>
      <c r="B55" s="1922">
        <v>9</v>
      </c>
      <c r="C55" s="1922">
        <v>1</v>
      </c>
      <c r="D55" s="2948" t="s">
        <v>584</v>
      </c>
      <c r="E55" s="2949">
        <v>5</v>
      </c>
      <c r="F55" s="1923">
        <v>1500000</v>
      </c>
      <c r="G55" s="2952">
        <v>1492000</v>
      </c>
      <c r="H55" s="2953">
        <v>99.466666666666669</v>
      </c>
    </row>
    <row r="56" spans="1:8">
      <c r="A56" s="1921">
        <v>2567</v>
      </c>
      <c r="B56" s="1922">
        <v>9</v>
      </c>
      <c r="C56" s="1922">
        <v>1</v>
      </c>
      <c r="D56" s="2948" t="s">
        <v>565</v>
      </c>
      <c r="E56" s="2949">
        <v>24</v>
      </c>
      <c r="F56" s="1923">
        <v>2620999</v>
      </c>
      <c r="G56" s="2952">
        <v>2594999</v>
      </c>
      <c r="H56" s="2953">
        <v>99.008011830603522</v>
      </c>
    </row>
    <row r="57" spans="1:8">
      <c r="A57" s="1921">
        <v>2567</v>
      </c>
      <c r="B57" s="1922">
        <v>9</v>
      </c>
      <c r="C57" s="1922">
        <v>1</v>
      </c>
      <c r="D57" s="2948" t="s">
        <v>548</v>
      </c>
      <c r="E57" s="2949">
        <v>27</v>
      </c>
      <c r="F57" s="1923">
        <v>4638000</v>
      </c>
      <c r="G57" s="2952">
        <v>4560404.22</v>
      </c>
      <c r="H57" s="2953">
        <v>98.326956015523919</v>
      </c>
    </row>
    <row r="58" spans="1:8">
      <c r="A58" s="1921">
        <v>2567</v>
      </c>
      <c r="B58" s="1922">
        <v>9</v>
      </c>
      <c r="C58" s="1922">
        <v>1</v>
      </c>
      <c r="D58" s="2948" t="s">
        <v>551</v>
      </c>
      <c r="E58" s="2949">
        <v>18</v>
      </c>
      <c r="F58" s="1923">
        <v>3867572.4699999997</v>
      </c>
      <c r="G58" s="2952">
        <v>3801517.9000000004</v>
      </c>
      <c r="H58" s="2953">
        <v>98.292092248758834</v>
      </c>
    </row>
    <row r="59" spans="1:8">
      <c r="A59" s="1921">
        <v>2567</v>
      </c>
      <c r="B59" s="1922">
        <v>9</v>
      </c>
      <c r="C59" s="1922">
        <v>1</v>
      </c>
      <c r="D59" s="2948" t="s">
        <v>562</v>
      </c>
      <c r="E59" s="2949">
        <v>3</v>
      </c>
      <c r="F59" s="1923">
        <v>245700</v>
      </c>
      <c r="G59" s="2952">
        <v>240896</v>
      </c>
      <c r="H59" s="2953">
        <v>98.044770044770047</v>
      </c>
    </row>
    <row r="60" spans="1:8">
      <c r="A60" s="1921">
        <v>2567</v>
      </c>
      <c r="B60" s="1922">
        <v>9</v>
      </c>
      <c r="C60" s="1922">
        <v>1</v>
      </c>
      <c r="D60" s="2948" t="s">
        <v>558</v>
      </c>
      <c r="E60" s="2949">
        <v>16</v>
      </c>
      <c r="F60" s="1923">
        <v>2219316.8600000003</v>
      </c>
      <c r="G60" s="2952">
        <v>2175860</v>
      </c>
      <c r="H60" s="2953">
        <v>98.041881230064632</v>
      </c>
    </row>
    <row r="61" spans="1:8">
      <c r="A61" s="1921">
        <v>2567</v>
      </c>
      <c r="B61" s="1922">
        <v>9</v>
      </c>
      <c r="C61" s="1922">
        <v>1</v>
      </c>
      <c r="D61" s="2948" t="s">
        <v>789</v>
      </c>
      <c r="E61" s="2949">
        <v>9</v>
      </c>
      <c r="F61" s="1923">
        <v>1506921.46</v>
      </c>
      <c r="G61" s="2952">
        <v>1475630.02</v>
      </c>
      <c r="H61" s="2953">
        <v>97.923485673898355</v>
      </c>
    </row>
    <row r="62" spans="1:8">
      <c r="A62" s="1921">
        <v>2567</v>
      </c>
      <c r="B62" s="1922">
        <v>9</v>
      </c>
      <c r="C62" s="1922">
        <v>1</v>
      </c>
      <c r="D62" s="2948" t="s">
        <v>783</v>
      </c>
      <c r="E62" s="2949">
        <v>5</v>
      </c>
      <c r="F62" s="1923">
        <v>342800</v>
      </c>
      <c r="G62" s="2952">
        <v>334800</v>
      </c>
      <c r="H62" s="2953">
        <v>97.666277712952152</v>
      </c>
    </row>
    <row r="63" spans="1:8">
      <c r="A63" s="1921">
        <v>2567</v>
      </c>
      <c r="B63" s="1922">
        <v>9</v>
      </c>
      <c r="C63" s="1922">
        <v>1</v>
      </c>
      <c r="D63" s="2948" t="s">
        <v>547</v>
      </c>
      <c r="E63" s="2949">
        <v>4</v>
      </c>
      <c r="F63" s="1923">
        <v>320000</v>
      </c>
      <c r="G63" s="2952">
        <v>312000</v>
      </c>
      <c r="H63" s="2953">
        <v>97.5</v>
      </c>
    </row>
    <row r="64" spans="1:8">
      <c r="A64" s="1921">
        <v>2567</v>
      </c>
      <c r="B64" s="1922">
        <v>9</v>
      </c>
      <c r="C64" s="1922">
        <v>1</v>
      </c>
      <c r="D64" s="2948" t="s">
        <v>791</v>
      </c>
      <c r="E64" s="2949">
        <v>12</v>
      </c>
      <c r="F64" s="1923">
        <v>1734767.8900000001</v>
      </c>
      <c r="G64" s="2952">
        <v>1673992.4</v>
      </c>
      <c r="H64" s="2953">
        <v>96.496621228099841</v>
      </c>
    </row>
    <row r="65" spans="1:8" ht="27" customHeight="1">
      <c r="A65" s="1917">
        <v>2567</v>
      </c>
      <c r="B65" s="1918">
        <v>9</v>
      </c>
      <c r="C65" s="1918">
        <v>1</v>
      </c>
      <c r="D65" s="1924" t="s">
        <v>540</v>
      </c>
      <c r="E65" s="1925">
        <v>2</v>
      </c>
      <c r="F65" s="1926">
        <v>216992</v>
      </c>
      <c r="G65" s="1926">
        <v>208992</v>
      </c>
      <c r="H65" s="1927">
        <v>96.313228137442849</v>
      </c>
    </row>
    <row r="66" spans="1:8" ht="27" customHeight="1">
      <c r="A66" s="1917">
        <v>2567</v>
      </c>
      <c r="B66" s="1918">
        <v>9</v>
      </c>
      <c r="C66" s="1918">
        <v>1</v>
      </c>
      <c r="D66" s="1928" t="s">
        <v>566</v>
      </c>
      <c r="E66" s="1925">
        <v>6</v>
      </c>
      <c r="F66" s="1926">
        <v>501300</v>
      </c>
      <c r="G66" s="1926">
        <v>481500</v>
      </c>
      <c r="H66" s="1927">
        <v>96.050269299820471</v>
      </c>
    </row>
    <row r="67" spans="1:8" ht="27" customHeight="1">
      <c r="A67" s="1917">
        <v>2567</v>
      </c>
      <c r="B67" s="1918">
        <v>9</v>
      </c>
      <c r="C67" s="1918">
        <v>1</v>
      </c>
      <c r="D67" s="1928" t="s">
        <v>784</v>
      </c>
      <c r="E67" s="1925">
        <v>7</v>
      </c>
      <c r="F67" s="1926">
        <v>463243</v>
      </c>
      <c r="G67" s="1926">
        <v>439785</v>
      </c>
      <c r="H67" s="1927">
        <v>94.93613503064266</v>
      </c>
    </row>
    <row r="68" spans="1:8">
      <c r="A68" s="1917">
        <v>2567</v>
      </c>
      <c r="B68" s="1918">
        <v>9</v>
      </c>
      <c r="C68" s="1918">
        <v>1</v>
      </c>
      <c r="D68" s="2950" t="s">
        <v>549</v>
      </c>
      <c r="E68" s="2951">
        <v>20</v>
      </c>
      <c r="F68" s="2955">
        <v>2024689.3199999998</v>
      </c>
      <c r="G68" s="2955">
        <v>1899746.66</v>
      </c>
      <c r="H68" s="2956">
        <v>93.829045337187836</v>
      </c>
    </row>
    <row r="69" spans="1:8">
      <c r="A69" s="1917">
        <v>2567</v>
      </c>
      <c r="B69" s="1918">
        <v>9</v>
      </c>
      <c r="C69" s="1918">
        <v>1</v>
      </c>
      <c r="D69" s="2950" t="s">
        <v>560</v>
      </c>
      <c r="E69" s="2951">
        <v>25</v>
      </c>
      <c r="F69" s="2955">
        <v>4805200</v>
      </c>
      <c r="G69" s="2955">
        <v>4480877.25</v>
      </c>
      <c r="H69" s="2956">
        <v>93.25058790476983</v>
      </c>
    </row>
    <row r="70" spans="1:8">
      <c r="A70" s="1917">
        <v>2567</v>
      </c>
      <c r="B70" s="1918">
        <v>9</v>
      </c>
      <c r="C70" s="1918">
        <v>1</v>
      </c>
      <c r="D70" s="2950" t="s">
        <v>581</v>
      </c>
      <c r="E70" s="2951">
        <v>2</v>
      </c>
      <c r="F70" s="2955">
        <v>89500</v>
      </c>
      <c r="G70" s="2955">
        <v>81500</v>
      </c>
      <c r="H70" s="2956">
        <v>91.061452513966472</v>
      </c>
    </row>
    <row r="71" spans="1:8">
      <c r="A71" s="1917">
        <v>2567</v>
      </c>
      <c r="B71" s="1918">
        <v>9</v>
      </c>
      <c r="C71" s="1918">
        <v>1</v>
      </c>
      <c r="D71" s="2950" t="s">
        <v>554</v>
      </c>
      <c r="E71" s="2951">
        <v>29</v>
      </c>
      <c r="F71" s="2955">
        <v>4270182.43</v>
      </c>
      <c r="G71" s="2955">
        <v>3705460.3</v>
      </c>
      <c r="H71" s="2956">
        <v>86.775222387864119</v>
      </c>
    </row>
    <row r="72" spans="1:8">
      <c r="A72" s="1917">
        <v>2567</v>
      </c>
      <c r="B72" s="1918">
        <v>9</v>
      </c>
      <c r="C72" s="1918">
        <v>1</v>
      </c>
      <c r="D72" s="2950" t="s">
        <v>794</v>
      </c>
      <c r="E72" s="2951">
        <v>13</v>
      </c>
      <c r="F72" s="2955">
        <v>1088028.8700000001</v>
      </c>
      <c r="G72" s="2955">
        <v>924628</v>
      </c>
      <c r="H72" s="2956">
        <v>84.981936187042521</v>
      </c>
    </row>
    <row r="73" spans="1:8">
      <c r="A73" s="1917">
        <v>2567</v>
      </c>
      <c r="B73" s="1918">
        <v>9</v>
      </c>
      <c r="C73" s="1918">
        <v>1</v>
      </c>
      <c r="D73" s="2950" t="s">
        <v>585</v>
      </c>
      <c r="E73" s="2951">
        <v>4</v>
      </c>
      <c r="F73" s="2955">
        <v>482100</v>
      </c>
      <c r="G73" s="2955">
        <v>382500</v>
      </c>
      <c r="H73" s="2956">
        <v>79.340385812072185</v>
      </c>
    </row>
    <row r="74" spans="1:8">
      <c r="A74" s="1917">
        <v>2567</v>
      </c>
      <c r="B74" s="1918">
        <v>9</v>
      </c>
      <c r="C74" s="1918">
        <v>1</v>
      </c>
      <c r="D74" s="2950" t="s">
        <v>569</v>
      </c>
      <c r="E74" s="2951">
        <v>8</v>
      </c>
      <c r="F74" s="2955">
        <v>940000</v>
      </c>
      <c r="G74" s="2955">
        <v>689852</v>
      </c>
      <c r="H74" s="2956">
        <v>73.388510638297873</v>
      </c>
    </row>
    <row r="75" spans="1:8">
      <c r="A75" s="1917">
        <v>2567</v>
      </c>
      <c r="B75" s="1918">
        <v>9</v>
      </c>
      <c r="C75" s="1918">
        <v>1</v>
      </c>
      <c r="D75" s="2950" t="s">
        <v>792</v>
      </c>
      <c r="E75" s="2951">
        <v>12</v>
      </c>
      <c r="F75" s="2955">
        <v>1358482.38</v>
      </c>
      <c r="G75" s="2955">
        <v>620082.38</v>
      </c>
      <c r="H75" s="2956">
        <v>45.645228022758758</v>
      </c>
    </row>
    <row r="76" spans="1:8">
      <c r="A76" s="1917">
        <v>2567</v>
      </c>
      <c r="B76" s="1918">
        <v>9</v>
      </c>
      <c r="C76" s="1918">
        <v>1</v>
      </c>
      <c r="D76" s="2950" t="s">
        <v>578</v>
      </c>
      <c r="E76" s="2951">
        <v>2</v>
      </c>
      <c r="F76" s="2955">
        <v>53200</v>
      </c>
      <c r="G76" s="2955">
        <v>8000</v>
      </c>
      <c r="H76" s="2956">
        <v>15.037593984962406</v>
      </c>
    </row>
    <row r="77" spans="1:8">
      <c r="A77" s="1917">
        <v>2567</v>
      </c>
      <c r="B77" s="1918">
        <v>9</v>
      </c>
      <c r="C77" s="1918">
        <v>1</v>
      </c>
      <c r="D77" s="2950" t="s">
        <v>544</v>
      </c>
      <c r="E77" s="2951">
        <v>1</v>
      </c>
      <c r="F77" s="2955">
        <v>8000</v>
      </c>
      <c r="G77" s="2955">
        <v>0</v>
      </c>
      <c r="H77" s="2956">
        <v>0</v>
      </c>
    </row>
  </sheetData>
  <sortState xmlns:xlrd2="http://schemas.microsoft.com/office/spreadsheetml/2017/richdata2" ref="D2:H64">
    <sortCondition descending="1" ref="H2:H6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17"/>
  <sheetViews>
    <sheetView workbookViewId="0">
      <selection activeCell="F13" sqref="F13"/>
    </sheetView>
  </sheetViews>
  <sheetFormatPr defaultRowHeight="15.75"/>
  <cols>
    <col min="1" max="1" width="9.28515625" style="835" bestFit="1" customWidth="1"/>
    <col min="2" max="3" width="9.28515625" style="834" bestFit="1" customWidth="1"/>
    <col min="4" max="4" width="19.140625" style="835" customWidth="1"/>
    <col min="5" max="5" width="9.28515625" style="835" bestFit="1" customWidth="1"/>
    <col min="6" max="6" width="18" style="825" bestFit="1" customWidth="1"/>
    <col min="7" max="7" width="15.7109375" style="825" customWidth="1"/>
    <col min="8" max="8" width="9.85546875" style="835" bestFit="1" customWidth="1"/>
    <col min="9" max="259" width="9.140625" style="624"/>
    <col min="260" max="260" width="19.140625" style="624" customWidth="1"/>
    <col min="261" max="261" width="9.140625" style="624"/>
    <col min="262" max="262" width="15.140625" style="624" bestFit="1" customWidth="1"/>
    <col min="263" max="263" width="10.5703125" style="624" bestFit="1" customWidth="1"/>
    <col min="264" max="515" width="9.140625" style="624"/>
    <col min="516" max="516" width="19.140625" style="624" customWidth="1"/>
    <col min="517" max="517" width="9.140625" style="624"/>
    <col min="518" max="518" width="15.140625" style="624" bestFit="1" customWidth="1"/>
    <col min="519" max="519" width="10.5703125" style="624" bestFit="1" customWidth="1"/>
    <col min="520" max="771" width="9.140625" style="624"/>
    <col min="772" max="772" width="19.140625" style="624" customWidth="1"/>
    <col min="773" max="773" width="9.140625" style="624"/>
    <col min="774" max="774" width="15.140625" style="624" bestFit="1" customWidth="1"/>
    <col min="775" max="775" width="10.5703125" style="624" bestFit="1" customWidth="1"/>
    <col min="776" max="1027" width="9.140625" style="624"/>
    <col min="1028" max="1028" width="19.140625" style="624" customWidth="1"/>
    <col min="1029" max="1029" width="9.140625" style="624"/>
    <col min="1030" max="1030" width="15.140625" style="624" bestFit="1" customWidth="1"/>
    <col min="1031" max="1031" width="10.5703125" style="624" bestFit="1" customWidth="1"/>
    <col min="1032" max="1283" width="9.140625" style="624"/>
    <col min="1284" max="1284" width="19.140625" style="624" customWidth="1"/>
    <col min="1285" max="1285" width="9.140625" style="624"/>
    <col min="1286" max="1286" width="15.140625" style="624" bestFit="1" customWidth="1"/>
    <col min="1287" max="1287" width="10.5703125" style="624" bestFit="1" customWidth="1"/>
    <col min="1288" max="1539" width="9.140625" style="624"/>
    <col min="1540" max="1540" width="19.140625" style="624" customWidth="1"/>
    <col min="1541" max="1541" width="9.140625" style="624"/>
    <col min="1542" max="1542" width="15.140625" style="624" bestFit="1" customWidth="1"/>
    <col min="1543" max="1543" width="10.5703125" style="624" bestFit="1" customWidth="1"/>
    <col min="1544" max="1795" width="9.140625" style="624"/>
    <col min="1796" max="1796" width="19.140625" style="624" customWidth="1"/>
    <col min="1797" max="1797" width="9.140625" style="624"/>
    <col min="1798" max="1798" width="15.140625" style="624" bestFit="1" customWidth="1"/>
    <col min="1799" max="1799" width="10.5703125" style="624" bestFit="1" customWidth="1"/>
    <col min="1800" max="2051" width="9.140625" style="624"/>
    <col min="2052" max="2052" width="19.140625" style="624" customWidth="1"/>
    <col min="2053" max="2053" width="9.140625" style="624"/>
    <col min="2054" max="2054" width="15.140625" style="624" bestFit="1" customWidth="1"/>
    <col min="2055" max="2055" width="10.5703125" style="624" bestFit="1" customWidth="1"/>
    <col min="2056" max="2307" width="9.140625" style="624"/>
    <col min="2308" max="2308" width="19.140625" style="624" customWidth="1"/>
    <col min="2309" max="2309" width="9.140625" style="624"/>
    <col min="2310" max="2310" width="15.140625" style="624" bestFit="1" customWidth="1"/>
    <col min="2311" max="2311" width="10.5703125" style="624" bestFit="1" customWidth="1"/>
    <col min="2312" max="2563" width="9.140625" style="624"/>
    <col min="2564" max="2564" width="19.140625" style="624" customWidth="1"/>
    <col min="2565" max="2565" width="9.140625" style="624"/>
    <col min="2566" max="2566" width="15.140625" style="624" bestFit="1" customWidth="1"/>
    <col min="2567" max="2567" width="10.5703125" style="624" bestFit="1" customWidth="1"/>
    <col min="2568" max="2819" width="9.140625" style="624"/>
    <col min="2820" max="2820" width="19.140625" style="624" customWidth="1"/>
    <col min="2821" max="2821" width="9.140625" style="624"/>
    <col min="2822" max="2822" width="15.140625" style="624" bestFit="1" customWidth="1"/>
    <col min="2823" max="2823" width="10.5703125" style="624" bestFit="1" customWidth="1"/>
    <col min="2824" max="3075" width="9.140625" style="624"/>
    <col min="3076" max="3076" width="19.140625" style="624" customWidth="1"/>
    <col min="3077" max="3077" width="9.140625" style="624"/>
    <col min="3078" max="3078" width="15.140625" style="624" bestFit="1" customWidth="1"/>
    <col min="3079" max="3079" width="10.5703125" style="624" bestFit="1" customWidth="1"/>
    <col min="3080" max="3331" width="9.140625" style="624"/>
    <col min="3332" max="3332" width="19.140625" style="624" customWidth="1"/>
    <col min="3333" max="3333" width="9.140625" style="624"/>
    <col min="3334" max="3334" width="15.140625" style="624" bestFit="1" customWidth="1"/>
    <col min="3335" max="3335" width="10.5703125" style="624" bestFit="1" customWidth="1"/>
    <col min="3336" max="3587" width="9.140625" style="624"/>
    <col min="3588" max="3588" width="19.140625" style="624" customWidth="1"/>
    <col min="3589" max="3589" width="9.140625" style="624"/>
    <col min="3590" max="3590" width="15.140625" style="624" bestFit="1" customWidth="1"/>
    <col min="3591" max="3591" width="10.5703125" style="624" bestFit="1" customWidth="1"/>
    <col min="3592" max="3843" width="9.140625" style="624"/>
    <col min="3844" max="3844" width="19.140625" style="624" customWidth="1"/>
    <col min="3845" max="3845" width="9.140625" style="624"/>
    <col min="3846" max="3846" width="15.140625" style="624" bestFit="1" customWidth="1"/>
    <col min="3847" max="3847" width="10.5703125" style="624" bestFit="1" customWidth="1"/>
    <col min="3848" max="4099" width="9.140625" style="624"/>
    <col min="4100" max="4100" width="19.140625" style="624" customWidth="1"/>
    <col min="4101" max="4101" width="9.140625" style="624"/>
    <col min="4102" max="4102" width="15.140625" style="624" bestFit="1" customWidth="1"/>
    <col min="4103" max="4103" width="10.5703125" style="624" bestFit="1" customWidth="1"/>
    <col min="4104" max="4355" width="9.140625" style="624"/>
    <col min="4356" max="4356" width="19.140625" style="624" customWidth="1"/>
    <col min="4357" max="4357" width="9.140625" style="624"/>
    <col min="4358" max="4358" width="15.140625" style="624" bestFit="1" customWidth="1"/>
    <col min="4359" max="4359" width="10.5703125" style="624" bestFit="1" customWidth="1"/>
    <col min="4360" max="4611" width="9.140625" style="624"/>
    <col min="4612" max="4612" width="19.140625" style="624" customWidth="1"/>
    <col min="4613" max="4613" width="9.140625" style="624"/>
    <col min="4614" max="4614" width="15.140625" style="624" bestFit="1" customWidth="1"/>
    <col min="4615" max="4615" width="10.5703125" style="624" bestFit="1" customWidth="1"/>
    <col min="4616" max="4867" width="9.140625" style="624"/>
    <col min="4868" max="4868" width="19.140625" style="624" customWidth="1"/>
    <col min="4869" max="4869" width="9.140625" style="624"/>
    <col min="4870" max="4870" width="15.140625" style="624" bestFit="1" customWidth="1"/>
    <col min="4871" max="4871" width="10.5703125" style="624" bestFit="1" customWidth="1"/>
    <col min="4872" max="5123" width="9.140625" style="624"/>
    <col min="5124" max="5124" width="19.140625" style="624" customWidth="1"/>
    <col min="5125" max="5125" width="9.140625" style="624"/>
    <col min="5126" max="5126" width="15.140625" style="624" bestFit="1" customWidth="1"/>
    <col min="5127" max="5127" width="10.5703125" style="624" bestFit="1" customWidth="1"/>
    <col min="5128" max="5379" width="9.140625" style="624"/>
    <col min="5380" max="5380" width="19.140625" style="624" customWidth="1"/>
    <col min="5381" max="5381" width="9.140625" style="624"/>
    <col min="5382" max="5382" width="15.140625" style="624" bestFit="1" customWidth="1"/>
    <col min="5383" max="5383" width="10.5703125" style="624" bestFit="1" customWidth="1"/>
    <col min="5384" max="5635" width="9.140625" style="624"/>
    <col min="5636" max="5636" width="19.140625" style="624" customWidth="1"/>
    <col min="5637" max="5637" width="9.140625" style="624"/>
    <col min="5638" max="5638" width="15.140625" style="624" bestFit="1" customWidth="1"/>
    <col min="5639" max="5639" width="10.5703125" style="624" bestFit="1" customWidth="1"/>
    <col min="5640" max="5891" width="9.140625" style="624"/>
    <col min="5892" max="5892" width="19.140625" style="624" customWidth="1"/>
    <col min="5893" max="5893" width="9.140625" style="624"/>
    <col min="5894" max="5894" width="15.140625" style="624" bestFit="1" customWidth="1"/>
    <col min="5895" max="5895" width="10.5703125" style="624" bestFit="1" customWidth="1"/>
    <col min="5896" max="6147" width="9.140625" style="624"/>
    <col min="6148" max="6148" width="19.140625" style="624" customWidth="1"/>
    <col min="6149" max="6149" width="9.140625" style="624"/>
    <col min="6150" max="6150" width="15.140625" style="624" bestFit="1" customWidth="1"/>
    <col min="6151" max="6151" width="10.5703125" style="624" bestFit="1" customWidth="1"/>
    <col min="6152" max="6403" width="9.140625" style="624"/>
    <col min="6404" max="6404" width="19.140625" style="624" customWidth="1"/>
    <col min="6405" max="6405" width="9.140625" style="624"/>
    <col min="6406" max="6406" width="15.140625" style="624" bestFit="1" customWidth="1"/>
    <col min="6407" max="6407" width="10.5703125" style="624" bestFit="1" customWidth="1"/>
    <col min="6408" max="6659" width="9.140625" style="624"/>
    <col min="6660" max="6660" width="19.140625" style="624" customWidth="1"/>
    <col min="6661" max="6661" width="9.140625" style="624"/>
    <col min="6662" max="6662" width="15.140625" style="624" bestFit="1" customWidth="1"/>
    <col min="6663" max="6663" width="10.5703125" style="624" bestFit="1" customWidth="1"/>
    <col min="6664" max="6915" width="9.140625" style="624"/>
    <col min="6916" max="6916" width="19.140625" style="624" customWidth="1"/>
    <col min="6917" max="6917" width="9.140625" style="624"/>
    <col min="6918" max="6918" width="15.140625" style="624" bestFit="1" customWidth="1"/>
    <col min="6919" max="6919" width="10.5703125" style="624" bestFit="1" customWidth="1"/>
    <col min="6920" max="7171" width="9.140625" style="624"/>
    <col min="7172" max="7172" width="19.140625" style="624" customWidth="1"/>
    <col min="7173" max="7173" width="9.140625" style="624"/>
    <col min="7174" max="7174" width="15.140625" style="624" bestFit="1" customWidth="1"/>
    <col min="7175" max="7175" width="10.5703125" style="624" bestFit="1" customWidth="1"/>
    <col min="7176" max="7427" width="9.140625" style="624"/>
    <col min="7428" max="7428" width="19.140625" style="624" customWidth="1"/>
    <col min="7429" max="7429" width="9.140625" style="624"/>
    <col min="7430" max="7430" width="15.140625" style="624" bestFit="1" customWidth="1"/>
    <col min="7431" max="7431" width="10.5703125" style="624" bestFit="1" customWidth="1"/>
    <col min="7432" max="7683" width="9.140625" style="624"/>
    <col min="7684" max="7684" width="19.140625" style="624" customWidth="1"/>
    <col min="7685" max="7685" width="9.140625" style="624"/>
    <col min="7686" max="7686" width="15.140625" style="624" bestFit="1" customWidth="1"/>
    <col min="7687" max="7687" width="10.5703125" style="624" bestFit="1" customWidth="1"/>
    <col min="7688" max="7939" width="9.140625" style="624"/>
    <col min="7940" max="7940" width="19.140625" style="624" customWidth="1"/>
    <col min="7941" max="7941" width="9.140625" style="624"/>
    <col min="7942" max="7942" width="15.140625" style="624" bestFit="1" customWidth="1"/>
    <col min="7943" max="7943" width="10.5703125" style="624" bestFit="1" customWidth="1"/>
    <col min="7944" max="8195" width="9.140625" style="624"/>
    <col min="8196" max="8196" width="19.140625" style="624" customWidth="1"/>
    <col min="8197" max="8197" width="9.140625" style="624"/>
    <col min="8198" max="8198" width="15.140625" style="624" bestFit="1" customWidth="1"/>
    <col min="8199" max="8199" width="10.5703125" style="624" bestFit="1" customWidth="1"/>
    <col min="8200" max="8451" width="9.140625" style="624"/>
    <col min="8452" max="8452" width="19.140625" style="624" customWidth="1"/>
    <col min="8453" max="8453" width="9.140625" style="624"/>
    <col min="8454" max="8454" width="15.140625" style="624" bestFit="1" customWidth="1"/>
    <col min="8455" max="8455" width="10.5703125" style="624" bestFit="1" customWidth="1"/>
    <col min="8456" max="8707" width="9.140625" style="624"/>
    <col min="8708" max="8708" width="19.140625" style="624" customWidth="1"/>
    <col min="8709" max="8709" width="9.140625" style="624"/>
    <col min="8710" max="8710" width="15.140625" style="624" bestFit="1" customWidth="1"/>
    <col min="8711" max="8711" width="10.5703125" style="624" bestFit="1" customWidth="1"/>
    <col min="8712" max="8963" width="9.140625" style="624"/>
    <col min="8964" max="8964" width="19.140625" style="624" customWidth="1"/>
    <col min="8965" max="8965" width="9.140625" style="624"/>
    <col min="8966" max="8966" width="15.140625" style="624" bestFit="1" customWidth="1"/>
    <col min="8967" max="8967" width="10.5703125" style="624" bestFit="1" customWidth="1"/>
    <col min="8968" max="9219" width="9.140625" style="624"/>
    <col min="9220" max="9220" width="19.140625" style="624" customWidth="1"/>
    <col min="9221" max="9221" width="9.140625" style="624"/>
    <col min="9222" max="9222" width="15.140625" style="624" bestFit="1" customWidth="1"/>
    <col min="9223" max="9223" width="10.5703125" style="624" bestFit="1" customWidth="1"/>
    <col min="9224" max="9475" width="9.140625" style="624"/>
    <col min="9476" max="9476" width="19.140625" style="624" customWidth="1"/>
    <col min="9477" max="9477" width="9.140625" style="624"/>
    <col min="9478" max="9478" width="15.140625" style="624" bestFit="1" customWidth="1"/>
    <col min="9479" max="9479" width="10.5703125" style="624" bestFit="1" customWidth="1"/>
    <col min="9480" max="9731" width="9.140625" style="624"/>
    <col min="9732" max="9732" width="19.140625" style="624" customWidth="1"/>
    <col min="9733" max="9733" width="9.140625" style="624"/>
    <col min="9734" max="9734" width="15.140625" style="624" bestFit="1" customWidth="1"/>
    <col min="9735" max="9735" width="10.5703125" style="624" bestFit="1" customWidth="1"/>
    <col min="9736" max="9987" width="9.140625" style="624"/>
    <col min="9988" max="9988" width="19.140625" style="624" customWidth="1"/>
    <col min="9989" max="9989" width="9.140625" style="624"/>
    <col min="9990" max="9990" width="15.140625" style="624" bestFit="1" customWidth="1"/>
    <col min="9991" max="9991" width="10.5703125" style="624" bestFit="1" customWidth="1"/>
    <col min="9992" max="10243" width="9.140625" style="624"/>
    <col min="10244" max="10244" width="19.140625" style="624" customWidth="1"/>
    <col min="10245" max="10245" width="9.140625" style="624"/>
    <col min="10246" max="10246" width="15.140625" style="624" bestFit="1" customWidth="1"/>
    <col min="10247" max="10247" width="10.5703125" style="624" bestFit="1" customWidth="1"/>
    <col min="10248" max="10499" width="9.140625" style="624"/>
    <col min="10500" max="10500" width="19.140625" style="624" customWidth="1"/>
    <col min="10501" max="10501" width="9.140625" style="624"/>
    <col min="10502" max="10502" width="15.140625" style="624" bestFit="1" customWidth="1"/>
    <col min="10503" max="10503" width="10.5703125" style="624" bestFit="1" customWidth="1"/>
    <col min="10504" max="10755" width="9.140625" style="624"/>
    <col min="10756" max="10756" width="19.140625" style="624" customWidth="1"/>
    <col min="10757" max="10757" width="9.140625" style="624"/>
    <col min="10758" max="10758" width="15.140625" style="624" bestFit="1" customWidth="1"/>
    <col min="10759" max="10759" width="10.5703125" style="624" bestFit="1" customWidth="1"/>
    <col min="10760" max="11011" width="9.140625" style="624"/>
    <col min="11012" max="11012" width="19.140625" style="624" customWidth="1"/>
    <col min="11013" max="11013" width="9.140625" style="624"/>
    <col min="11014" max="11014" width="15.140625" style="624" bestFit="1" customWidth="1"/>
    <col min="11015" max="11015" width="10.5703125" style="624" bestFit="1" customWidth="1"/>
    <col min="11016" max="11267" width="9.140625" style="624"/>
    <col min="11268" max="11268" width="19.140625" style="624" customWidth="1"/>
    <col min="11269" max="11269" width="9.140625" style="624"/>
    <col min="11270" max="11270" width="15.140625" style="624" bestFit="1" customWidth="1"/>
    <col min="11271" max="11271" width="10.5703125" style="624" bestFit="1" customWidth="1"/>
    <col min="11272" max="11523" width="9.140625" style="624"/>
    <col min="11524" max="11524" width="19.140625" style="624" customWidth="1"/>
    <col min="11525" max="11525" width="9.140625" style="624"/>
    <col min="11526" max="11526" width="15.140625" style="624" bestFit="1" customWidth="1"/>
    <col min="11527" max="11527" width="10.5703125" style="624" bestFit="1" customWidth="1"/>
    <col min="11528" max="11779" width="9.140625" style="624"/>
    <col min="11780" max="11780" width="19.140625" style="624" customWidth="1"/>
    <col min="11781" max="11781" width="9.140625" style="624"/>
    <col min="11782" max="11782" width="15.140625" style="624" bestFit="1" customWidth="1"/>
    <col min="11783" max="11783" width="10.5703125" style="624" bestFit="1" customWidth="1"/>
    <col min="11784" max="12035" width="9.140625" style="624"/>
    <col min="12036" max="12036" width="19.140625" style="624" customWidth="1"/>
    <col min="12037" max="12037" width="9.140625" style="624"/>
    <col min="12038" max="12038" width="15.140625" style="624" bestFit="1" customWidth="1"/>
    <col min="12039" max="12039" width="10.5703125" style="624" bestFit="1" customWidth="1"/>
    <col min="12040" max="12291" width="9.140625" style="624"/>
    <col min="12292" max="12292" width="19.140625" style="624" customWidth="1"/>
    <col min="12293" max="12293" width="9.140625" style="624"/>
    <col min="12294" max="12294" width="15.140625" style="624" bestFit="1" customWidth="1"/>
    <col min="12295" max="12295" width="10.5703125" style="624" bestFit="1" customWidth="1"/>
    <col min="12296" max="12547" width="9.140625" style="624"/>
    <col min="12548" max="12548" width="19.140625" style="624" customWidth="1"/>
    <col min="12549" max="12549" width="9.140625" style="624"/>
    <col min="12550" max="12550" width="15.140625" style="624" bestFit="1" customWidth="1"/>
    <col min="12551" max="12551" width="10.5703125" style="624" bestFit="1" customWidth="1"/>
    <col min="12552" max="12803" width="9.140625" style="624"/>
    <col min="12804" max="12804" width="19.140625" style="624" customWidth="1"/>
    <col min="12805" max="12805" width="9.140625" style="624"/>
    <col min="12806" max="12806" width="15.140625" style="624" bestFit="1" customWidth="1"/>
    <col min="12807" max="12807" width="10.5703125" style="624" bestFit="1" customWidth="1"/>
    <col min="12808" max="13059" width="9.140625" style="624"/>
    <col min="13060" max="13060" width="19.140625" style="624" customWidth="1"/>
    <col min="13061" max="13061" width="9.140625" style="624"/>
    <col min="13062" max="13062" width="15.140625" style="624" bestFit="1" customWidth="1"/>
    <col min="13063" max="13063" width="10.5703125" style="624" bestFit="1" customWidth="1"/>
    <col min="13064" max="13315" width="9.140625" style="624"/>
    <col min="13316" max="13316" width="19.140625" style="624" customWidth="1"/>
    <col min="13317" max="13317" width="9.140625" style="624"/>
    <col min="13318" max="13318" width="15.140625" style="624" bestFit="1" customWidth="1"/>
    <col min="13319" max="13319" width="10.5703125" style="624" bestFit="1" customWidth="1"/>
    <col min="13320" max="13571" width="9.140625" style="624"/>
    <col min="13572" max="13572" width="19.140625" style="624" customWidth="1"/>
    <col min="13573" max="13573" width="9.140625" style="624"/>
    <col min="13574" max="13574" width="15.140625" style="624" bestFit="1" customWidth="1"/>
    <col min="13575" max="13575" width="10.5703125" style="624" bestFit="1" customWidth="1"/>
    <col min="13576" max="13827" width="9.140625" style="624"/>
    <col min="13828" max="13828" width="19.140625" style="624" customWidth="1"/>
    <col min="13829" max="13829" width="9.140625" style="624"/>
    <col min="13830" max="13830" width="15.140625" style="624" bestFit="1" customWidth="1"/>
    <col min="13831" max="13831" width="10.5703125" style="624" bestFit="1" customWidth="1"/>
    <col min="13832" max="14083" width="9.140625" style="624"/>
    <col min="14084" max="14084" width="19.140625" style="624" customWidth="1"/>
    <col min="14085" max="14085" width="9.140625" style="624"/>
    <col min="14086" max="14086" width="15.140625" style="624" bestFit="1" customWidth="1"/>
    <col min="14087" max="14087" width="10.5703125" style="624" bestFit="1" customWidth="1"/>
    <col min="14088" max="14339" width="9.140625" style="624"/>
    <col min="14340" max="14340" width="19.140625" style="624" customWidth="1"/>
    <col min="14341" max="14341" width="9.140625" style="624"/>
    <col min="14342" max="14342" width="15.140625" style="624" bestFit="1" customWidth="1"/>
    <col min="14343" max="14343" width="10.5703125" style="624" bestFit="1" customWidth="1"/>
    <col min="14344" max="14595" width="9.140625" style="624"/>
    <col min="14596" max="14596" width="19.140625" style="624" customWidth="1"/>
    <col min="14597" max="14597" width="9.140625" style="624"/>
    <col min="14598" max="14598" width="15.140625" style="624" bestFit="1" customWidth="1"/>
    <col min="14599" max="14599" width="10.5703125" style="624" bestFit="1" customWidth="1"/>
    <col min="14600" max="14851" width="9.140625" style="624"/>
    <col min="14852" max="14852" width="19.140625" style="624" customWidth="1"/>
    <col min="14853" max="14853" width="9.140625" style="624"/>
    <col min="14854" max="14854" width="15.140625" style="624" bestFit="1" customWidth="1"/>
    <col min="14855" max="14855" width="10.5703125" style="624" bestFit="1" customWidth="1"/>
    <col min="14856" max="15107" width="9.140625" style="624"/>
    <col min="15108" max="15108" width="19.140625" style="624" customWidth="1"/>
    <col min="15109" max="15109" width="9.140625" style="624"/>
    <col min="15110" max="15110" width="15.140625" style="624" bestFit="1" customWidth="1"/>
    <col min="15111" max="15111" width="10.5703125" style="624" bestFit="1" customWidth="1"/>
    <col min="15112" max="15363" width="9.140625" style="624"/>
    <col min="15364" max="15364" width="19.140625" style="624" customWidth="1"/>
    <col min="15365" max="15365" width="9.140625" style="624"/>
    <col min="15366" max="15366" width="15.140625" style="624" bestFit="1" customWidth="1"/>
    <col min="15367" max="15367" width="10.5703125" style="624" bestFit="1" customWidth="1"/>
    <col min="15368" max="15619" width="9.140625" style="624"/>
    <col min="15620" max="15620" width="19.140625" style="624" customWidth="1"/>
    <col min="15621" max="15621" width="9.140625" style="624"/>
    <col min="15622" max="15622" width="15.140625" style="624" bestFit="1" customWidth="1"/>
    <col min="15623" max="15623" width="10.5703125" style="624" bestFit="1" customWidth="1"/>
    <col min="15624" max="15875" width="9.140625" style="624"/>
    <col min="15876" max="15876" width="19.140625" style="624" customWidth="1"/>
    <col min="15877" max="15877" width="9.140625" style="624"/>
    <col min="15878" max="15878" width="15.140625" style="624" bestFit="1" customWidth="1"/>
    <col min="15879" max="15879" width="10.5703125" style="624" bestFit="1" customWidth="1"/>
    <col min="15880" max="16131" width="9.140625" style="624"/>
    <col min="16132" max="16132" width="19.140625" style="624" customWidth="1"/>
    <col min="16133" max="16133" width="9.140625" style="624"/>
    <col min="16134" max="16134" width="15.140625" style="624" bestFit="1" customWidth="1"/>
    <col min="16135" max="16135" width="10.5703125" style="624" bestFit="1" customWidth="1"/>
    <col min="16136" max="16384" width="9.140625" style="624"/>
  </cols>
  <sheetData>
    <row r="1" spans="1:8" ht="26.25" customHeight="1">
      <c r="A1" s="829" t="s">
        <v>852</v>
      </c>
      <c r="B1" s="829" t="s">
        <v>853</v>
      </c>
      <c r="C1" s="829" t="s">
        <v>854</v>
      </c>
      <c r="D1" s="829" t="s">
        <v>856</v>
      </c>
      <c r="E1" s="829" t="s">
        <v>946</v>
      </c>
      <c r="F1" s="830" t="s">
        <v>857</v>
      </c>
      <c r="G1" s="830" t="s">
        <v>858</v>
      </c>
      <c r="H1" s="829" t="s">
        <v>859</v>
      </c>
    </row>
    <row r="2" spans="1:8" s="1348" customFormat="1" ht="23.25" customHeight="1">
      <c r="A2" s="2960">
        <v>2567</v>
      </c>
      <c r="B2" s="824">
        <v>9</v>
      </c>
      <c r="C2" s="824">
        <v>1</v>
      </c>
      <c r="D2" s="2961" t="s">
        <v>725</v>
      </c>
      <c r="E2" s="2962">
        <v>2</v>
      </c>
      <c r="F2" s="2963">
        <v>206000</v>
      </c>
      <c r="G2" s="838">
        <v>206000</v>
      </c>
      <c r="H2" s="839">
        <v>100</v>
      </c>
    </row>
    <row r="3" spans="1:8" s="1348" customFormat="1" ht="23.25" customHeight="1">
      <c r="A3" s="2960">
        <v>2567</v>
      </c>
      <c r="B3" s="824">
        <v>9</v>
      </c>
      <c r="C3" s="824">
        <v>1</v>
      </c>
      <c r="D3" s="2961" t="s">
        <v>726</v>
      </c>
      <c r="E3" s="2962">
        <v>2</v>
      </c>
      <c r="F3" s="2963">
        <v>491900</v>
      </c>
      <c r="G3" s="838">
        <v>491900</v>
      </c>
      <c r="H3" s="839">
        <v>100</v>
      </c>
    </row>
    <row r="4" spans="1:8" s="1348" customFormat="1" ht="23.25" customHeight="1">
      <c r="A4" s="2960">
        <v>2567</v>
      </c>
      <c r="B4" s="824">
        <v>9</v>
      </c>
      <c r="C4" s="824">
        <v>1</v>
      </c>
      <c r="D4" s="2961" t="s">
        <v>727</v>
      </c>
      <c r="E4" s="2962">
        <v>1</v>
      </c>
      <c r="F4" s="2964">
        <v>8000</v>
      </c>
      <c r="G4" s="838">
        <v>8000</v>
      </c>
      <c r="H4" s="839">
        <v>100</v>
      </c>
    </row>
    <row r="5" spans="1:8" ht="18" hidden="1">
      <c r="A5" s="837"/>
      <c r="B5" s="824">
        <v>11</v>
      </c>
      <c r="C5" s="824">
        <v>2</v>
      </c>
      <c r="D5" s="2961" t="s">
        <v>728</v>
      </c>
      <c r="E5" s="2962">
        <v>3</v>
      </c>
      <c r="F5" s="838">
        <v>508000</v>
      </c>
      <c r="G5" s="838">
        <v>508000</v>
      </c>
      <c r="H5" s="839">
        <v>100</v>
      </c>
    </row>
    <row r="6" spans="1:8" ht="18">
      <c r="A6" s="2965">
        <v>2567</v>
      </c>
      <c r="B6" s="2966">
        <v>9</v>
      </c>
      <c r="C6" s="2966">
        <v>1</v>
      </c>
      <c r="D6" s="2961" t="s">
        <v>904</v>
      </c>
      <c r="E6" s="2966">
        <v>2</v>
      </c>
      <c r="F6" s="2967">
        <v>515000</v>
      </c>
      <c r="G6" s="2967">
        <v>515000</v>
      </c>
      <c r="H6" s="2965">
        <v>100</v>
      </c>
    </row>
    <row r="7" spans="1:8" ht="18">
      <c r="A7" s="2965">
        <v>2567</v>
      </c>
      <c r="B7" s="2966">
        <v>9</v>
      </c>
      <c r="C7" s="2966">
        <v>1</v>
      </c>
      <c r="D7" s="2961" t="s">
        <v>729</v>
      </c>
      <c r="E7" s="2965">
        <v>4</v>
      </c>
      <c r="F7" s="2967">
        <v>1412000</v>
      </c>
      <c r="G7" s="2967">
        <v>1412000</v>
      </c>
      <c r="H7" s="2965">
        <v>100</v>
      </c>
    </row>
    <row r="8" spans="1:8" ht="18">
      <c r="A8" s="2965">
        <v>2567</v>
      </c>
      <c r="B8" s="2966">
        <v>9</v>
      </c>
      <c r="C8" s="2966">
        <v>1</v>
      </c>
      <c r="D8" s="2961" t="s">
        <v>4644</v>
      </c>
      <c r="E8" s="2965">
        <v>2</v>
      </c>
      <c r="F8" s="2967">
        <v>16000</v>
      </c>
      <c r="G8" s="2967">
        <v>16000</v>
      </c>
      <c r="H8" s="2965">
        <v>100</v>
      </c>
    </row>
    <row r="9" spans="1:8" ht="18">
      <c r="A9" s="2965">
        <v>2567</v>
      </c>
      <c r="B9" s="2966">
        <v>9</v>
      </c>
      <c r="C9" s="2966">
        <v>1</v>
      </c>
      <c r="D9" s="2961" t="s">
        <v>4645</v>
      </c>
      <c r="E9" s="2965">
        <v>4</v>
      </c>
      <c r="F9" s="2967">
        <v>603000</v>
      </c>
      <c r="G9" s="2967">
        <v>603000</v>
      </c>
      <c r="H9" s="2965">
        <v>100</v>
      </c>
    </row>
    <row r="10" spans="1:8" ht="18">
      <c r="A10" s="2965">
        <v>2567</v>
      </c>
      <c r="B10" s="2966">
        <v>9</v>
      </c>
      <c r="C10" s="2966">
        <v>1</v>
      </c>
      <c r="D10" s="2961" t="s">
        <v>6049</v>
      </c>
      <c r="E10" s="2965">
        <v>1</v>
      </c>
      <c r="F10" s="2967">
        <v>8000</v>
      </c>
      <c r="G10" s="2967">
        <v>8000</v>
      </c>
      <c r="H10" s="2965">
        <v>100</v>
      </c>
    </row>
    <row r="11" spans="1:8" ht="18">
      <c r="A11" s="2965">
        <v>2567</v>
      </c>
      <c r="B11" s="2966">
        <v>9</v>
      </c>
      <c r="C11" s="2966">
        <v>1</v>
      </c>
      <c r="D11" s="2961" t="s">
        <v>733</v>
      </c>
      <c r="E11" s="2965">
        <v>2</v>
      </c>
      <c r="F11" s="2967">
        <v>180000</v>
      </c>
      <c r="G11" s="2967">
        <v>180000</v>
      </c>
      <c r="H11" s="2965">
        <v>100</v>
      </c>
    </row>
    <row r="12" spans="1:8" ht="18">
      <c r="A12" s="2965">
        <v>2567</v>
      </c>
      <c r="B12" s="2966">
        <v>9</v>
      </c>
      <c r="C12" s="2966">
        <v>1</v>
      </c>
      <c r="D12" s="2961" t="s">
        <v>734</v>
      </c>
      <c r="E12" s="2965">
        <v>4</v>
      </c>
      <c r="F12" s="2967">
        <v>614000</v>
      </c>
      <c r="G12" s="2967">
        <v>614000</v>
      </c>
      <c r="H12" s="2965">
        <v>100</v>
      </c>
    </row>
    <row r="13" spans="1:8">
      <c r="A13" s="2957"/>
      <c r="B13" s="2958"/>
      <c r="C13" s="2958"/>
      <c r="D13" s="2957"/>
      <c r="E13" s="2957"/>
      <c r="F13" s="2959"/>
      <c r="G13" s="2959"/>
      <c r="H13" s="2957"/>
    </row>
    <row r="14" spans="1:8">
      <c r="A14" s="2957"/>
      <c r="B14" s="2958"/>
      <c r="C14" s="2958"/>
      <c r="D14" s="2957"/>
      <c r="E14" s="2957"/>
      <c r="F14" s="2959"/>
      <c r="G14" s="2959"/>
      <c r="H14" s="2957"/>
    </row>
    <row r="15" spans="1:8">
      <c r="A15" s="2957"/>
      <c r="B15" s="2958"/>
      <c r="C15" s="2958"/>
      <c r="D15" s="2957"/>
      <c r="E15" s="2957"/>
      <c r="F15" s="2959"/>
      <c r="G15" s="2959"/>
      <c r="H15" s="2957"/>
    </row>
    <row r="16" spans="1:8">
      <c r="A16" s="2957"/>
      <c r="B16" s="2958"/>
      <c r="C16" s="2958"/>
      <c r="D16" s="2957"/>
      <c r="E16" s="2957"/>
      <c r="F16" s="2959"/>
      <c r="G16" s="2959"/>
      <c r="H16" s="2957"/>
    </row>
    <row r="17" spans="1:8">
      <c r="A17" s="2957"/>
      <c r="B17" s="2958"/>
      <c r="C17" s="2958"/>
      <c r="D17" s="2957"/>
      <c r="E17" s="2957"/>
      <c r="F17" s="2959"/>
      <c r="G17" s="2959"/>
      <c r="H17" s="2957"/>
    </row>
  </sheetData>
  <sortState xmlns:xlrd2="http://schemas.microsoft.com/office/spreadsheetml/2017/richdata2" ref="D2:H6">
    <sortCondition descending="1" ref="H2:H6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>
    <tabColor rgb="FF7030A0"/>
  </sheetPr>
  <dimension ref="A1:U115"/>
  <sheetViews>
    <sheetView topLeftCell="A7" zoomScale="80" zoomScaleNormal="80" workbookViewId="0">
      <pane ySplit="6" topLeftCell="A13" activePane="bottomLeft" state="frozen"/>
      <selection activeCell="B7" sqref="B7"/>
      <selection pane="bottomLeft" activeCell="M20" sqref="M20"/>
    </sheetView>
  </sheetViews>
  <sheetFormatPr defaultRowHeight="24"/>
  <cols>
    <col min="1" max="1" width="0.7109375" style="448" hidden="1" customWidth="1"/>
    <col min="2" max="2" width="5.7109375" style="470" customWidth="1"/>
    <col min="3" max="3" width="95.140625" style="471" customWidth="1"/>
    <col min="4" max="4" width="19.85546875" style="472" customWidth="1"/>
    <col min="5" max="5" width="19.42578125" style="472" hidden="1" customWidth="1"/>
    <col min="6" max="6" width="18.5703125" style="472" hidden="1" customWidth="1"/>
    <col min="7" max="7" width="21.28515625" style="472" hidden="1" customWidth="1"/>
    <col min="8" max="8" width="16.140625" style="472" hidden="1" customWidth="1"/>
    <col min="9" max="9" width="16.42578125" style="472" customWidth="1"/>
    <col min="10" max="10" width="12" style="472" customWidth="1"/>
    <col min="11" max="11" width="18.5703125" style="472" customWidth="1"/>
    <col min="12" max="12" width="18.140625" style="472" hidden="1" customWidth="1"/>
    <col min="13" max="13" width="21.28515625" style="472" customWidth="1"/>
    <col min="14" max="14" width="16.42578125" style="474" hidden="1" customWidth="1"/>
    <col min="15" max="15" width="1.7109375" style="448" customWidth="1"/>
    <col min="16" max="16" width="24.140625" style="475" hidden="1" customWidth="1"/>
    <col min="17" max="17" width="18" style="476" hidden="1" customWidth="1"/>
    <col min="18" max="20" width="0" style="448" hidden="1" customWidth="1"/>
    <col min="21" max="256" width="9.140625" style="448"/>
    <col min="257" max="257" width="0" style="448" hidden="1" customWidth="1"/>
    <col min="258" max="258" width="5.7109375" style="448" customWidth="1"/>
    <col min="259" max="259" width="93.140625" style="448" customWidth="1"/>
    <col min="260" max="260" width="21.7109375" style="448" customWidth="1"/>
    <col min="261" max="264" width="0" style="448" hidden="1" customWidth="1"/>
    <col min="265" max="265" width="20" style="448" customWidth="1"/>
    <col min="266" max="266" width="12" style="448" customWidth="1"/>
    <col min="267" max="267" width="21.140625" style="448" bestFit="1" customWidth="1"/>
    <col min="268" max="268" width="0" style="448" hidden="1" customWidth="1"/>
    <col min="269" max="269" width="21.28515625" style="448" customWidth="1"/>
    <col min="270" max="270" width="0" style="448" hidden="1" customWidth="1"/>
    <col min="271" max="271" width="1.7109375" style="448" customWidth="1"/>
    <col min="272" max="276" width="0" style="448" hidden="1" customWidth="1"/>
    <col min="277" max="512" width="9.140625" style="448"/>
    <col min="513" max="513" width="0" style="448" hidden="1" customWidth="1"/>
    <col min="514" max="514" width="5.7109375" style="448" customWidth="1"/>
    <col min="515" max="515" width="93.140625" style="448" customWidth="1"/>
    <col min="516" max="516" width="21.7109375" style="448" customWidth="1"/>
    <col min="517" max="520" width="0" style="448" hidden="1" customWidth="1"/>
    <col min="521" max="521" width="20" style="448" customWidth="1"/>
    <col min="522" max="522" width="12" style="448" customWidth="1"/>
    <col min="523" max="523" width="21.140625" style="448" bestFit="1" customWidth="1"/>
    <col min="524" max="524" width="0" style="448" hidden="1" customWidth="1"/>
    <col min="525" max="525" width="21.28515625" style="448" customWidth="1"/>
    <col min="526" max="526" width="0" style="448" hidden="1" customWidth="1"/>
    <col min="527" max="527" width="1.7109375" style="448" customWidth="1"/>
    <col min="528" max="532" width="0" style="448" hidden="1" customWidth="1"/>
    <col min="533" max="768" width="9.140625" style="448"/>
    <col min="769" max="769" width="0" style="448" hidden="1" customWidth="1"/>
    <col min="770" max="770" width="5.7109375" style="448" customWidth="1"/>
    <col min="771" max="771" width="93.140625" style="448" customWidth="1"/>
    <col min="772" max="772" width="21.7109375" style="448" customWidth="1"/>
    <col min="773" max="776" width="0" style="448" hidden="1" customWidth="1"/>
    <col min="777" max="777" width="20" style="448" customWidth="1"/>
    <col min="778" max="778" width="12" style="448" customWidth="1"/>
    <col min="779" max="779" width="21.140625" style="448" bestFit="1" customWidth="1"/>
    <col min="780" max="780" width="0" style="448" hidden="1" customWidth="1"/>
    <col min="781" max="781" width="21.28515625" style="448" customWidth="1"/>
    <col min="782" max="782" width="0" style="448" hidden="1" customWidth="1"/>
    <col min="783" max="783" width="1.7109375" style="448" customWidth="1"/>
    <col min="784" max="788" width="0" style="448" hidden="1" customWidth="1"/>
    <col min="789" max="1024" width="9.140625" style="448"/>
    <col min="1025" max="1025" width="0" style="448" hidden="1" customWidth="1"/>
    <col min="1026" max="1026" width="5.7109375" style="448" customWidth="1"/>
    <col min="1027" max="1027" width="93.140625" style="448" customWidth="1"/>
    <col min="1028" max="1028" width="21.7109375" style="448" customWidth="1"/>
    <col min="1029" max="1032" width="0" style="448" hidden="1" customWidth="1"/>
    <col min="1033" max="1033" width="20" style="448" customWidth="1"/>
    <col min="1034" max="1034" width="12" style="448" customWidth="1"/>
    <col min="1035" max="1035" width="21.140625" style="448" bestFit="1" customWidth="1"/>
    <col min="1036" max="1036" width="0" style="448" hidden="1" customWidth="1"/>
    <col min="1037" max="1037" width="21.28515625" style="448" customWidth="1"/>
    <col min="1038" max="1038" width="0" style="448" hidden="1" customWidth="1"/>
    <col min="1039" max="1039" width="1.7109375" style="448" customWidth="1"/>
    <col min="1040" max="1044" width="0" style="448" hidden="1" customWidth="1"/>
    <col min="1045" max="1280" width="9.140625" style="448"/>
    <col min="1281" max="1281" width="0" style="448" hidden="1" customWidth="1"/>
    <col min="1282" max="1282" width="5.7109375" style="448" customWidth="1"/>
    <col min="1283" max="1283" width="93.140625" style="448" customWidth="1"/>
    <col min="1284" max="1284" width="21.7109375" style="448" customWidth="1"/>
    <col min="1285" max="1288" width="0" style="448" hidden="1" customWidth="1"/>
    <col min="1289" max="1289" width="20" style="448" customWidth="1"/>
    <col min="1290" max="1290" width="12" style="448" customWidth="1"/>
    <col min="1291" max="1291" width="21.140625" style="448" bestFit="1" customWidth="1"/>
    <col min="1292" max="1292" width="0" style="448" hidden="1" customWidth="1"/>
    <col min="1293" max="1293" width="21.28515625" style="448" customWidth="1"/>
    <col min="1294" max="1294" width="0" style="448" hidden="1" customWidth="1"/>
    <col min="1295" max="1295" width="1.7109375" style="448" customWidth="1"/>
    <col min="1296" max="1300" width="0" style="448" hidden="1" customWidth="1"/>
    <col min="1301" max="1536" width="9.140625" style="448"/>
    <col min="1537" max="1537" width="0" style="448" hidden="1" customWidth="1"/>
    <col min="1538" max="1538" width="5.7109375" style="448" customWidth="1"/>
    <col min="1539" max="1539" width="93.140625" style="448" customWidth="1"/>
    <col min="1540" max="1540" width="21.7109375" style="448" customWidth="1"/>
    <col min="1541" max="1544" width="0" style="448" hidden="1" customWidth="1"/>
    <col min="1545" max="1545" width="20" style="448" customWidth="1"/>
    <col min="1546" max="1546" width="12" style="448" customWidth="1"/>
    <col min="1547" max="1547" width="21.140625" style="448" bestFit="1" customWidth="1"/>
    <col min="1548" max="1548" width="0" style="448" hidden="1" customWidth="1"/>
    <col min="1549" max="1549" width="21.28515625" style="448" customWidth="1"/>
    <col min="1550" max="1550" width="0" style="448" hidden="1" customWidth="1"/>
    <col min="1551" max="1551" width="1.7109375" style="448" customWidth="1"/>
    <col min="1552" max="1556" width="0" style="448" hidden="1" customWidth="1"/>
    <col min="1557" max="1792" width="9.140625" style="448"/>
    <col min="1793" max="1793" width="0" style="448" hidden="1" customWidth="1"/>
    <col min="1794" max="1794" width="5.7109375" style="448" customWidth="1"/>
    <col min="1795" max="1795" width="93.140625" style="448" customWidth="1"/>
    <col min="1796" max="1796" width="21.7109375" style="448" customWidth="1"/>
    <col min="1797" max="1800" width="0" style="448" hidden="1" customWidth="1"/>
    <col min="1801" max="1801" width="20" style="448" customWidth="1"/>
    <col min="1802" max="1802" width="12" style="448" customWidth="1"/>
    <col min="1803" max="1803" width="21.140625" style="448" bestFit="1" customWidth="1"/>
    <col min="1804" max="1804" width="0" style="448" hidden="1" customWidth="1"/>
    <col min="1805" max="1805" width="21.28515625" style="448" customWidth="1"/>
    <col min="1806" max="1806" width="0" style="448" hidden="1" customWidth="1"/>
    <col min="1807" max="1807" width="1.7109375" style="448" customWidth="1"/>
    <col min="1808" max="1812" width="0" style="448" hidden="1" customWidth="1"/>
    <col min="1813" max="2048" width="9.140625" style="448"/>
    <col min="2049" max="2049" width="0" style="448" hidden="1" customWidth="1"/>
    <col min="2050" max="2050" width="5.7109375" style="448" customWidth="1"/>
    <col min="2051" max="2051" width="93.140625" style="448" customWidth="1"/>
    <col min="2052" max="2052" width="21.7109375" style="448" customWidth="1"/>
    <col min="2053" max="2056" width="0" style="448" hidden="1" customWidth="1"/>
    <col min="2057" max="2057" width="20" style="448" customWidth="1"/>
    <col min="2058" max="2058" width="12" style="448" customWidth="1"/>
    <col min="2059" max="2059" width="21.140625" style="448" bestFit="1" customWidth="1"/>
    <col min="2060" max="2060" width="0" style="448" hidden="1" customWidth="1"/>
    <col min="2061" max="2061" width="21.28515625" style="448" customWidth="1"/>
    <col min="2062" max="2062" width="0" style="448" hidden="1" customWidth="1"/>
    <col min="2063" max="2063" width="1.7109375" style="448" customWidth="1"/>
    <col min="2064" max="2068" width="0" style="448" hidden="1" customWidth="1"/>
    <col min="2069" max="2304" width="9.140625" style="448"/>
    <col min="2305" max="2305" width="0" style="448" hidden="1" customWidth="1"/>
    <col min="2306" max="2306" width="5.7109375" style="448" customWidth="1"/>
    <col min="2307" max="2307" width="93.140625" style="448" customWidth="1"/>
    <col min="2308" max="2308" width="21.7109375" style="448" customWidth="1"/>
    <col min="2309" max="2312" width="0" style="448" hidden="1" customWidth="1"/>
    <col min="2313" max="2313" width="20" style="448" customWidth="1"/>
    <col min="2314" max="2314" width="12" style="448" customWidth="1"/>
    <col min="2315" max="2315" width="21.140625" style="448" bestFit="1" customWidth="1"/>
    <col min="2316" max="2316" width="0" style="448" hidden="1" customWidth="1"/>
    <col min="2317" max="2317" width="21.28515625" style="448" customWidth="1"/>
    <col min="2318" max="2318" width="0" style="448" hidden="1" customWidth="1"/>
    <col min="2319" max="2319" width="1.7109375" style="448" customWidth="1"/>
    <col min="2320" max="2324" width="0" style="448" hidden="1" customWidth="1"/>
    <col min="2325" max="2560" width="9.140625" style="448"/>
    <col min="2561" max="2561" width="0" style="448" hidden="1" customWidth="1"/>
    <col min="2562" max="2562" width="5.7109375" style="448" customWidth="1"/>
    <col min="2563" max="2563" width="93.140625" style="448" customWidth="1"/>
    <col min="2564" max="2564" width="21.7109375" style="448" customWidth="1"/>
    <col min="2565" max="2568" width="0" style="448" hidden="1" customWidth="1"/>
    <col min="2569" max="2569" width="20" style="448" customWidth="1"/>
    <col min="2570" max="2570" width="12" style="448" customWidth="1"/>
    <col min="2571" max="2571" width="21.140625" style="448" bestFit="1" customWidth="1"/>
    <col min="2572" max="2572" width="0" style="448" hidden="1" customWidth="1"/>
    <col min="2573" max="2573" width="21.28515625" style="448" customWidth="1"/>
    <col min="2574" max="2574" width="0" style="448" hidden="1" customWidth="1"/>
    <col min="2575" max="2575" width="1.7109375" style="448" customWidth="1"/>
    <col min="2576" max="2580" width="0" style="448" hidden="1" customWidth="1"/>
    <col min="2581" max="2816" width="9.140625" style="448"/>
    <col min="2817" max="2817" width="0" style="448" hidden="1" customWidth="1"/>
    <col min="2818" max="2818" width="5.7109375" style="448" customWidth="1"/>
    <col min="2819" max="2819" width="93.140625" style="448" customWidth="1"/>
    <col min="2820" max="2820" width="21.7109375" style="448" customWidth="1"/>
    <col min="2821" max="2824" width="0" style="448" hidden="1" customWidth="1"/>
    <col min="2825" max="2825" width="20" style="448" customWidth="1"/>
    <col min="2826" max="2826" width="12" style="448" customWidth="1"/>
    <col min="2827" max="2827" width="21.140625" style="448" bestFit="1" customWidth="1"/>
    <col min="2828" max="2828" width="0" style="448" hidden="1" customWidth="1"/>
    <col min="2829" max="2829" width="21.28515625" style="448" customWidth="1"/>
    <col min="2830" max="2830" width="0" style="448" hidden="1" customWidth="1"/>
    <col min="2831" max="2831" width="1.7109375" style="448" customWidth="1"/>
    <col min="2832" max="2836" width="0" style="448" hidden="1" customWidth="1"/>
    <col min="2837" max="3072" width="9.140625" style="448"/>
    <col min="3073" max="3073" width="0" style="448" hidden="1" customWidth="1"/>
    <col min="3074" max="3074" width="5.7109375" style="448" customWidth="1"/>
    <col min="3075" max="3075" width="93.140625" style="448" customWidth="1"/>
    <col min="3076" max="3076" width="21.7109375" style="448" customWidth="1"/>
    <col min="3077" max="3080" width="0" style="448" hidden="1" customWidth="1"/>
    <col min="3081" max="3081" width="20" style="448" customWidth="1"/>
    <col min="3082" max="3082" width="12" style="448" customWidth="1"/>
    <col min="3083" max="3083" width="21.140625" style="448" bestFit="1" customWidth="1"/>
    <col min="3084" max="3084" width="0" style="448" hidden="1" customWidth="1"/>
    <col min="3085" max="3085" width="21.28515625" style="448" customWidth="1"/>
    <col min="3086" max="3086" width="0" style="448" hidden="1" customWidth="1"/>
    <col min="3087" max="3087" width="1.7109375" style="448" customWidth="1"/>
    <col min="3088" max="3092" width="0" style="448" hidden="1" customWidth="1"/>
    <col min="3093" max="3328" width="9.140625" style="448"/>
    <col min="3329" max="3329" width="0" style="448" hidden="1" customWidth="1"/>
    <col min="3330" max="3330" width="5.7109375" style="448" customWidth="1"/>
    <col min="3331" max="3331" width="93.140625" style="448" customWidth="1"/>
    <col min="3332" max="3332" width="21.7109375" style="448" customWidth="1"/>
    <col min="3333" max="3336" width="0" style="448" hidden="1" customWidth="1"/>
    <col min="3337" max="3337" width="20" style="448" customWidth="1"/>
    <col min="3338" max="3338" width="12" style="448" customWidth="1"/>
    <col min="3339" max="3339" width="21.140625" style="448" bestFit="1" customWidth="1"/>
    <col min="3340" max="3340" width="0" style="448" hidden="1" customWidth="1"/>
    <col min="3341" max="3341" width="21.28515625" style="448" customWidth="1"/>
    <col min="3342" max="3342" width="0" style="448" hidden="1" customWidth="1"/>
    <col min="3343" max="3343" width="1.7109375" style="448" customWidth="1"/>
    <col min="3344" max="3348" width="0" style="448" hidden="1" customWidth="1"/>
    <col min="3349" max="3584" width="9.140625" style="448"/>
    <col min="3585" max="3585" width="0" style="448" hidden="1" customWidth="1"/>
    <col min="3586" max="3586" width="5.7109375" style="448" customWidth="1"/>
    <col min="3587" max="3587" width="93.140625" style="448" customWidth="1"/>
    <col min="3588" max="3588" width="21.7109375" style="448" customWidth="1"/>
    <col min="3589" max="3592" width="0" style="448" hidden="1" customWidth="1"/>
    <col min="3593" max="3593" width="20" style="448" customWidth="1"/>
    <col min="3594" max="3594" width="12" style="448" customWidth="1"/>
    <col min="3595" max="3595" width="21.140625" style="448" bestFit="1" customWidth="1"/>
    <col min="3596" max="3596" width="0" style="448" hidden="1" customWidth="1"/>
    <col min="3597" max="3597" width="21.28515625" style="448" customWidth="1"/>
    <col min="3598" max="3598" width="0" style="448" hidden="1" customWidth="1"/>
    <col min="3599" max="3599" width="1.7109375" style="448" customWidth="1"/>
    <col min="3600" max="3604" width="0" style="448" hidden="1" customWidth="1"/>
    <col min="3605" max="3840" width="9.140625" style="448"/>
    <col min="3841" max="3841" width="0" style="448" hidden="1" customWidth="1"/>
    <col min="3842" max="3842" width="5.7109375" style="448" customWidth="1"/>
    <col min="3843" max="3843" width="93.140625" style="448" customWidth="1"/>
    <col min="3844" max="3844" width="21.7109375" style="448" customWidth="1"/>
    <col min="3845" max="3848" width="0" style="448" hidden="1" customWidth="1"/>
    <col min="3849" max="3849" width="20" style="448" customWidth="1"/>
    <col min="3850" max="3850" width="12" style="448" customWidth="1"/>
    <col min="3851" max="3851" width="21.140625" style="448" bestFit="1" customWidth="1"/>
    <col min="3852" max="3852" width="0" style="448" hidden="1" customWidth="1"/>
    <col min="3853" max="3853" width="21.28515625" style="448" customWidth="1"/>
    <col min="3854" max="3854" width="0" style="448" hidden="1" customWidth="1"/>
    <col min="3855" max="3855" width="1.7109375" style="448" customWidth="1"/>
    <col min="3856" max="3860" width="0" style="448" hidden="1" customWidth="1"/>
    <col min="3861" max="4096" width="9.140625" style="448"/>
    <col min="4097" max="4097" width="0" style="448" hidden="1" customWidth="1"/>
    <col min="4098" max="4098" width="5.7109375" style="448" customWidth="1"/>
    <col min="4099" max="4099" width="93.140625" style="448" customWidth="1"/>
    <col min="4100" max="4100" width="21.7109375" style="448" customWidth="1"/>
    <col min="4101" max="4104" width="0" style="448" hidden="1" customWidth="1"/>
    <col min="4105" max="4105" width="20" style="448" customWidth="1"/>
    <col min="4106" max="4106" width="12" style="448" customWidth="1"/>
    <col min="4107" max="4107" width="21.140625" style="448" bestFit="1" customWidth="1"/>
    <col min="4108" max="4108" width="0" style="448" hidden="1" customWidth="1"/>
    <col min="4109" max="4109" width="21.28515625" style="448" customWidth="1"/>
    <col min="4110" max="4110" width="0" style="448" hidden="1" customWidth="1"/>
    <col min="4111" max="4111" width="1.7109375" style="448" customWidth="1"/>
    <col min="4112" max="4116" width="0" style="448" hidden="1" customWidth="1"/>
    <col min="4117" max="4352" width="9.140625" style="448"/>
    <col min="4353" max="4353" width="0" style="448" hidden="1" customWidth="1"/>
    <col min="4354" max="4354" width="5.7109375" style="448" customWidth="1"/>
    <col min="4355" max="4355" width="93.140625" style="448" customWidth="1"/>
    <col min="4356" max="4356" width="21.7109375" style="448" customWidth="1"/>
    <col min="4357" max="4360" width="0" style="448" hidden="1" customWidth="1"/>
    <col min="4361" max="4361" width="20" style="448" customWidth="1"/>
    <col min="4362" max="4362" width="12" style="448" customWidth="1"/>
    <col min="4363" max="4363" width="21.140625" style="448" bestFit="1" customWidth="1"/>
    <col min="4364" max="4364" width="0" style="448" hidden="1" customWidth="1"/>
    <col min="4365" max="4365" width="21.28515625" style="448" customWidth="1"/>
    <col min="4366" max="4366" width="0" style="448" hidden="1" customWidth="1"/>
    <col min="4367" max="4367" width="1.7109375" style="448" customWidth="1"/>
    <col min="4368" max="4372" width="0" style="448" hidden="1" customWidth="1"/>
    <col min="4373" max="4608" width="9.140625" style="448"/>
    <col min="4609" max="4609" width="0" style="448" hidden="1" customWidth="1"/>
    <col min="4610" max="4610" width="5.7109375" style="448" customWidth="1"/>
    <col min="4611" max="4611" width="93.140625" style="448" customWidth="1"/>
    <col min="4612" max="4612" width="21.7109375" style="448" customWidth="1"/>
    <col min="4613" max="4616" width="0" style="448" hidden="1" customWidth="1"/>
    <col min="4617" max="4617" width="20" style="448" customWidth="1"/>
    <col min="4618" max="4618" width="12" style="448" customWidth="1"/>
    <col min="4619" max="4619" width="21.140625" style="448" bestFit="1" customWidth="1"/>
    <col min="4620" max="4620" width="0" style="448" hidden="1" customWidth="1"/>
    <col min="4621" max="4621" width="21.28515625" style="448" customWidth="1"/>
    <col min="4622" max="4622" width="0" style="448" hidden="1" customWidth="1"/>
    <col min="4623" max="4623" width="1.7109375" style="448" customWidth="1"/>
    <col min="4624" max="4628" width="0" style="448" hidden="1" customWidth="1"/>
    <col min="4629" max="4864" width="9.140625" style="448"/>
    <col min="4865" max="4865" width="0" style="448" hidden="1" customWidth="1"/>
    <col min="4866" max="4866" width="5.7109375" style="448" customWidth="1"/>
    <col min="4867" max="4867" width="93.140625" style="448" customWidth="1"/>
    <col min="4868" max="4868" width="21.7109375" style="448" customWidth="1"/>
    <col min="4869" max="4872" width="0" style="448" hidden="1" customWidth="1"/>
    <col min="4873" max="4873" width="20" style="448" customWidth="1"/>
    <col min="4874" max="4874" width="12" style="448" customWidth="1"/>
    <col min="4875" max="4875" width="21.140625" style="448" bestFit="1" customWidth="1"/>
    <col min="4876" max="4876" width="0" style="448" hidden="1" customWidth="1"/>
    <col min="4877" max="4877" width="21.28515625" style="448" customWidth="1"/>
    <col min="4878" max="4878" width="0" style="448" hidden="1" customWidth="1"/>
    <col min="4879" max="4879" width="1.7109375" style="448" customWidth="1"/>
    <col min="4880" max="4884" width="0" style="448" hidden="1" customWidth="1"/>
    <col min="4885" max="5120" width="9.140625" style="448"/>
    <col min="5121" max="5121" width="0" style="448" hidden="1" customWidth="1"/>
    <col min="5122" max="5122" width="5.7109375" style="448" customWidth="1"/>
    <col min="5123" max="5123" width="93.140625" style="448" customWidth="1"/>
    <col min="5124" max="5124" width="21.7109375" style="448" customWidth="1"/>
    <col min="5125" max="5128" width="0" style="448" hidden="1" customWidth="1"/>
    <col min="5129" max="5129" width="20" style="448" customWidth="1"/>
    <col min="5130" max="5130" width="12" style="448" customWidth="1"/>
    <col min="5131" max="5131" width="21.140625" style="448" bestFit="1" customWidth="1"/>
    <col min="5132" max="5132" width="0" style="448" hidden="1" customWidth="1"/>
    <col min="5133" max="5133" width="21.28515625" style="448" customWidth="1"/>
    <col min="5134" max="5134" width="0" style="448" hidden="1" customWidth="1"/>
    <col min="5135" max="5135" width="1.7109375" style="448" customWidth="1"/>
    <col min="5136" max="5140" width="0" style="448" hidden="1" customWidth="1"/>
    <col min="5141" max="5376" width="9.140625" style="448"/>
    <col min="5377" max="5377" width="0" style="448" hidden="1" customWidth="1"/>
    <col min="5378" max="5378" width="5.7109375" style="448" customWidth="1"/>
    <col min="5379" max="5379" width="93.140625" style="448" customWidth="1"/>
    <col min="5380" max="5380" width="21.7109375" style="448" customWidth="1"/>
    <col min="5381" max="5384" width="0" style="448" hidden="1" customWidth="1"/>
    <col min="5385" max="5385" width="20" style="448" customWidth="1"/>
    <col min="5386" max="5386" width="12" style="448" customWidth="1"/>
    <col min="5387" max="5387" width="21.140625" style="448" bestFit="1" customWidth="1"/>
    <col min="5388" max="5388" width="0" style="448" hidden="1" customWidth="1"/>
    <col min="5389" max="5389" width="21.28515625" style="448" customWidth="1"/>
    <col min="5390" max="5390" width="0" style="448" hidden="1" customWidth="1"/>
    <col min="5391" max="5391" width="1.7109375" style="448" customWidth="1"/>
    <col min="5392" max="5396" width="0" style="448" hidden="1" customWidth="1"/>
    <col min="5397" max="5632" width="9.140625" style="448"/>
    <col min="5633" max="5633" width="0" style="448" hidden="1" customWidth="1"/>
    <col min="5634" max="5634" width="5.7109375" style="448" customWidth="1"/>
    <col min="5635" max="5635" width="93.140625" style="448" customWidth="1"/>
    <col min="5636" max="5636" width="21.7109375" style="448" customWidth="1"/>
    <col min="5637" max="5640" width="0" style="448" hidden="1" customWidth="1"/>
    <col min="5641" max="5641" width="20" style="448" customWidth="1"/>
    <col min="5642" max="5642" width="12" style="448" customWidth="1"/>
    <col min="5643" max="5643" width="21.140625" style="448" bestFit="1" customWidth="1"/>
    <col min="5644" max="5644" width="0" style="448" hidden="1" customWidth="1"/>
    <col min="5645" max="5645" width="21.28515625" style="448" customWidth="1"/>
    <col min="5646" max="5646" width="0" style="448" hidden="1" customWidth="1"/>
    <col min="5647" max="5647" width="1.7109375" style="448" customWidth="1"/>
    <col min="5648" max="5652" width="0" style="448" hidden="1" customWidth="1"/>
    <col min="5653" max="5888" width="9.140625" style="448"/>
    <col min="5889" max="5889" width="0" style="448" hidden="1" customWidth="1"/>
    <col min="5890" max="5890" width="5.7109375" style="448" customWidth="1"/>
    <col min="5891" max="5891" width="93.140625" style="448" customWidth="1"/>
    <col min="5892" max="5892" width="21.7109375" style="448" customWidth="1"/>
    <col min="5893" max="5896" width="0" style="448" hidden="1" customWidth="1"/>
    <col min="5897" max="5897" width="20" style="448" customWidth="1"/>
    <col min="5898" max="5898" width="12" style="448" customWidth="1"/>
    <col min="5899" max="5899" width="21.140625" style="448" bestFit="1" customWidth="1"/>
    <col min="5900" max="5900" width="0" style="448" hidden="1" customWidth="1"/>
    <col min="5901" max="5901" width="21.28515625" style="448" customWidth="1"/>
    <col min="5902" max="5902" width="0" style="448" hidden="1" customWidth="1"/>
    <col min="5903" max="5903" width="1.7109375" style="448" customWidth="1"/>
    <col min="5904" max="5908" width="0" style="448" hidden="1" customWidth="1"/>
    <col min="5909" max="6144" width="9.140625" style="448"/>
    <col min="6145" max="6145" width="0" style="448" hidden="1" customWidth="1"/>
    <col min="6146" max="6146" width="5.7109375" style="448" customWidth="1"/>
    <col min="6147" max="6147" width="93.140625" style="448" customWidth="1"/>
    <col min="6148" max="6148" width="21.7109375" style="448" customWidth="1"/>
    <col min="6149" max="6152" width="0" style="448" hidden="1" customWidth="1"/>
    <col min="6153" max="6153" width="20" style="448" customWidth="1"/>
    <col min="6154" max="6154" width="12" style="448" customWidth="1"/>
    <col min="6155" max="6155" width="21.140625" style="448" bestFit="1" customWidth="1"/>
    <col min="6156" max="6156" width="0" style="448" hidden="1" customWidth="1"/>
    <col min="6157" max="6157" width="21.28515625" style="448" customWidth="1"/>
    <col min="6158" max="6158" width="0" style="448" hidden="1" customWidth="1"/>
    <col min="6159" max="6159" width="1.7109375" style="448" customWidth="1"/>
    <col min="6160" max="6164" width="0" style="448" hidden="1" customWidth="1"/>
    <col min="6165" max="6400" width="9.140625" style="448"/>
    <col min="6401" max="6401" width="0" style="448" hidden="1" customWidth="1"/>
    <col min="6402" max="6402" width="5.7109375" style="448" customWidth="1"/>
    <col min="6403" max="6403" width="93.140625" style="448" customWidth="1"/>
    <col min="6404" max="6404" width="21.7109375" style="448" customWidth="1"/>
    <col min="6405" max="6408" width="0" style="448" hidden="1" customWidth="1"/>
    <col min="6409" max="6409" width="20" style="448" customWidth="1"/>
    <col min="6410" max="6410" width="12" style="448" customWidth="1"/>
    <col min="6411" max="6411" width="21.140625" style="448" bestFit="1" customWidth="1"/>
    <col min="6412" max="6412" width="0" style="448" hidden="1" customWidth="1"/>
    <col min="6413" max="6413" width="21.28515625" style="448" customWidth="1"/>
    <col min="6414" max="6414" width="0" style="448" hidden="1" customWidth="1"/>
    <col min="6415" max="6415" width="1.7109375" style="448" customWidth="1"/>
    <col min="6416" max="6420" width="0" style="448" hidden="1" customWidth="1"/>
    <col min="6421" max="6656" width="9.140625" style="448"/>
    <col min="6657" max="6657" width="0" style="448" hidden="1" customWidth="1"/>
    <col min="6658" max="6658" width="5.7109375" style="448" customWidth="1"/>
    <col min="6659" max="6659" width="93.140625" style="448" customWidth="1"/>
    <col min="6660" max="6660" width="21.7109375" style="448" customWidth="1"/>
    <col min="6661" max="6664" width="0" style="448" hidden="1" customWidth="1"/>
    <col min="6665" max="6665" width="20" style="448" customWidth="1"/>
    <col min="6666" max="6666" width="12" style="448" customWidth="1"/>
    <col min="6667" max="6667" width="21.140625" style="448" bestFit="1" customWidth="1"/>
    <col min="6668" max="6668" width="0" style="448" hidden="1" customWidth="1"/>
    <col min="6669" max="6669" width="21.28515625" style="448" customWidth="1"/>
    <col min="6670" max="6670" width="0" style="448" hidden="1" customWidth="1"/>
    <col min="6671" max="6671" width="1.7109375" style="448" customWidth="1"/>
    <col min="6672" max="6676" width="0" style="448" hidden="1" customWidth="1"/>
    <col min="6677" max="6912" width="9.140625" style="448"/>
    <col min="6913" max="6913" width="0" style="448" hidden="1" customWidth="1"/>
    <col min="6914" max="6914" width="5.7109375" style="448" customWidth="1"/>
    <col min="6915" max="6915" width="93.140625" style="448" customWidth="1"/>
    <col min="6916" max="6916" width="21.7109375" style="448" customWidth="1"/>
    <col min="6917" max="6920" width="0" style="448" hidden="1" customWidth="1"/>
    <col min="6921" max="6921" width="20" style="448" customWidth="1"/>
    <col min="6922" max="6922" width="12" style="448" customWidth="1"/>
    <col min="6923" max="6923" width="21.140625" style="448" bestFit="1" customWidth="1"/>
    <col min="6924" max="6924" width="0" style="448" hidden="1" customWidth="1"/>
    <col min="6925" max="6925" width="21.28515625" style="448" customWidth="1"/>
    <col min="6926" max="6926" width="0" style="448" hidden="1" customWidth="1"/>
    <col min="6927" max="6927" width="1.7109375" style="448" customWidth="1"/>
    <col min="6928" max="6932" width="0" style="448" hidden="1" customWidth="1"/>
    <col min="6933" max="7168" width="9.140625" style="448"/>
    <col min="7169" max="7169" width="0" style="448" hidden="1" customWidth="1"/>
    <col min="7170" max="7170" width="5.7109375" style="448" customWidth="1"/>
    <col min="7171" max="7171" width="93.140625" style="448" customWidth="1"/>
    <col min="7172" max="7172" width="21.7109375" style="448" customWidth="1"/>
    <col min="7173" max="7176" width="0" style="448" hidden="1" customWidth="1"/>
    <col min="7177" max="7177" width="20" style="448" customWidth="1"/>
    <col min="7178" max="7178" width="12" style="448" customWidth="1"/>
    <col min="7179" max="7179" width="21.140625" style="448" bestFit="1" customWidth="1"/>
    <col min="7180" max="7180" width="0" style="448" hidden="1" customWidth="1"/>
    <col min="7181" max="7181" width="21.28515625" style="448" customWidth="1"/>
    <col min="7182" max="7182" width="0" style="448" hidden="1" customWidth="1"/>
    <col min="7183" max="7183" width="1.7109375" style="448" customWidth="1"/>
    <col min="7184" max="7188" width="0" style="448" hidden="1" customWidth="1"/>
    <col min="7189" max="7424" width="9.140625" style="448"/>
    <col min="7425" max="7425" width="0" style="448" hidden="1" customWidth="1"/>
    <col min="7426" max="7426" width="5.7109375" style="448" customWidth="1"/>
    <col min="7427" max="7427" width="93.140625" style="448" customWidth="1"/>
    <col min="7428" max="7428" width="21.7109375" style="448" customWidth="1"/>
    <col min="7429" max="7432" width="0" style="448" hidden="1" customWidth="1"/>
    <col min="7433" max="7433" width="20" style="448" customWidth="1"/>
    <col min="7434" max="7434" width="12" style="448" customWidth="1"/>
    <col min="7435" max="7435" width="21.140625" style="448" bestFit="1" customWidth="1"/>
    <col min="7436" max="7436" width="0" style="448" hidden="1" customWidth="1"/>
    <col min="7437" max="7437" width="21.28515625" style="448" customWidth="1"/>
    <col min="7438" max="7438" width="0" style="448" hidden="1" customWidth="1"/>
    <col min="7439" max="7439" width="1.7109375" style="448" customWidth="1"/>
    <col min="7440" max="7444" width="0" style="448" hidden="1" customWidth="1"/>
    <col min="7445" max="7680" width="9.140625" style="448"/>
    <col min="7681" max="7681" width="0" style="448" hidden="1" customWidth="1"/>
    <col min="7682" max="7682" width="5.7109375" style="448" customWidth="1"/>
    <col min="7683" max="7683" width="93.140625" style="448" customWidth="1"/>
    <col min="7684" max="7684" width="21.7109375" style="448" customWidth="1"/>
    <col min="7685" max="7688" width="0" style="448" hidden="1" customWidth="1"/>
    <col min="7689" max="7689" width="20" style="448" customWidth="1"/>
    <col min="7690" max="7690" width="12" style="448" customWidth="1"/>
    <col min="7691" max="7691" width="21.140625" style="448" bestFit="1" customWidth="1"/>
    <col min="7692" max="7692" width="0" style="448" hidden="1" customWidth="1"/>
    <col min="7693" max="7693" width="21.28515625" style="448" customWidth="1"/>
    <col min="7694" max="7694" width="0" style="448" hidden="1" customWidth="1"/>
    <col min="7695" max="7695" width="1.7109375" style="448" customWidth="1"/>
    <col min="7696" max="7700" width="0" style="448" hidden="1" customWidth="1"/>
    <col min="7701" max="7936" width="9.140625" style="448"/>
    <col min="7937" max="7937" width="0" style="448" hidden="1" customWidth="1"/>
    <col min="7938" max="7938" width="5.7109375" style="448" customWidth="1"/>
    <col min="7939" max="7939" width="93.140625" style="448" customWidth="1"/>
    <col min="7940" max="7940" width="21.7109375" style="448" customWidth="1"/>
    <col min="7941" max="7944" width="0" style="448" hidden="1" customWidth="1"/>
    <col min="7945" max="7945" width="20" style="448" customWidth="1"/>
    <col min="7946" max="7946" width="12" style="448" customWidth="1"/>
    <col min="7947" max="7947" width="21.140625" style="448" bestFit="1" customWidth="1"/>
    <col min="7948" max="7948" width="0" style="448" hidden="1" customWidth="1"/>
    <col min="7949" max="7949" width="21.28515625" style="448" customWidth="1"/>
    <col min="7950" max="7950" width="0" style="448" hidden="1" customWidth="1"/>
    <col min="7951" max="7951" width="1.7109375" style="448" customWidth="1"/>
    <col min="7952" max="7956" width="0" style="448" hidden="1" customWidth="1"/>
    <col min="7957" max="8192" width="9.140625" style="448"/>
    <col min="8193" max="8193" width="0" style="448" hidden="1" customWidth="1"/>
    <col min="8194" max="8194" width="5.7109375" style="448" customWidth="1"/>
    <col min="8195" max="8195" width="93.140625" style="448" customWidth="1"/>
    <col min="8196" max="8196" width="21.7109375" style="448" customWidth="1"/>
    <col min="8197" max="8200" width="0" style="448" hidden="1" customWidth="1"/>
    <col min="8201" max="8201" width="20" style="448" customWidth="1"/>
    <col min="8202" max="8202" width="12" style="448" customWidth="1"/>
    <col min="8203" max="8203" width="21.140625" style="448" bestFit="1" customWidth="1"/>
    <col min="8204" max="8204" width="0" style="448" hidden="1" customWidth="1"/>
    <col min="8205" max="8205" width="21.28515625" style="448" customWidth="1"/>
    <col min="8206" max="8206" width="0" style="448" hidden="1" customWidth="1"/>
    <col min="8207" max="8207" width="1.7109375" style="448" customWidth="1"/>
    <col min="8208" max="8212" width="0" style="448" hidden="1" customWidth="1"/>
    <col min="8213" max="8448" width="9.140625" style="448"/>
    <col min="8449" max="8449" width="0" style="448" hidden="1" customWidth="1"/>
    <col min="8450" max="8450" width="5.7109375" style="448" customWidth="1"/>
    <col min="8451" max="8451" width="93.140625" style="448" customWidth="1"/>
    <col min="8452" max="8452" width="21.7109375" style="448" customWidth="1"/>
    <col min="8453" max="8456" width="0" style="448" hidden="1" customWidth="1"/>
    <col min="8457" max="8457" width="20" style="448" customWidth="1"/>
    <col min="8458" max="8458" width="12" style="448" customWidth="1"/>
    <col min="8459" max="8459" width="21.140625" style="448" bestFit="1" customWidth="1"/>
    <col min="8460" max="8460" width="0" style="448" hidden="1" customWidth="1"/>
    <col min="8461" max="8461" width="21.28515625" style="448" customWidth="1"/>
    <col min="8462" max="8462" width="0" style="448" hidden="1" customWidth="1"/>
    <col min="8463" max="8463" width="1.7109375" style="448" customWidth="1"/>
    <col min="8464" max="8468" width="0" style="448" hidden="1" customWidth="1"/>
    <col min="8469" max="8704" width="9.140625" style="448"/>
    <col min="8705" max="8705" width="0" style="448" hidden="1" customWidth="1"/>
    <col min="8706" max="8706" width="5.7109375" style="448" customWidth="1"/>
    <col min="8707" max="8707" width="93.140625" style="448" customWidth="1"/>
    <col min="8708" max="8708" width="21.7109375" style="448" customWidth="1"/>
    <col min="8709" max="8712" width="0" style="448" hidden="1" customWidth="1"/>
    <col min="8713" max="8713" width="20" style="448" customWidth="1"/>
    <col min="8714" max="8714" width="12" style="448" customWidth="1"/>
    <col min="8715" max="8715" width="21.140625" style="448" bestFit="1" customWidth="1"/>
    <col min="8716" max="8716" width="0" style="448" hidden="1" customWidth="1"/>
    <col min="8717" max="8717" width="21.28515625" style="448" customWidth="1"/>
    <col min="8718" max="8718" width="0" style="448" hidden="1" customWidth="1"/>
    <col min="8719" max="8719" width="1.7109375" style="448" customWidth="1"/>
    <col min="8720" max="8724" width="0" style="448" hidden="1" customWidth="1"/>
    <col min="8725" max="8960" width="9.140625" style="448"/>
    <col min="8961" max="8961" width="0" style="448" hidden="1" customWidth="1"/>
    <col min="8962" max="8962" width="5.7109375" style="448" customWidth="1"/>
    <col min="8963" max="8963" width="93.140625" style="448" customWidth="1"/>
    <col min="8964" max="8964" width="21.7109375" style="448" customWidth="1"/>
    <col min="8965" max="8968" width="0" style="448" hidden="1" customWidth="1"/>
    <col min="8969" max="8969" width="20" style="448" customWidth="1"/>
    <col min="8970" max="8970" width="12" style="448" customWidth="1"/>
    <col min="8971" max="8971" width="21.140625" style="448" bestFit="1" customWidth="1"/>
    <col min="8972" max="8972" width="0" style="448" hidden="1" customWidth="1"/>
    <col min="8973" max="8973" width="21.28515625" style="448" customWidth="1"/>
    <col min="8974" max="8974" width="0" style="448" hidden="1" customWidth="1"/>
    <col min="8975" max="8975" width="1.7109375" style="448" customWidth="1"/>
    <col min="8976" max="8980" width="0" style="448" hidden="1" customWidth="1"/>
    <col min="8981" max="9216" width="9.140625" style="448"/>
    <col min="9217" max="9217" width="0" style="448" hidden="1" customWidth="1"/>
    <col min="9218" max="9218" width="5.7109375" style="448" customWidth="1"/>
    <col min="9219" max="9219" width="93.140625" style="448" customWidth="1"/>
    <col min="9220" max="9220" width="21.7109375" style="448" customWidth="1"/>
    <col min="9221" max="9224" width="0" style="448" hidden="1" customWidth="1"/>
    <col min="9225" max="9225" width="20" style="448" customWidth="1"/>
    <col min="9226" max="9226" width="12" style="448" customWidth="1"/>
    <col min="9227" max="9227" width="21.140625" style="448" bestFit="1" customWidth="1"/>
    <col min="9228" max="9228" width="0" style="448" hidden="1" customWidth="1"/>
    <col min="9229" max="9229" width="21.28515625" style="448" customWidth="1"/>
    <col min="9230" max="9230" width="0" style="448" hidden="1" customWidth="1"/>
    <col min="9231" max="9231" width="1.7109375" style="448" customWidth="1"/>
    <col min="9232" max="9236" width="0" style="448" hidden="1" customWidth="1"/>
    <col min="9237" max="9472" width="9.140625" style="448"/>
    <col min="9473" max="9473" width="0" style="448" hidden="1" customWidth="1"/>
    <col min="9474" max="9474" width="5.7109375" style="448" customWidth="1"/>
    <col min="9475" max="9475" width="93.140625" style="448" customWidth="1"/>
    <col min="9476" max="9476" width="21.7109375" style="448" customWidth="1"/>
    <col min="9477" max="9480" width="0" style="448" hidden="1" customWidth="1"/>
    <col min="9481" max="9481" width="20" style="448" customWidth="1"/>
    <col min="9482" max="9482" width="12" style="448" customWidth="1"/>
    <col min="9483" max="9483" width="21.140625" style="448" bestFit="1" customWidth="1"/>
    <col min="9484" max="9484" width="0" style="448" hidden="1" customWidth="1"/>
    <col min="9485" max="9485" width="21.28515625" style="448" customWidth="1"/>
    <col min="9486" max="9486" width="0" style="448" hidden="1" customWidth="1"/>
    <col min="9487" max="9487" width="1.7109375" style="448" customWidth="1"/>
    <col min="9488" max="9492" width="0" style="448" hidden="1" customWidth="1"/>
    <col min="9493" max="9728" width="9.140625" style="448"/>
    <col min="9729" max="9729" width="0" style="448" hidden="1" customWidth="1"/>
    <col min="9730" max="9730" width="5.7109375" style="448" customWidth="1"/>
    <col min="9731" max="9731" width="93.140625" style="448" customWidth="1"/>
    <col min="9732" max="9732" width="21.7109375" style="448" customWidth="1"/>
    <col min="9733" max="9736" width="0" style="448" hidden="1" customWidth="1"/>
    <col min="9737" max="9737" width="20" style="448" customWidth="1"/>
    <col min="9738" max="9738" width="12" style="448" customWidth="1"/>
    <col min="9739" max="9739" width="21.140625" style="448" bestFit="1" customWidth="1"/>
    <col min="9740" max="9740" width="0" style="448" hidden="1" customWidth="1"/>
    <col min="9741" max="9741" width="21.28515625" style="448" customWidth="1"/>
    <col min="9742" max="9742" width="0" style="448" hidden="1" customWidth="1"/>
    <col min="9743" max="9743" width="1.7109375" style="448" customWidth="1"/>
    <col min="9744" max="9748" width="0" style="448" hidden="1" customWidth="1"/>
    <col min="9749" max="9984" width="9.140625" style="448"/>
    <col min="9985" max="9985" width="0" style="448" hidden="1" customWidth="1"/>
    <col min="9986" max="9986" width="5.7109375" style="448" customWidth="1"/>
    <col min="9987" max="9987" width="93.140625" style="448" customWidth="1"/>
    <col min="9988" max="9988" width="21.7109375" style="448" customWidth="1"/>
    <col min="9989" max="9992" width="0" style="448" hidden="1" customWidth="1"/>
    <col min="9993" max="9993" width="20" style="448" customWidth="1"/>
    <col min="9994" max="9994" width="12" style="448" customWidth="1"/>
    <col min="9995" max="9995" width="21.140625" style="448" bestFit="1" customWidth="1"/>
    <col min="9996" max="9996" width="0" style="448" hidden="1" customWidth="1"/>
    <col min="9997" max="9997" width="21.28515625" style="448" customWidth="1"/>
    <col min="9998" max="9998" width="0" style="448" hidden="1" customWidth="1"/>
    <col min="9999" max="9999" width="1.7109375" style="448" customWidth="1"/>
    <col min="10000" max="10004" width="0" style="448" hidden="1" customWidth="1"/>
    <col min="10005" max="10240" width="9.140625" style="448"/>
    <col min="10241" max="10241" width="0" style="448" hidden="1" customWidth="1"/>
    <col min="10242" max="10242" width="5.7109375" style="448" customWidth="1"/>
    <col min="10243" max="10243" width="93.140625" style="448" customWidth="1"/>
    <col min="10244" max="10244" width="21.7109375" style="448" customWidth="1"/>
    <col min="10245" max="10248" width="0" style="448" hidden="1" customWidth="1"/>
    <col min="10249" max="10249" width="20" style="448" customWidth="1"/>
    <col min="10250" max="10250" width="12" style="448" customWidth="1"/>
    <col min="10251" max="10251" width="21.140625" style="448" bestFit="1" customWidth="1"/>
    <col min="10252" max="10252" width="0" style="448" hidden="1" customWidth="1"/>
    <col min="10253" max="10253" width="21.28515625" style="448" customWidth="1"/>
    <col min="10254" max="10254" width="0" style="448" hidden="1" customWidth="1"/>
    <col min="10255" max="10255" width="1.7109375" style="448" customWidth="1"/>
    <col min="10256" max="10260" width="0" style="448" hidden="1" customWidth="1"/>
    <col min="10261" max="10496" width="9.140625" style="448"/>
    <col min="10497" max="10497" width="0" style="448" hidden="1" customWidth="1"/>
    <col min="10498" max="10498" width="5.7109375" style="448" customWidth="1"/>
    <col min="10499" max="10499" width="93.140625" style="448" customWidth="1"/>
    <col min="10500" max="10500" width="21.7109375" style="448" customWidth="1"/>
    <col min="10501" max="10504" width="0" style="448" hidden="1" customWidth="1"/>
    <col min="10505" max="10505" width="20" style="448" customWidth="1"/>
    <col min="10506" max="10506" width="12" style="448" customWidth="1"/>
    <col min="10507" max="10507" width="21.140625" style="448" bestFit="1" customWidth="1"/>
    <col min="10508" max="10508" width="0" style="448" hidden="1" customWidth="1"/>
    <col min="10509" max="10509" width="21.28515625" style="448" customWidth="1"/>
    <col min="10510" max="10510" width="0" style="448" hidden="1" customWidth="1"/>
    <col min="10511" max="10511" width="1.7109375" style="448" customWidth="1"/>
    <col min="10512" max="10516" width="0" style="448" hidden="1" customWidth="1"/>
    <col min="10517" max="10752" width="9.140625" style="448"/>
    <col min="10753" max="10753" width="0" style="448" hidden="1" customWidth="1"/>
    <col min="10754" max="10754" width="5.7109375" style="448" customWidth="1"/>
    <col min="10755" max="10755" width="93.140625" style="448" customWidth="1"/>
    <col min="10756" max="10756" width="21.7109375" style="448" customWidth="1"/>
    <col min="10757" max="10760" width="0" style="448" hidden="1" customWidth="1"/>
    <col min="10761" max="10761" width="20" style="448" customWidth="1"/>
    <col min="10762" max="10762" width="12" style="448" customWidth="1"/>
    <col min="10763" max="10763" width="21.140625" style="448" bestFit="1" customWidth="1"/>
    <col min="10764" max="10764" width="0" style="448" hidden="1" customWidth="1"/>
    <col min="10765" max="10765" width="21.28515625" style="448" customWidth="1"/>
    <col min="10766" max="10766" width="0" style="448" hidden="1" customWidth="1"/>
    <col min="10767" max="10767" width="1.7109375" style="448" customWidth="1"/>
    <col min="10768" max="10772" width="0" style="448" hidden="1" customWidth="1"/>
    <col min="10773" max="11008" width="9.140625" style="448"/>
    <col min="11009" max="11009" width="0" style="448" hidden="1" customWidth="1"/>
    <col min="11010" max="11010" width="5.7109375" style="448" customWidth="1"/>
    <col min="11011" max="11011" width="93.140625" style="448" customWidth="1"/>
    <col min="11012" max="11012" width="21.7109375" style="448" customWidth="1"/>
    <col min="11013" max="11016" width="0" style="448" hidden="1" customWidth="1"/>
    <col min="11017" max="11017" width="20" style="448" customWidth="1"/>
    <col min="11018" max="11018" width="12" style="448" customWidth="1"/>
    <col min="11019" max="11019" width="21.140625" style="448" bestFit="1" customWidth="1"/>
    <col min="11020" max="11020" width="0" style="448" hidden="1" customWidth="1"/>
    <col min="11021" max="11021" width="21.28515625" style="448" customWidth="1"/>
    <col min="11022" max="11022" width="0" style="448" hidden="1" customWidth="1"/>
    <col min="11023" max="11023" width="1.7109375" style="448" customWidth="1"/>
    <col min="11024" max="11028" width="0" style="448" hidden="1" customWidth="1"/>
    <col min="11029" max="11264" width="9.140625" style="448"/>
    <col min="11265" max="11265" width="0" style="448" hidden="1" customWidth="1"/>
    <col min="11266" max="11266" width="5.7109375" style="448" customWidth="1"/>
    <col min="11267" max="11267" width="93.140625" style="448" customWidth="1"/>
    <col min="11268" max="11268" width="21.7109375" style="448" customWidth="1"/>
    <col min="11269" max="11272" width="0" style="448" hidden="1" customWidth="1"/>
    <col min="11273" max="11273" width="20" style="448" customWidth="1"/>
    <col min="11274" max="11274" width="12" style="448" customWidth="1"/>
    <col min="11275" max="11275" width="21.140625" style="448" bestFit="1" customWidth="1"/>
    <col min="11276" max="11276" width="0" style="448" hidden="1" customWidth="1"/>
    <col min="11277" max="11277" width="21.28515625" style="448" customWidth="1"/>
    <col min="11278" max="11278" width="0" style="448" hidden="1" customWidth="1"/>
    <col min="11279" max="11279" width="1.7109375" style="448" customWidth="1"/>
    <col min="11280" max="11284" width="0" style="448" hidden="1" customWidth="1"/>
    <col min="11285" max="11520" width="9.140625" style="448"/>
    <col min="11521" max="11521" width="0" style="448" hidden="1" customWidth="1"/>
    <col min="11522" max="11522" width="5.7109375" style="448" customWidth="1"/>
    <col min="11523" max="11523" width="93.140625" style="448" customWidth="1"/>
    <col min="11524" max="11524" width="21.7109375" style="448" customWidth="1"/>
    <col min="11525" max="11528" width="0" style="448" hidden="1" customWidth="1"/>
    <col min="11529" max="11529" width="20" style="448" customWidth="1"/>
    <col min="11530" max="11530" width="12" style="448" customWidth="1"/>
    <col min="11531" max="11531" width="21.140625" style="448" bestFit="1" customWidth="1"/>
    <col min="11532" max="11532" width="0" style="448" hidden="1" customWidth="1"/>
    <col min="11533" max="11533" width="21.28515625" style="448" customWidth="1"/>
    <col min="11534" max="11534" width="0" style="448" hidden="1" customWidth="1"/>
    <col min="11535" max="11535" width="1.7109375" style="448" customWidth="1"/>
    <col min="11536" max="11540" width="0" style="448" hidden="1" customWidth="1"/>
    <col min="11541" max="11776" width="9.140625" style="448"/>
    <col min="11777" max="11777" width="0" style="448" hidden="1" customWidth="1"/>
    <col min="11778" max="11778" width="5.7109375" style="448" customWidth="1"/>
    <col min="11779" max="11779" width="93.140625" style="448" customWidth="1"/>
    <col min="11780" max="11780" width="21.7109375" style="448" customWidth="1"/>
    <col min="11781" max="11784" width="0" style="448" hidden="1" customWidth="1"/>
    <col min="11785" max="11785" width="20" style="448" customWidth="1"/>
    <col min="11786" max="11786" width="12" style="448" customWidth="1"/>
    <col min="11787" max="11787" width="21.140625" style="448" bestFit="1" customWidth="1"/>
    <col min="11788" max="11788" width="0" style="448" hidden="1" customWidth="1"/>
    <col min="11789" max="11789" width="21.28515625" style="448" customWidth="1"/>
    <col min="11790" max="11790" width="0" style="448" hidden="1" customWidth="1"/>
    <col min="11791" max="11791" width="1.7109375" style="448" customWidth="1"/>
    <col min="11792" max="11796" width="0" style="448" hidden="1" customWidth="1"/>
    <col min="11797" max="12032" width="9.140625" style="448"/>
    <col min="12033" max="12033" width="0" style="448" hidden="1" customWidth="1"/>
    <col min="12034" max="12034" width="5.7109375" style="448" customWidth="1"/>
    <col min="12035" max="12035" width="93.140625" style="448" customWidth="1"/>
    <col min="12036" max="12036" width="21.7109375" style="448" customWidth="1"/>
    <col min="12037" max="12040" width="0" style="448" hidden="1" customWidth="1"/>
    <col min="12041" max="12041" width="20" style="448" customWidth="1"/>
    <col min="12042" max="12042" width="12" style="448" customWidth="1"/>
    <col min="12043" max="12043" width="21.140625" style="448" bestFit="1" customWidth="1"/>
    <col min="12044" max="12044" width="0" style="448" hidden="1" customWidth="1"/>
    <col min="12045" max="12045" width="21.28515625" style="448" customWidth="1"/>
    <col min="12046" max="12046" width="0" style="448" hidden="1" customWidth="1"/>
    <col min="12047" max="12047" width="1.7109375" style="448" customWidth="1"/>
    <col min="12048" max="12052" width="0" style="448" hidden="1" customWidth="1"/>
    <col min="12053" max="12288" width="9.140625" style="448"/>
    <col min="12289" max="12289" width="0" style="448" hidden="1" customWidth="1"/>
    <col min="12290" max="12290" width="5.7109375" style="448" customWidth="1"/>
    <col min="12291" max="12291" width="93.140625" style="448" customWidth="1"/>
    <col min="12292" max="12292" width="21.7109375" style="448" customWidth="1"/>
    <col min="12293" max="12296" width="0" style="448" hidden="1" customWidth="1"/>
    <col min="12297" max="12297" width="20" style="448" customWidth="1"/>
    <col min="12298" max="12298" width="12" style="448" customWidth="1"/>
    <col min="12299" max="12299" width="21.140625" style="448" bestFit="1" customWidth="1"/>
    <col min="12300" max="12300" width="0" style="448" hidden="1" customWidth="1"/>
    <col min="12301" max="12301" width="21.28515625" style="448" customWidth="1"/>
    <col min="12302" max="12302" width="0" style="448" hidden="1" customWidth="1"/>
    <col min="12303" max="12303" width="1.7109375" style="448" customWidth="1"/>
    <col min="12304" max="12308" width="0" style="448" hidden="1" customWidth="1"/>
    <col min="12309" max="12544" width="9.140625" style="448"/>
    <col min="12545" max="12545" width="0" style="448" hidden="1" customWidth="1"/>
    <col min="12546" max="12546" width="5.7109375" style="448" customWidth="1"/>
    <col min="12547" max="12547" width="93.140625" style="448" customWidth="1"/>
    <col min="12548" max="12548" width="21.7109375" style="448" customWidth="1"/>
    <col min="12549" max="12552" width="0" style="448" hidden="1" customWidth="1"/>
    <col min="12553" max="12553" width="20" style="448" customWidth="1"/>
    <col min="12554" max="12554" width="12" style="448" customWidth="1"/>
    <col min="12555" max="12555" width="21.140625" style="448" bestFit="1" customWidth="1"/>
    <col min="12556" max="12556" width="0" style="448" hidden="1" customWidth="1"/>
    <col min="12557" max="12557" width="21.28515625" style="448" customWidth="1"/>
    <col min="12558" max="12558" width="0" style="448" hidden="1" customWidth="1"/>
    <col min="12559" max="12559" width="1.7109375" style="448" customWidth="1"/>
    <col min="12560" max="12564" width="0" style="448" hidden="1" customWidth="1"/>
    <col min="12565" max="12800" width="9.140625" style="448"/>
    <col min="12801" max="12801" width="0" style="448" hidden="1" customWidth="1"/>
    <col min="12802" max="12802" width="5.7109375" style="448" customWidth="1"/>
    <col min="12803" max="12803" width="93.140625" style="448" customWidth="1"/>
    <col min="12804" max="12804" width="21.7109375" style="448" customWidth="1"/>
    <col min="12805" max="12808" width="0" style="448" hidden="1" customWidth="1"/>
    <col min="12809" max="12809" width="20" style="448" customWidth="1"/>
    <col min="12810" max="12810" width="12" style="448" customWidth="1"/>
    <col min="12811" max="12811" width="21.140625" style="448" bestFit="1" customWidth="1"/>
    <col min="12812" max="12812" width="0" style="448" hidden="1" customWidth="1"/>
    <col min="12813" max="12813" width="21.28515625" style="448" customWidth="1"/>
    <col min="12814" max="12814" width="0" style="448" hidden="1" customWidth="1"/>
    <col min="12815" max="12815" width="1.7109375" style="448" customWidth="1"/>
    <col min="12816" max="12820" width="0" style="448" hidden="1" customWidth="1"/>
    <col min="12821" max="13056" width="9.140625" style="448"/>
    <col min="13057" max="13057" width="0" style="448" hidden="1" customWidth="1"/>
    <col min="13058" max="13058" width="5.7109375" style="448" customWidth="1"/>
    <col min="13059" max="13059" width="93.140625" style="448" customWidth="1"/>
    <col min="13060" max="13060" width="21.7109375" style="448" customWidth="1"/>
    <col min="13061" max="13064" width="0" style="448" hidden="1" customWidth="1"/>
    <col min="13065" max="13065" width="20" style="448" customWidth="1"/>
    <col min="13066" max="13066" width="12" style="448" customWidth="1"/>
    <col min="13067" max="13067" width="21.140625" style="448" bestFit="1" customWidth="1"/>
    <col min="13068" max="13068" width="0" style="448" hidden="1" customWidth="1"/>
    <col min="13069" max="13069" width="21.28515625" style="448" customWidth="1"/>
    <col min="13070" max="13070" width="0" style="448" hidden="1" customWidth="1"/>
    <col min="13071" max="13071" width="1.7109375" style="448" customWidth="1"/>
    <col min="13072" max="13076" width="0" style="448" hidden="1" customWidth="1"/>
    <col min="13077" max="13312" width="9.140625" style="448"/>
    <col min="13313" max="13313" width="0" style="448" hidden="1" customWidth="1"/>
    <col min="13314" max="13314" width="5.7109375" style="448" customWidth="1"/>
    <col min="13315" max="13315" width="93.140625" style="448" customWidth="1"/>
    <col min="13316" max="13316" width="21.7109375" style="448" customWidth="1"/>
    <col min="13317" max="13320" width="0" style="448" hidden="1" customWidth="1"/>
    <col min="13321" max="13321" width="20" style="448" customWidth="1"/>
    <col min="13322" max="13322" width="12" style="448" customWidth="1"/>
    <col min="13323" max="13323" width="21.140625" style="448" bestFit="1" customWidth="1"/>
    <col min="13324" max="13324" width="0" style="448" hidden="1" customWidth="1"/>
    <col min="13325" max="13325" width="21.28515625" style="448" customWidth="1"/>
    <col min="13326" max="13326" width="0" style="448" hidden="1" customWidth="1"/>
    <col min="13327" max="13327" width="1.7109375" style="448" customWidth="1"/>
    <col min="13328" max="13332" width="0" style="448" hidden="1" customWidth="1"/>
    <col min="13333" max="13568" width="9.140625" style="448"/>
    <col min="13569" max="13569" width="0" style="448" hidden="1" customWidth="1"/>
    <col min="13570" max="13570" width="5.7109375" style="448" customWidth="1"/>
    <col min="13571" max="13571" width="93.140625" style="448" customWidth="1"/>
    <col min="13572" max="13572" width="21.7109375" style="448" customWidth="1"/>
    <col min="13573" max="13576" width="0" style="448" hidden="1" customWidth="1"/>
    <col min="13577" max="13577" width="20" style="448" customWidth="1"/>
    <col min="13578" max="13578" width="12" style="448" customWidth="1"/>
    <col min="13579" max="13579" width="21.140625" style="448" bestFit="1" customWidth="1"/>
    <col min="13580" max="13580" width="0" style="448" hidden="1" customWidth="1"/>
    <col min="13581" max="13581" width="21.28515625" style="448" customWidth="1"/>
    <col min="13582" max="13582" width="0" style="448" hidden="1" customWidth="1"/>
    <col min="13583" max="13583" width="1.7109375" style="448" customWidth="1"/>
    <col min="13584" max="13588" width="0" style="448" hidden="1" customWidth="1"/>
    <col min="13589" max="13824" width="9.140625" style="448"/>
    <col min="13825" max="13825" width="0" style="448" hidden="1" customWidth="1"/>
    <col min="13826" max="13826" width="5.7109375" style="448" customWidth="1"/>
    <col min="13827" max="13827" width="93.140625" style="448" customWidth="1"/>
    <col min="13828" max="13828" width="21.7109375" style="448" customWidth="1"/>
    <col min="13829" max="13832" width="0" style="448" hidden="1" customWidth="1"/>
    <col min="13833" max="13833" width="20" style="448" customWidth="1"/>
    <col min="13834" max="13834" width="12" style="448" customWidth="1"/>
    <col min="13835" max="13835" width="21.140625" style="448" bestFit="1" customWidth="1"/>
    <col min="13836" max="13836" width="0" style="448" hidden="1" customWidth="1"/>
    <col min="13837" max="13837" width="21.28515625" style="448" customWidth="1"/>
    <col min="13838" max="13838" width="0" style="448" hidden="1" customWidth="1"/>
    <col min="13839" max="13839" width="1.7109375" style="448" customWidth="1"/>
    <col min="13840" max="13844" width="0" style="448" hidden="1" customWidth="1"/>
    <col min="13845" max="14080" width="9.140625" style="448"/>
    <col min="14081" max="14081" width="0" style="448" hidden="1" customWidth="1"/>
    <col min="14082" max="14082" width="5.7109375" style="448" customWidth="1"/>
    <col min="14083" max="14083" width="93.140625" style="448" customWidth="1"/>
    <col min="14084" max="14084" width="21.7109375" style="448" customWidth="1"/>
    <col min="14085" max="14088" width="0" style="448" hidden="1" customWidth="1"/>
    <col min="14089" max="14089" width="20" style="448" customWidth="1"/>
    <col min="14090" max="14090" width="12" style="448" customWidth="1"/>
    <col min="14091" max="14091" width="21.140625" style="448" bestFit="1" customWidth="1"/>
    <col min="14092" max="14092" width="0" style="448" hidden="1" customWidth="1"/>
    <col min="14093" max="14093" width="21.28515625" style="448" customWidth="1"/>
    <col min="14094" max="14094" width="0" style="448" hidden="1" customWidth="1"/>
    <col min="14095" max="14095" width="1.7109375" style="448" customWidth="1"/>
    <col min="14096" max="14100" width="0" style="448" hidden="1" customWidth="1"/>
    <col min="14101" max="14336" width="9.140625" style="448"/>
    <col min="14337" max="14337" width="0" style="448" hidden="1" customWidth="1"/>
    <col min="14338" max="14338" width="5.7109375" style="448" customWidth="1"/>
    <col min="14339" max="14339" width="93.140625" style="448" customWidth="1"/>
    <col min="14340" max="14340" width="21.7109375" style="448" customWidth="1"/>
    <col min="14341" max="14344" width="0" style="448" hidden="1" customWidth="1"/>
    <col min="14345" max="14345" width="20" style="448" customWidth="1"/>
    <col min="14346" max="14346" width="12" style="448" customWidth="1"/>
    <col min="14347" max="14347" width="21.140625" style="448" bestFit="1" customWidth="1"/>
    <col min="14348" max="14348" width="0" style="448" hidden="1" customWidth="1"/>
    <col min="14349" max="14349" width="21.28515625" style="448" customWidth="1"/>
    <col min="14350" max="14350" width="0" style="448" hidden="1" customWidth="1"/>
    <col min="14351" max="14351" width="1.7109375" style="448" customWidth="1"/>
    <col min="14352" max="14356" width="0" style="448" hidden="1" customWidth="1"/>
    <col min="14357" max="14592" width="9.140625" style="448"/>
    <col min="14593" max="14593" width="0" style="448" hidden="1" customWidth="1"/>
    <col min="14594" max="14594" width="5.7109375" style="448" customWidth="1"/>
    <col min="14595" max="14595" width="93.140625" style="448" customWidth="1"/>
    <col min="14596" max="14596" width="21.7109375" style="448" customWidth="1"/>
    <col min="14597" max="14600" width="0" style="448" hidden="1" customWidth="1"/>
    <col min="14601" max="14601" width="20" style="448" customWidth="1"/>
    <col min="14602" max="14602" width="12" style="448" customWidth="1"/>
    <col min="14603" max="14603" width="21.140625" style="448" bestFit="1" customWidth="1"/>
    <col min="14604" max="14604" width="0" style="448" hidden="1" customWidth="1"/>
    <col min="14605" max="14605" width="21.28515625" style="448" customWidth="1"/>
    <col min="14606" max="14606" width="0" style="448" hidden="1" customWidth="1"/>
    <col min="14607" max="14607" width="1.7109375" style="448" customWidth="1"/>
    <col min="14608" max="14612" width="0" style="448" hidden="1" customWidth="1"/>
    <col min="14613" max="14848" width="9.140625" style="448"/>
    <col min="14849" max="14849" width="0" style="448" hidden="1" customWidth="1"/>
    <col min="14850" max="14850" width="5.7109375" style="448" customWidth="1"/>
    <col min="14851" max="14851" width="93.140625" style="448" customWidth="1"/>
    <col min="14852" max="14852" width="21.7109375" style="448" customWidth="1"/>
    <col min="14853" max="14856" width="0" style="448" hidden="1" customWidth="1"/>
    <col min="14857" max="14857" width="20" style="448" customWidth="1"/>
    <col min="14858" max="14858" width="12" style="448" customWidth="1"/>
    <col min="14859" max="14859" width="21.140625" style="448" bestFit="1" customWidth="1"/>
    <col min="14860" max="14860" width="0" style="448" hidden="1" customWidth="1"/>
    <col min="14861" max="14861" width="21.28515625" style="448" customWidth="1"/>
    <col min="14862" max="14862" width="0" style="448" hidden="1" customWidth="1"/>
    <col min="14863" max="14863" width="1.7109375" style="448" customWidth="1"/>
    <col min="14864" max="14868" width="0" style="448" hidden="1" customWidth="1"/>
    <col min="14869" max="15104" width="9.140625" style="448"/>
    <col min="15105" max="15105" width="0" style="448" hidden="1" customWidth="1"/>
    <col min="15106" max="15106" width="5.7109375" style="448" customWidth="1"/>
    <col min="15107" max="15107" width="93.140625" style="448" customWidth="1"/>
    <col min="15108" max="15108" width="21.7109375" style="448" customWidth="1"/>
    <col min="15109" max="15112" width="0" style="448" hidden="1" customWidth="1"/>
    <col min="15113" max="15113" width="20" style="448" customWidth="1"/>
    <col min="15114" max="15114" width="12" style="448" customWidth="1"/>
    <col min="15115" max="15115" width="21.140625" style="448" bestFit="1" customWidth="1"/>
    <col min="15116" max="15116" width="0" style="448" hidden="1" customWidth="1"/>
    <col min="15117" max="15117" width="21.28515625" style="448" customWidth="1"/>
    <col min="15118" max="15118" width="0" style="448" hidden="1" customWidth="1"/>
    <col min="15119" max="15119" width="1.7109375" style="448" customWidth="1"/>
    <col min="15120" max="15124" width="0" style="448" hidden="1" customWidth="1"/>
    <col min="15125" max="15360" width="9.140625" style="448"/>
    <col min="15361" max="15361" width="0" style="448" hidden="1" customWidth="1"/>
    <col min="15362" max="15362" width="5.7109375" style="448" customWidth="1"/>
    <col min="15363" max="15363" width="93.140625" style="448" customWidth="1"/>
    <col min="15364" max="15364" width="21.7109375" style="448" customWidth="1"/>
    <col min="15365" max="15368" width="0" style="448" hidden="1" customWidth="1"/>
    <col min="15369" max="15369" width="20" style="448" customWidth="1"/>
    <col min="15370" max="15370" width="12" style="448" customWidth="1"/>
    <col min="15371" max="15371" width="21.140625" style="448" bestFit="1" customWidth="1"/>
    <col min="15372" max="15372" width="0" style="448" hidden="1" customWidth="1"/>
    <col min="15373" max="15373" width="21.28515625" style="448" customWidth="1"/>
    <col min="15374" max="15374" width="0" style="448" hidden="1" customWidth="1"/>
    <col min="15375" max="15375" width="1.7109375" style="448" customWidth="1"/>
    <col min="15376" max="15380" width="0" style="448" hidden="1" customWidth="1"/>
    <col min="15381" max="15616" width="9.140625" style="448"/>
    <col min="15617" max="15617" width="0" style="448" hidden="1" customWidth="1"/>
    <col min="15618" max="15618" width="5.7109375" style="448" customWidth="1"/>
    <col min="15619" max="15619" width="93.140625" style="448" customWidth="1"/>
    <col min="15620" max="15620" width="21.7109375" style="448" customWidth="1"/>
    <col min="15621" max="15624" width="0" style="448" hidden="1" customWidth="1"/>
    <col min="15625" max="15625" width="20" style="448" customWidth="1"/>
    <col min="15626" max="15626" width="12" style="448" customWidth="1"/>
    <col min="15627" max="15627" width="21.140625" style="448" bestFit="1" customWidth="1"/>
    <col min="15628" max="15628" width="0" style="448" hidden="1" customWidth="1"/>
    <col min="15629" max="15629" width="21.28515625" style="448" customWidth="1"/>
    <col min="15630" max="15630" width="0" style="448" hidden="1" customWidth="1"/>
    <col min="15631" max="15631" width="1.7109375" style="448" customWidth="1"/>
    <col min="15632" max="15636" width="0" style="448" hidden="1" customWidth="1"/>
    <col min="15637" max="15872" width="9.140625" style="448"/>
    <col min="15873" max="15873" width="0" style="448" hidden="1" customWidth="1"/>
    <col min="15874" max="15874" width="5.7109375" style="448" customWidth="1"/>
    <col min="15875" max="15875" width="93.140625" style="448" customWidth="1"/>
    <col min="15876" max="15876" width="21.7109375" style="448" customWidth="1"/>
    <col min="15877" max="15880" width="0" style="448" hidden="1" customWidth="1"/>
    <col min="15881" max="15881" width="20" style="448" customWidth="1"/>
    <col min="15882" max="15882" width="12" style="448" customWidth="1"/>
    <col min="15883" max="15883" width="21.140625" style="448" bestFit="1" customWidth="1"/>
    <col min="15884" max="15884" width="0" style="448" hidden="1" customWidth="1"/>
    <col min="15885" max="15885" width="21.28515625" style="448" customWidth="1"/>
    <col min="15886" max="15886" width="0" style="448" hidden="1" customWidth="1"/>
    <col min="15887" max="15887" width="1.7109375" style="448" customWidth="1"/>
    <col min="15888" max="15892" width="0" style="448" hidden="1" customWidth="1"/>
    <col min="15893" max="16128" width="9.140625" style="448"/>
    <col min="16129" max="16129" width="0" style="448" hidden="1" customWidth="1"/>
    <col min="16130" max="16130" width="5.7109375" style="448" customWidth="1"/>
    <col min="16131" max="16131" width="93.140625" style="448" customWidth="1"/>
    <col min="16132" max="16132" width="21.7109375" style="448" customWidth="1"/>
    <col min="16133" max="16136" width="0" style="448" hidden="1" customWidth="1"/>
    <col min="16137" max="16137" width="20" style="448" customWidth="1"/>
    <col min="16138" max="16138" width="12" style="448" customWidth="1"/>
    <col min="16139" max="16139" width="21.140625" style="448" bestFit="1" customWidth="1"/>
    <col min="16140" max="16140" width="0" style="448" hidden="1" customWidth="1"/>
    <col min="16141" max="16141" width="21.28515625" style="448" customWidth="1"/>
    <col min="16142" max="16142" width="0" style="448" hidden="1" customWidth="1"/>
    <col min="16143" max="16143" width="1.7109375" style="448" customWidth="1"/>
    <col min="16144" max="16148" width="0" style="448" hidden="1" customWidth="1"/>
    <col min="16149" max="16384" width="9.140625" style="448"/>
  </cols>
  <sheetData>
    <row r="1" spans="2:21" ht="21" customHeight="1">
      <c r="M1" s="473" t="s">
        <v>420</v>
      </c>
    </row>
    <row r="2" spans="2:21" s="477" customFormat="1" ht="24" customHeight="1">
      <c r="B2" s="2354" t="s">
        <v>421</v>
      </c>
      <c r="C2" s="2354"/>
      <c r="D2" s="2354"/>
      <c r="E2" s="2354"/>
      <c r="F2" s="2354"/>
      <c r="G2" s="2354"/>
      <c r="H2" s="2354"/>
      <c r="I2" s="2354"/>
      <c r="J2" s="2354"/>
      <c r="K2" s="2354"/>
      <c r="L2" s="2354"/>
      <c r="M2" s="2354"/>
      <c r="N2" s="2354"/>
      <c r="P2" s="478"/>
      <c r="Q2" s="479"/>
    </row>
    <row r="3" spans="2:21" s="477" customFormat="1" ht="30.75" hidden="1" customHeight="1">
      <c r="B3" s="2354" t="s">
        <v>329</v>
      </c>
      <c r="C3" s="2354"/>
      <c r="D3" s="2354"/>
      <c r="E3" s="2354"/>
      <c r="F3" s="2354"/>
      <c r="G3" s="2354"/>
      <c r="H3" s="2354"/>
      <c r="I3" s="2354"/>
      <c r="J3" s="2354"/>
      <c r="K3" s="2354"/>
      <c r="L3" s="2354"/>
      <c r="M3" s="2354"/>
      <c r="N3" s="2354"/>
      <c r="P3" s="478"/>
      <c r="Q3" s="479"/>
    </row>
    <row r="4" spans="2:21" s="477" customFormat="1" ht="30.75" hidden="1" customHeight="1">
      <c r="B4" s="2354" t="s">
        <v>422</v>
      </c>
      <c r="C4" s="2354"/>
      <c r="D4" s="2354"/>
      <c r="E4" s="2354"/>
      <c r="F4" s="2354"/>
      <c r="G4" s="2354"/>
      <c r="H4" s="2354"/>
      <c r="I4" s="2354"/>
      <c r="J4" s="2354"/>
      <c r="K4" s="2354"/>
      <c r="L4" s="2354"/>
      <c r="M4" s="2354"/>
      <c r="N4" s="2354"/>
      <c r="P4" s="478"/>
      <c r="Q4" s="479"/>
    </row>
    <row r="5" spans="2:21" ht="28.5" customHeight="1">
      <c r="B5" s="2355" t="s">
        <v>539</v>
      </c>
      <c r="C5" s="2355"/>
      <c r="D5" s="2355"/>
      <c r="E5" s="2355"/>
      <c r="F5" s="2355"/>
      <c r="G5" s="2355"/>
      <c r="H5" s="2355"/>
      <c r="I5" s="2355"/>
      <c r="J5" s="2355"/>
      <c r="K5" s="2355"/>
      <c r="L5" s="2355"/>
      <c r="M5" s="2355"/>
      <c r="N5" s="2355"/>
    </row>
    <row r="6" spans="2:21">
      <c r="B6" s="480"/>
      <c r="C6" s="480"/>
      <c r="D6" s="480"/>
      <c r="E6" s="480"/>
      <c r="F6" s="480"/>
      <c r="G6" s="481">
        <f>+[5]คีย์รายละเอียดงบลงทุน!F9-[5]รายละเอียดงบลงทุนทั้งหมด!H9</f>
        <v>-80686828.129999995</v>
      </c>
      <c r="H6" s="480"/>
      <c r="I6" s="481">
        <f>+[5]ภาพรวมงบลงทุนแยกครุภัณฑ์!S8-[5]รายละเอียดงบลงทุนทั้งหมด!I9</f>
        <v>1.1741367198719495</v>
      </c>
      <c r="J6" s="480"/>
      <c r="K6" s="481" t="e">
        <f>+[5]ภาพรวมงบลงทุนแยกครุภัณฑ์!U8-[5]รายละเอียดงบลงทุนทั้งหมด!K9</f>
        <v>#REF!</v>
      </c>
      <c r="L6" s="480"/>
      <c r="M6" s="480"/>
      <c r="N6" s="480"/>
    </row>
    <row r="7" spans="2:21">
      <c r="B7" s="2352" t="s">
        <v>376</v>
      </c>
      <c r="C7" s="2356" t="s">
        <v>423</v>
      </c>
      <c r="D7" s="482" t="s">
        <v>424</v>
      </c>
      <c r="E7" s="2358" t="s">
        <v>425</v>
      </c>
      <c r="F7" s="2358" t="s">
        <v>426</v>
      </c>
      <c r="G7" s="2360" t="s">
        <v>427</v>
      </c>
      <c r="H7" s="2362" t="s">
        <v>428</v>
      </c>
      <c r="I7" s="2362" t="s">
        <v>272</v>
      </c>
      <c r="J7" s="2364" t="s">
        <v>429</v>
      </c>
      <c r="K7" s="2366" t="s">
        <v>430</v>
      </c>
      <c r="L7" s="2368" t="s">
        <v>404</v>
      </c>
      <c r="M7" s="2362" t="s">
        <v>4</v>
      </c>
      <c r="N7" s="2352" t="s">
        <v>431</v>
      </c>
    </row>
    <row r="8" spans="2:21" ht="28.5" customHeight="1">
      <c r="B8" s="2353"/>
      <c r="C8" s="2357"/>
      <c r="D8" s="483" t="s">
        <v>432</v>
      </c>
      <c r="E8" s="2359"/>
      <c r="F8" s="2359"/>
      <c r="G8" s="2361"/>
      <c r="H8" s="2363"/>
      <c r="I8" s="2363"/>
      <c r="J8" s="2365"/>
      <c r="K8" s="2367"/>
      <c r="L8" s="2369"/>
      <c r="M8" s="2363"/>
      <c r="N8" s="2353"/>
      <c r="R8" s="448">
        <v>66</v>
      </c>
    </row>
    <row r="9" spans="2:21" s="484" customFormat="1" ht="36" customHeight="1" thickBot="1">
      <c r="B9" s="485"/>
      <c r="C9" s="486" t="s">
        <v>433</v>
      </c>
      <c r="D9" s="487" t="e">
        <f>SUM(D11)</f>
        <v>#REF!</v>
      </c>
      <c r="E9" s="487">
        <f>SUM(E11)</f>
        <v>0</v>
      </c>
      <c r="F9" s="488">
        <f>SUM(F11)</f>
        <v>0</v>
      </c>
      <c r="G9" s="487" t="e">
        <f>+D9+E9-F9</f>
        <v>#REF!</v>
      </c>
      <c r="H9" s="487">
        <f>SUM(H11)</f>
        <v>0</v>
      </c>
      <c r="I9" s="489" t="e">
        <f>SUM(I13:I102)</f>
        <v>#REF!</v>
      </c>
      <c r="J9" s="490" t="e">
        <f>+I9*100/(G9)</f>
        <v>#REF!</v>
      </c>
      <c r="K9" s="487" t="e">
        <f>+K11</f>
        <v>#REF!</v>
      </c>
      <c r="L9" s="487">
        <v>0</v>
      </c>
      <c r="M9" s="487" t="e">
        <f>SUM(M11)</f>
        <v>#REF!</v>
      </c>
      <c r="N9" s="491"/>
      <c r="P9" s="492"/>
      <c r="Q9" s="493"/>
      <c r="R9" s="484">
        <v>17</v>
      </c>
    </row>
    <row r="10" spans="2:21" s="484" customFormat="1" ht="24" hidden="1" customHeight="1">
      <c r="B10" s="494"/>
      <c r="C10" s="495" t="s">
        <v>434</v>
      </c>
      <c r="D10" s="496">
        <v>133536800</v>
      </c>
      <c r="E10" s="497"/>
      <c r="F10" s="497">
        <v>0</v>
      </c>
      <c r="G10" s="496">
        <v>133536800</v>
      </c>
      <c r="H10" s="496">
        <v>0</v>
      </c>
      <c r="I10" s="498">
        <v>0</v>
      </c>
      <c r="J10" s="499">
        <v>0</v>
      </c>
      <c r="K10" s="498">
        <v>74059442</v>
      </c>
      <c r="L10" s="498"/>
      <c r="M10" s="497">
        <v>59477358</v>
      </c>
      <c r="N10" s="500"/>
      <c r="O10" s="501"/>
      <c r="P10" s="492"/>
      <c r="Q10" s="493"/>
    </row>
    <row r="11" spans="2:21" s="484" customFormat="1" ht="40.5" hidden="1" customHeight="1" thickTop="1">
      <c r="B11" s="502"/>
      <c r="C11" s="503" t="s">
        <v>435</v>
      </c>
      <c r="D11" s="504" t="e">
        <f>SUM(D12:D112)</f>
        <v>#REF!</v>
      </c>
      <c r="E11" s="504">
        <f>SUM(E12:E112)</f>
        <v>0</v>
      </c>
      <c r="F11" s="505">
        <f>SUM(F13:F112)</f>
        <v>0</v>
      </c>
      <c r="G11" s="504" t="e">
        <f>SUM(G13:G112)</f>
        <v>#REF!</v>
      </c>
      <c r="H11" s="504">
        <f>SUM(H13:H112)</f>
        <v>0</v>
      </c>
      <c r="I11" s="506" t="e">
        <f>SUM(I13:I112)</f>
        <v>#REF!</v>
      </c>
      <c r="J11" s="507" t="e">
        <f>+I11*100/D11</f>
        <v>#REF!</v>
      </c>
      <c r="K11" s="506" t="e">
        <f>SUM(K13:K112)</f>
        <v>#REF!</v>
      </c>
      <c r="L11" s="506"/>
      <c r="M11" s="505" t="e">
        <f>SUM(M13:M112)</f>
        <v>#REF!</v>
      </c>
      <c r="N11" s="508"/>
      <c r="P11" s="492"/>
      <c r="Q11" s="493"/>
    </row>
    <row r="12" spans="2:21" s="484" customFormat="1" ht="30.75" hidden="1" customHeight="1" thickTop="1">
      <c r="B12" s="509"/>
      <c r="C12" s="510"/>
      <c r="D12" s="511"/>
      <c r="E12" s="512"/>
      <c r="F12" s="512"/>
      <c r="G12" s="511"/>
      <c r="H12" s="511"/>
      <c r="I12" s="513"/>
      <c r="J12" s="514" t="e">
        <f>+I12*100/D12</f>
        <v>#DIV/0!</v>
      </c>
      <c r="K12" s="513"/>
      <c r="L12" s="513"/>
      <c r="M12" s="512">
        <f>+D12-I12-K12</f>
        <v>0</v>
      </c>
      <c r="N12" s="515"/>
      <c r="P12" s="492"/>
      <c r="Q12" s="493"/>
    </row>
    <row r="13" spans="2:21" s="484" customFormat="1" ht="24.75" thickTop="1">
      <c r="B13" s="516">
        <v>1</v>
      </c>
      <c r="C13" s="517" t="s">
        <v>436</v>
      </c>
      <c r="D13" s="518" t="e">
        <f>+'GF งบเพิ่มเติม'!#REF!</f>
        <v>#REF!</v>
      </c>
      <c r="E13" s="519"/>
      <c r="F13" s="519"/>
      <c r="G13" s="518" t="e">
        <f t="shared" ref="G13:G62" si="0">+D13-H13</f>
        <v>#REF!</v>
      </c>
      <c r="H13" s="518"/>
      <c r="I13" s="520" t="e">
        <f>+'GF งบเพิ่มเติม'!#REF!</f>
        <v>#REF!</v>
      </c>
      <c r="J13" s="518" t="e">
        <f t="shared" ref="J13:J76" si="1">+I13*100/G13</f>
        <v>#REF!</v>
      </c>
      <c r="K13" s="521" t="e">
        <f>+'GF งบเพิ่มเติม'!#REF!</f>
        <v>#REF!</v>
      </c>
      <c r="L13" s="522"/>
      <c r="M13" s="523" t="e">
        <f>+D13-I13-K13</f>
        <v>#REF!</v>
      </c>
      <c r="N13" s="517"/>
      <c r="P13" s="492" t="s">
        <v>437</v>
      </c>
      <c r="Q13" s="493"/>
      <c r="U13" s="484" t="s">
        <v>494</v>
      </c>
    </row>
    <row r="14" spans="2:21" s="484" customFormat="1">
      <c r="B14" s="524">
        <v>2</v>
      </c>
      <c r="C14" s="525" t="s">
        <v>438</v>
      </c>
      <c r="D14" s="526" t="e">
        <f>'GF งบเพิ่มเติม'!#REF!</f>
        <v>#REF!</v>
      </c>
      <c r="E14" s="527"/>
      <c r="F14" s="527"/>
      <c r="G14" s="526" t="e">
        <f t="shared" si="0"/>
        <v>#REF!</v>
      </c>
      <c r="H14" s="526"/>
      <c r="I14" s="528" t="e">
        <f>'GF งบเพิ่มเติม'!#REF!</f>
        <v>#REF!</v>
      </c>
      <c r="J14" s="518" t="e">
        <f t="shared" si="1"/>
        <v>#REF!</v>
      </c>
      <c r="K14" s="529" t="e">
        <f>'GF งบเพิ่มเติม'!#REF!</f>
        <v>#REF!</v>
      </c>
      <c r="L14" s="530"/>
      <c r="M14" s="523" t="e">
        <f t="shared" ref="M14:M77" si="2">+D14-I14-K14</f>
        <v>#REF!</v>
      </c>
      <c r="N14" s="525"/>
      <c r="P14" s="492" t="s">
        <v>439</v>
      </c>
      <c r="Q14" s="493"/>
      <c r="U14" s="484" t="s">
        <v>495</v>
      </c>
    </row>
    <row r="15" spans="2:21" s="484" customFormat="1">
      <c r="B15" s="516">
        <v>3</v>
      </c>
      <c r="C15" s="525" t="s">
        <v>440</v>
      </c>
      <c r="D15" s="526" t="e">
        <f>'GF งบเพิ่มเติม'!#REF!</f>
        <v>#REF!</v>
      </c>
      <c r="E15" s="527"/>
      <c r="F15" s="527"/>
      <c r="G15" s="526" t="e">
        <f t="shared" si="0"/>
        <v>#REF!</v>
      </c>
      <c r="H15" s="526"/>
      <c r="I15" s="528" t="e">
        <f>'GF งบเพิ่มเติม'!#REF!</f>
        <v>#REF!</v>
      </c>
      <c r="J15" s="518" t="e">
        <f t="shared" si="1"/>
        <v>#REF!</v>
      </c>
      <c r="K15" s="529" t="e">
        <f>'GF งบเพิ่มเติม'!#REF!</f>
        <v>#REF!</v>
      </c>
      <c r="L15" s="530"/>
      <c r="M15" s="523" t="e">
        <f t="shared" si="2"/>
        <v>#REF!</v>
      </c>
      <c r="N15" s="525"/>
      <c r="P15" s="492"/>
      <c r="Q15" s="493"/>
      <c r="U15" s="484" t="s">
        <v>496</v>
      </c>
    </row>
    <row r="16" spans="2:21" s="484" customFormat="1">
      <c r="B16" s="524">
        <v>4</v>
      </c>
      <c r="C16" s="525" t="s">
        <v>441</v>
      </c>
      <c r="D16" s="526" t="e">
        <f>'GF งบเพิ่มเติม'!#REF!</f>
        <v>#REF!</v>
      </c>
      <c r="E16" s="527"/>
      <c r="F16" s="527"/>
      <c r="G16" s="526" t="e">
        <f t="shared" si="0"/>
        <v>#REF!</v>
      </c>
      <c r="H16" s="526"/>
      <c r="I16" s="528" t="e">
        <f>'GF งบเพิ่มเติม'!#REF!</f>
        <v>#REF!</v>
      </c>
      <c r="J16" s="518" t="e">
        <f t="shared" si="1"/>
        <v>#REF!</v>
      </c>
      <c r="K16" s="529" t="e">
        <f>'GF งบเพิ่มเติม'!#REF!</f>
        <v>#REF!</v>
      </c>
      <c r="L16" s="530"/>
      <c r="M16" s="523" t="e">
        <f t="shared" si="2"/>
        <v>#REF!</v>
      </c>
      <c r="N16" s="525"/>
      <c r="P16" s="492"/>
      <c r="Q16" s="493"/>
      <c r="U16" s="484" t="s">
        <v>497</v>
      </c>
    </row>
    <row r="17" spans="2:21" s="484" customFormat="1">
      <c r="B17" s="516">
        <v>5</v>
      </c>
      <c r="C17" s="525" t="s">
        <v>442</v>
      </c>
      <c r="D17" s="526" t="e">
        <f>'GF งบเพิ่มเติม'!#REF!</f>
        <v>#REF!</v>
      </c>
      <c r="E17" s="527"/>
      <c r="F17" s="527"/>
      <c r="G17" s="526" t="e">
        <f t="shared" si="0"/>
        <v>#REF!</v>
      </c>
      <c r="H17" s="526"/>
      <c r="I17" s="528" t="e">
        <f>'GF งบเพิ่มเติม'!#REF!</f>
        <v>#REF!</v>
      </c>
      <c r="J17" s="518" t="e">
        <f t="shared" si="1"/>
        <v>#REF!</v>
      </c>
      <c r="K17" s="529"/>
      <c r="L17" s="530"/>
      <c r="M17" s="523" t="e">
        <f t="shared" si="2"/>
        <v>#REF!</v>
      </c>
      <c r="N17" s="525"/>
      <c r="P17" s="492"/>
      <c r="Q17" s="493"/>
      <c r="U17" s="484" t="s">
        <v>498</v>
      </c>
    </row>
    <row r="18" spans="2:21" s="484" customFormat="1">
      <c r="B18" s="524">
        <v>6</v>
      </c>
      <c r="C18" s="525" t="s">
        <v>443</v>
      </c>
      <c r="D18" s="526" t="e">
        <f>'GF งบเพิ่มเติม'!#REF!</f>
        <v>#REF!</v>
      </c>
      <c r="E18" s="527"/>
      <c r="F18" s="527"/>
      <c r="G18" s="526" t="e">
        <f t="shared" si="0"/>
        <v>#REF!</v>
      </c>
      <c r="H18" s="526"/>
      <c r="I18" s="528" t="e">
        <f>'GF งบเพิ่มเติม'!#REF!</f>
        <v>#REF!</v>
      </c>
      <c r="J18" s="518" t="e">
        <f t="shared" si="1"/>
        <v>#REF!</v>
      </c>
      <c r="K18" s="529" t="e">
        <f>'GF งบเพิ่มเติม'!#REF!</f>
        <v>#REF!</v>
      </c>
      <c r="L18" s="530"/>
      <c r="M18" s="523" t="e">
        <f t="shared" si="2"/>
        <v>#REF!</v>
      </c>
      <c r="N18" s="525"/>
      <c r="P18" s="492"/>
      <c r="Q18" s="493"/>
      <c r="U18" s="484" t="s">
        <v>499</v>
      </c>
    </row>
    <row r="19" spans="2:21" s="484" customFormat="1">
      <c r="B19" s="516">
        <v>7</v>
      </c>
      <c r="C19" s="525" t="s">
        <v>444</v>
      </c>
      <c r="D19" s="526" t="e">
        <f>'GF งบเพิ่มเติม'!#REF!</f>
        <v>#REF!</v>
      </c>
      <c r="E19" s="527"/>
      <c r="F19" s="527"/>
      <c r="G19" s="526" t="e">
        <f t="shared" si="0"/>
        <v>#REF!</v>
      </c>
      <c r="H19" s="526"/>
      <c r="I19" s="528" t="e">
        <f>'GF งบเพิ่มเติม'!#REF!</f>
        <v>#REF!</v>
      </c>
      <c r="J19" s="518" t="e">
        <f t="shared" si="1"/>
        <v>#REF!</v>
      </c>
      <c r="K19" s="529" t="e">
        <f>'GF งบเพิ่มเติม'!#REF!</f>
        <v>#REF!</v>
      </c>
      <c r="L19" s="530"/>
      <c r="M19" s="523" t="e">
        <f t="shared" si="2"/>
        <v>#REF!</v>
      </c>
      <c r="N19" s="525"/>
      <c r="P19" s="492"/>
      <c r="Q19" s="493"/>
      <c r="U19" s="484" t="s">
        <v>500</v>
      </c>
    </row>
    <row r="20" spans="2:21" s="484" customFormat="1">
      <c r="B20" s="524">
        <v>8</v>
      </c>
      <c r="C20" s="525" t="s">
        <v>445</v>
      </c>
      <c r="D20" s="526" t="e">
        <f>'GF งบเพิ่มเติม'!#REF!</f>
        <v>#REF!</v>
      </c>
      <c r="E20" s="527"/>
      <c r="F20" s="527"/>
      <c r="G20" s="526" t="e">
        <f t="shared" si="0"/>
        <v>#REF!</v>
      </c>
      <c r="H20" s="526"/>
      <c r="I20" s="528" t="e">
        <f>'GF งบเพิ่มเติม'!#REF!</f>
        <v>#REF!</v>
      </c>
      <c r="J20" s="518" t="e">
        <f t="shared" si="1"/>
        <v>#REF!</v>
      </c>
      <c r="K20" s="529" t="e">
        <f>'GF งบเพิ่มเติม'!#REF!</f>
        <v>#REF!</v>
      </c>
      <c r="L20" s="530"/>
      <c r="M20" s="523" t="e">
        <f t="shared" si="2"/>
        <v>#REF!</v>
      </c>
      <c r="N20" s="525"/>
      <c r="P20" s="492"/>
      <c r="Q20" s="493"/>
      <c r="U20" s="484" t="s">
        <v>501</v>
      </c>
    </row>
    <row r="21" spans="2:21" s="484" customFormat="1">
      <c r="B21" s="516">
        <v>9</v>
      </c>
      <c r="C21" s="525" t="s">
        <v>446</v>
      </c>
      <c r="D21" s="526" t="e">
        <f>'GF งบเพิ่มเติม'!#REF!</f>
        <v>#REF!</v>
      </c>
      <c r="E21" s="527"/>
      <c r="F21" s="527"/>
      <c r="G21" s="526" t="e">
        <f t="shared" si="0"/>
        <v>#REF!</v>
      </c>
      <c r="H21" s="526"/>
      <c r="I21" s="528" t="e">
        <f>'GF งบเพิ่มเติม'!#REF!</f>
        <v>#REF!</v>
      </c>
      <c r="J21" s="518" t="e">
        <f t="shared" si="1"/>
        <v>#REF!</v>
      </c>
      <c r="K21" s="529" t="e">
        <f>'GF งบเพิ่มเติม'!#REF!</f>
        <v>#REF!</v>
      </c>
      <c r="L21" s="530"/>
      <c r="M21" s="523" t="e">
        <f t="shared" si="2"/>
        <v>#REF!</v>
      </c>
      <c r="N21" s="525"/>
      <c r="P21" s="492"/>
      <c r="Q21" s="493"/>
      <c r="U21" s="484" t="s">
        <v>502</v>
      </c>
    </row>
    <row r="22" spans="2:21" s="484" customFormat="1">
      <c r="B22" s="524">
        <v>10</v>
      </c>
      <c r="C22" s="525" t="s">
        <v>447</v>
      </c>
      <c r="D22" s="526" t="e">
        <f>'GF งบเพิ่มเติม'!#REF!</f>
        <v>#REF!</v>
      </c>
      <c r="E22" s="527"/>
      <c r="F22" s="527"/>
      <c r="G22" s="526" t="e">
        <f t="shared" si="0"/>
        <v>#REF!</v>
      </c>
      <c r="H22" s="526"/>
      <c r="I22" s="528" t="e">
        <f>'GF งบเพิ่มเติม'!#REF!</f>
        <v>#REF!</v>
      </c>
      <c r="J22" s="518" t="e">
        <f t="shared" si="1"/>
        <v>#REF!</v>
      </c>
      <c r="K22" s="529" t="e">
        <f>'GF งบเพิ่มเติม'!#REF!</f>
        <v>#REF!</v>
      </c>
      <c r="L22" s="530"/>
      <c r="M22" s="523" t="e">
        <f t="shared" si="2"/>
        <v>#REF!</v>
      </c>
      <c r="N22" s="525"/>
      <c r="P22" s="492"/>
      <c r="Q22" s="493"/>
      <c r="U22" s="484" t="s">
        <v>503</v>
      </c>
    </row>
    <row r="23" spans="2:21" s="484" customFormat="1">
      <c r="B23" s="516">
        <v>11</v>
      </c>
      <c r="C23" s="525" t="s">
        <v>448</v>
      </c>
      <c r="D23" s="526" t="e">
        <f>'GF งบเพิ่มเติม'!#REF!</f>
        <v>#REF!</v>
      </c>
      <c r="E23" s="527"/>
      <c r="F23" s="527"/>
      <c r="G23" s="526" t="e">
        <f t="shared" si="0"/>
        <v>#REF!</v>
      </c>
      <c r="H23" s="526"/>
      <c r="I23" s="528" t="e">
        <f>'GF งบเพิ่มเติม'!#REF!</f>
        <v>#REF!</v>
      </c>
      <c r="J23" s="518" t="e">
        <f t="shared" si="1"/>
        <v>#REF!</v>
      </c>
      <c r="K23" s="529" t="e">
        <f>'GF งบเพิ่มเติม'!#REF!</f>
        <v>#REF!</v>
      </c>
      <c r="L23" s="530"/>
      <c r="M23" s="523" t="e">
        <f t="shared" si="2"/>
        <v>#REF!</v>
      </c>
      <c r="N23" s="525"/>
      <c r="P23" s="492"/>
      <c r="Q23" s="493"/>
      <c r="U23" s="484" t="s">
        <v>504</v>
      </c>
    </row>
    <row r="24" spans="2:21" s="484" customFormat="1">
      <c r="B24" s="524">
        <v>12</v>
      </c>
      <c r="C24" s="525" t="s">
        <v>449</v>
      </c>
      <c r="D24" s="526" t="e">
        <f>'GF งบเพิ่มเติม'!#REF!</f>
        <v>#REF!</v>
      </c>
      <c r="E24" s="527"/>
      <c r="F24" s="527"/>
      <c r="G24" s="526" t="e">
        <f t="shared" si="0"/>
        <v>#REF!</v>
      </c>
      <c r="H24" s="526"/>
      <c r="I24" s="528" t="e">
        <f>'GF งบเพิ่มเติม'!#REF!</f>
        <v>#REF!</v>
      </c>
      <c r="J24" s="518" t="e">
        <f t="shared" si="1"/>
        <v>#REF!</v>
      </c>
      <c r="K24" s="529" t="e">
        <f>'GF งบเพิ่มเติม'!#REF!</f>
        <v>#REF!</v>
      </c>
      <c r="L24" s="530"/>
      <c r="M24" s="523" t="e">
        <f t="shared" si="2"/>
        <v>#REF!</v>
      </c>
      <c r="N24" s="525"/>
      <c r="P24" s="492"/>
      <c r="Q24" s="493"/>
      <c r="U24" s="484" t="s">
        <v>505</v>
      </c>
    </row>
    <row r="25" spans="2:21" s="484" customFormat="1">
      <c r="B25" s="516">
        <v>13</v>
      </c>
      <c r="C25" s="525" t="s">
        <v>450</v>
      </c>
      <c r="D25" s="526" t="e">
        <f>'GF งบเพิ่มเติม'!#REF!</f>
        <v>#REF!</v>
      </c>
      <c r="E25" s="527"/>
      <c r="F25" s="527"/>
      <c r="G25" s="526" t="e">
        <f t="shared" si="0"/>
        <v>#REF!</v>
      </c>
      <c r="H25" s="526"/>
      <c r="I25" s="528" t="e">
        <f>'GF งบเพิ่มเติม'!#REF!</f>
        <v>#REF!</v>
      </c>
      <c r="J25" s="518" t="e">
        <f t="shared" si="1"/>
        <v>#REF!</v>
      </c>
      <c r="K25" s="529" t="e">
        <f>'GF งบเพิ่มเติม'!#REF!</f>
        <v>#REF!</v>
      </c>
      <c r="L25" s="530"/>
      <c r="M25" s="523" t="e">
        <f t="shared" si="2"/>
        <v>#REF!</v>
      </c>
      <c r="N25" s="525"/>
      <c r="P25" s="492"/>
      <c r="Q25" s="493"/>
      <c r="U25" s="484" t="s">
        <v>506</v>
      </c>
    </row>
    <row r="26" spans="2:21" s="484" customFormat="1">
      <c r="B26" s="524">
        <v>14</v>
      </c>
      <c r="C26" s="525" t="s">
        <v>451</v>
      </c>
      <c r="D26" s="526" t="e">
        <f>'GF งบเพิ่มเติม'!#REF!</f>
        <v>#REF!</v>
      </c>
      <c r="E26" s="527"/>
      <c r="F26" s="527"/>
      <c r="G26" s="526" t="e">
        <f t="shared" si="0"/>
        <v>#REF!</v>
      </c>
      <c r="H26" s="526"/>
      <c r="I26" s="528" t="e">
        <f>'GF งบเพิ่มเติม'!#REF!</f>
        <v>#REF!</v>
      </c>
      <c r="J26" s="518" t="e">
        <f t="shared" si="1"/>
        <v>#REF!</v>
      </c>
      <c r="K26" s="529" t="e">
        <f>'GF งบเพิ่มเติม'!#REF!</f>
        <v>#REF!</v>
      </c>
      <c r="L26" s="530"/>
      <c r="M26" s="523" t="e">
        <f t="shared" si="2"/>
        <v>#REF!</v>
      </c>
      <c r="N26" s="525"/>
      <c r="P26" s="492"/>
      <c r="Q26" s="493"/>
      <c r="U26" s="484" t="s">
        <v>507</v>
      </c>
    </row>
    <row r="27" spans="2:21" s="484" customFormat="1">
      <c r="B27" s="516">
        <v>15</v>
      </c>
      <c r="C27" s="525" t="s">
        <v>452</v>
      </c>
      <c r="D27" s="526" t="e">
        <f>'GF งบเพิ่มเติม'!#REF!</f>
        <v>#REF!</v>
      </c>
      <c r="E27" s="527"/>
      <c r="F27" s="527"/>
      <c r="G27" s="526" t="e">
        <f t="shared" si="0"/>
        <v>#REF!</v>
      </c>
      <c r="H27" s="526"/>
      <c r="I27" s="528" t="e">
        <f>'GF งบเพิ่มเติม'!#REF!</f>
        <v>#REF!</v>
      </c>
      <c r="J27" s="518" t="e">
        <f t="shared" si="1"/>
        <v>#REF!</v>
      </c>
      <c r="K27" s="529" t="e">
        <f>'GF งบเพิ่มเติม'!#REF!</f>
        <v>#REF!</v>
      </c>
      <c r="L27" s="530"/>
      <c r="M27" s="523" t="e">
        <f t="shared" si="2"/>
        <v>#REF!</v>
      </c>
      <c r="N27" s="525"/>
      <c r="P27" s="492"/>
      <c r="Q27" s="493"/>
      <c r="U27" s="484" t="s">
        <v>508</v>
      </c>
    </row>
    <row r="28" spans="2:21" s="484" customFormat="1">
      <c r="B28" s="524">
        <v>16</v>
      </c>
      <c r="C28" s="525" t="s">
        <v>453</v>
      </c>
      <c r="D28" s="526" t="e">
        <f>'GF งบเพิ่มเติม'!#REF!</f>
        <v>#REF!</v>
      </c>
      <c r="E28" s="527"/>
      <c r="F28" s="527"/>
      <c r="G28" s="526" t="e">
        <f t="shared" si="0"/>
        <v>#REF!</v>
      </c>
      <c r="H28" s="526"/>
      <c r="I28" s="528" t="e">
        <f>'GF งบเพิ่มเติม'!#REF!</f>
        <v>#REF!</v>
      </c>
      <c r="J28" s="518" t="e">
        <f t="shared" si="1"/>
        <v>#REF!</v>
      </c>
      <c r="K28" s="529" t="e">
        <f>'GF งบเพิ่มเติม'!#REF!</f>
        <v>#REF!</v>
      </c>
      <c r="L28" s="530"/>
      <c r="M28" s="523" t="e">
        <f t="shared" si="2"/>
        <v>#REF!</v>
      </c>
      <c r="N28" s="525"/>
      <c r="P28" s="492"/>
      <c r="Q28" s="493"/>
      <c r="U28" s="484" t="s">
        <v>509</v>
      </c>
    </row>
    <row r="29" spans="2:21" s="484" customFormat="1">
      <c r="B29" s="516">
        <v>17</v>
      </c>
      <c r="C29" s="525" t="s">
        <v>454</v>
      </c>
      <c r="D29" s="526" t="e">
        <f>'GF งบเพิ่มเติม'!#REF!</f>
        <v>#REF!</v>
      </c>
      <c r="E29" s="527"/>
      <c r="F29" s="527"/>
      <c r="G29" s="526" t="e">
        <f t="shared" si="0"/>
        <v>#REF!</v>
      </c>
      <c r="H29" s="526"/>
      <c r="I29" s="528" t="e">
        <f>'GF งบเพิ่มเติม'!#REF!</f>
        <v>#REF!</v>
      </c>
      <c r="J29" s="518" t="e">
        <f t="shared" si="1"/>
        <v>#REF!</v>
      </c>
      <c r="K29" s="529" t="e">
        <f>'GF งบเพิ่มเติม'!#REF!</f>
        <v>#REF!</v>
      </c>
      <c r="L29" s="530"/>
      <c r="M29" s="523" t="e">
        <f t="shared" si="2"/>
        <v>#REF!</v>
      </c>
      <c r="N29" s="525"/>
      <c r="P29" s="492"/>
      <c r="Q29" s="493"/>
      <c r="U29" s="484" t="s">
        <v>510</v>
      </c>
    </row>
    <row r="30" spans="2:21" s="484" customFormat="1">
      <c r="B30" s="524">
        <v>18</v>
      </c>
      <c r="C30" s="525" t="s">
        <v>455</v>
      </c>
      <c r="D30" s="526" t="e">
        <f>'GF งบเพิ่มเติม'!#REF!</f>
        <v>#REF!</v>
      </c>
      <c r="E30" s="527"/>
      <c r="F30" s="527"/>
      <c r="G30" s="526" t="e">
        <f t="shared" si="0"/>
        <v>#REF!</v>
      </c>
      <c r="H30" s="526"/>
      <c r="I30" s="528" t="e">
        <f>'GF งบเพิ่มเติม'!#REF!</f>
        <v>#REF!</v>
      </c>
      <c r="J30" s="518" t="e">
        <f t="shared" si="1"/>
        <v>#REF!</v>
      </c>
      <c r="K30" s="529" t="e">
        <f>'GF งบเพิ่มเติม'!#REF!</f>
        <v>#REF!</v>
      </c>
      <c r="L30" s="530"/>
      <c r="M30" s="523" t="e">
        <f t="shared" si="2"/>
        <v>#REF!</v>
      </c>
      <c r="N30" s="531"/>
      <c r="P30" s="492"/>
      <c r="Q30" s="493"/>
      <c r="U30" s="484" t="s">
        <v>511</v>
      </c>
    </row>
    <row r="31" spans="2:21" s="484" customFormat="1">
      <c r="B31" s="516">
        <v>19</v>
      </c>
      <c r="C31" s="525" t="s">
        <v>456</v>
      </c>
      <c r="D31" s="526" t="e">
        <f>'GF งบเพิ่มเติม'!#REF!</f>
        <v>#REF!</v>
      </c>
      <c r="E31" s="526"/>
      <c r="F31" s="526"/>
      <c r="G31" s="526" t="e">
        <f t="shared" si="0"/>
        <v>#REF!</v>
      </c>
      <c r="H31" s="526"/>
      <c r="I31" s="528" t="e">
        <f>'GF งบเพิ่มเติม'!#REF!</f>
        <v>#REF!</v>
      </c>
      <c r="J31" s="518" t="e">
        <f t="shared" si="1"/>
        <v>#REF!</v>
      </c>
      <c r="K31" s="529" t="e">
        <f>'GF งบเพิ่มเติม'!#REF!</f>
        <v>#REF!</v>
      </c>
      <c r="L31" s="530"/>
      <c r="M31" s="523" t="e">
        <f t="shared" si="2"/>
        <v>#REF!</v>
      </c>
      <c r="N31" s="525"/>
      <c r="P31" s="492"/>
      <c r="Q31" s="493"/>
      <c r="U31" s="484" t="s">
        <v>512</v>
      </c>
    </row>
    <row r="32" spans="2:21" s="484" customFormat="1">
      <c r="B32" s="524">
        <v>20</v>
      </c>
      <c r="C32" s="525" t="s">
        <v>457</v>
      </c>
      <c r="D32" s="526" t="e">
        <f>'GF งบเพิ่มเติม'!#REF!</f>
        <v>#REF!</v>
      </c>
      <c r="E32" s="526"/>
      <c r="F32" s="526"/>
      <c r="G32" s="526" t="e">
        <f t="shared" si="0"/>
        <v>#REF!</v>
      </c>
      <c r="H32" s="526"/>
      <c r="I32" s="528" t="e">
        <f>'GF งบเพิ่มเติม'!#REF!</f>
        <v>#REF!</v>
      </c>
      <c r="J32" s="518" t="e">
        <f t="shared" si="1"/>
        <v>#REF!</v>
      </c>
      <c r="K32" s="529" t="e">
        <f>'GF งบเพิ่มเติม'!#REF!</f>
        <v>#REF!</v>
      </c>
      <c r="L32" s="530"/>
      <c r="M32" s="523" t="e">
        <f t="shared" si="2"/>
        <v>#REF!</v>
      </c>
      <c r="N32" s="525"/>
      <c r="P32" s="492"/>
      <c r="Q32" s="493"/>
      <c r="U32" s="484" t="s">
        <v>513</v>
      </c>
    </row>
    <row r="33" spans="2:21" s="484" customFormat="1">
      <c r="B33" s="516">
        <v>21</v>
      </c>
      <c r="C33" s="525" t="s">
        <v>458</v>
      </c>
      <c r="D33" s="526" t="e">
        <f>'GF งบเพิ่มเติม'!#REF!</f>
        <v>#REF!</v>
      </c>
      <c r="E33" s="526"/>
      <c r="F33" s="526"/>
      <c r="G33" s="526" t="e">
        <f t="shared" si="0"/>
        <v>#REF!</v>
      </c>
      <c r="H33" s="526"/>
      <c r="I33" s="528" t="e">
        <f>'GF งบเพิ่มเติม'!#REF!</f>
        <v>#REF!</v>
      </c>
      <c r="J33" s="518" t="e">
        <f t="shared" si="1"/>
        <v>#REF!</v>
      </c>
      <c r="K33" s="529" t="e">
        <f>'GF งบเพิ่มเติม'!#REF!</f>
        <v>#REF!</v>
      </c>
      <c r="L33" s="530"/>
      <c r="M33" s="523" t="e">
        <f t="shared" si="2"/>
        <v>#REF!</v>
      </c>
      <c r="N33" s="525"/>
      <c r="P33" s="492"/>
      <c r="Q33" s="493"/>
      <c r="U33" s="484" t="s">
        <v>514</v>
      </c>
    </row>
    <row r="34" spans="2:21" s="484" customFormat="1">
      <c r="B34" s="524">
        <v>22</v>
      </c>
      <c r="C34" s="525" t="s">
        <v>459</v>
      </c>
      <c r="D34" s="526" t="e">
        <f>'GF งบเพิ่มเติม'!#REF!</f>
        <v>#REF!</v>
      </c>
      <c r="E34" s="526"/>
      <c r="F34" s="526"/>
      <c r="G34" s="526" t="e">
        <f t="shared" si="0"/>
        <v>#REF!</v>
      </c>
      <c r="H34" s="526"/>
      <c r="I34" s="528" t="e">
        <f>'GF งบเพิ่มเติม'!#REF!</f>
        <v>#REF!</v>
      </c>
      <c r="J34" s="518" t="e">
        <f t="shared" si="1"/>
        <v>#REF!</v>
      </c>
      <c r="K34" s="529" t="e">
        <f>'GF งบเพิ่มเติม'!#REF!</f>
        <v>#REF!</v>
      </c>
      <c r="L34" s="530"/>
      <c r="M34" s="523" t="e">
        <f t="shared" si="2"/>
        <v>#REF!</v>
      </c>
      <c r="N34" s="525"/>
      <c r="P34" s="492"/>
      <c r="Q34" s="493"/>
      <c r="U34" s="484" t="s">
        <v>515</v>
      </c>
    </row>
    <row r="35" spans="2:21" s="484" customFormat="1">
      <c r="B35" s="516">
        <v>23</v>
      </c>
      <c r="C35" s="525" t="s">
        <v>460</v>
      </c>
      <c r="D35" s="526" t="e">
        <f>'GF งบเพิ่มเติม'!#REF!</f>
        <v>#REF!</v>
      </c>
      <c r="E35" s="526"/>
      <c r="F35" s="526"/>
      <c r="G35" s="526" t="e">
        <f t="shared" si="0"/>
        <v>#REF!</v>
      </c>
      <c r="H35" s="526"/>
      <c r="I35" s="528" t="e">
        <f>'GF งบเพิ่มเติม'!#REF!</f>
        <v>#REF!</v>
      </c>
      <c r="J35" s="518" t="e">
        <f t="shared" si="1"/>
        <v>#REF!</v>
      </c>
      <c r="K35" s="529" t="e">
        <f>'GF งบเพิ่มเติม'!#REF!</f>
        <v>#REF!</v>
      </c>
      <c r="L35" s="530"/>
      <c r="M35" s="523" t="e">
        <f t="shared" si="2"/>
        <v>#REF!</v>
      </c>
      <c r="N35" s="525"/>
      <c r="P35" s="492"/>
      <c r="Q35" s="493"/>
      <c r="U35" s="484" t="s">
        <v>516</v>
      </c>
    </row>
    <row r="36" spans="2:21" s="484" customFormat="1">
      <c r="B36" s="524">
        <v>24</v>
      </c>
      <c r="C36" s="525" t="s">
        <v>461</v>
      </c>
      <c r="D36" s="526" t="e">
        <f>'GF งบเพิ่มเติม'!#REF!</f>
        <v>#REF!</v>
      </c>
      <c r="E36" s="526"/>
      <c r="F36" s="526"/>
      <c r="G36" s="526" t="e">
        <f t="shared" si="0"/>
        <v>#REF!</v>
      </c>
      <c r="H36" s="526"/>
      <c r="I36" s="528" t="e">
        <f>'GF งบเพิ่มเติม'!#REF!</f>
        <v>#REF!</v>
      </c>
      <c r="J36" s="518" t="e">
        <f t="shared" si="1"/>
        <v>#REF!</v>
      </c>
      <c r="K36" s="529" t="e">
        <f>'GF งบเพิ่มเติม'!#REF!</f>
        <v>#REF!</v>
      </c>
      <c r="L36" s="530"/>
      <c r="M36" s="523" t="e">
        <f t="shared" si="2"/>
        <v>#REF!</v>
      </c>
      <c r="N36" s="525"/>
      <c r="P36" s="492"/>
      <c r="Q36" s="493"/>
      <c r="U36" s="484" t="s">
        <v>517</v>
      </c>
    </row>
    <row r="37" spans="2:21" s="484" customFormat="1">
      <c r="B37" s="516">
        <v>25</v>
      </c>
      <c r="C37" s="525" t="s">
        <v>462</v>
      </c>
      <c r="D37" s="526" t="e">
        <f>'GF งบเพิ่มเติม'!#REF!</f>
        <v>#REF!</v>
      </c>
      <c r="E37" s="526"/>
      <c r="F37" s="526"/>
      <c r="G37" s="526" t="e">
        <f t="shared" si="0"/>
        <v>#REF!</v>
      </c>
      <c r="H37" s="526"/>
      <c r="I37" s="528" t="e">
        <f>'GF งบเพิ่มเติม'!#REF!</f>
        <v>#REF!</v>
      </c>
      <c r="J37" s="518" t="e">
        <f t="shared" si="1"/>
        <v>#REF!</v>
      </c>
      <c r="K37" s="529" t="e">
        <f>'GF งบเพิ่มเติม'!#REF!</f>
        <v>#REF!</v>
      </c>
      <c r="L37" s="530"/>
      <c r="M37" s="523" t="e">
        <f t="shared" si="2"/>
        <v>#REF!</v>
      </c>
      <c r="N37" s="525"/>
      <c r="P37" s="492"/>
      <c r="Q37" s="493"/>
      <c r="U37" s="484" t="s">
        <v>518</v>
      </c>
    </row>
    <row r="38" spans="2:21" s="484" customFormat="1">
      <c r="B38" s="524">
        <v>26</v>
      </c>
      <c r="C38" s="525" t="s">
        <v>463</v>
      </c>
      <c r="D38" s="526" t="e">
        <f>'GF งบเพิ่มเติม'!#REF!</f>
        <v>#REF!</v>
      </c>
      <c r="E38" s="526"/>
      <c r="F38" s="526"/>
      <c r="G38" s="526" t="e">
        <f t="shared" si="0"/>
        <v>#REF!</v>
      </c>
      <c r="H38" s="526"/>
      <c r="I38" s="528" t="e">
        <f>'GF งบเพิ่มเติม'!#REF!</f>
        <v>#REF!</v>
      </c>
      <c r="J38" s="518" t="e">
        <f t="shared" si="1"/>
        <v>#REF!</v>
      </c>
      <c r="K38" s="529" t="e">
        <f>'GF งบเพิ่มเติม'!#REF!</f>
        <v>#REF!</v>
      </c>
      <c r="L38" s="530"/>
      <c r="M38" s="523" t="e">
        <f t="shared" si="2"/>
        <v>#REF!</v>
      </c>
      <c r="N38" s="525"/>
      <c r="P38" s="492"/>
      <c r="Q38" s="493"/>
      <c r="U38" s="484" t="s">
        <v>519</v>
      </c>
    </row>
    <row r="39" spans="2:21" s="484" customFormat="1">
      <c r="B39" s="516">
        <v>27</v>
      </c>
      <c r="C39" s="525" t="s">
        <v>464</v>
      </c>
      <c r="D39" s="526" t="e">
        <f>'GF งบเพิ่มเติม'!#REF!</f>
        <v>#REF!</v>
      </c>
      <c r="E39" s="526"/>
      <c r="F39" s="526"/>
      <c r="G39" s="526" t="e">
        <f t="shared" si="0"/>
        <v>#REF!</v>
      </c>
      <c r="H39" s="526"/>
      <c r="I39" s="528" t="e">
        <f>'GF งบเพิ่มเติม'!#REF!</f>
        <v>#REF!</v>
      </c>
      <c r="J39" s="518" t="e">
        <f t="shared" si="1"/>
        <v>#REF!</v>
      </c>
      <c r="K39" s="529" t="e">
        <f>'GF งบเพิ่มเติม'!#REF!</f>
        <v>#REF!</v>
      </c>
      <c r="L39" s="530"/>
      <c r="M39" s="523" t="e">
        <f t="shared" si="2"/>
        <v>#REF!</v>
      </c>
      <c r="N39" s="525"/>
      <c r="P39" s="492"/>
      <c r="Q39" s="493"/>
      <c r="U39" s="484" t="s">
        <v>520</v>
      </c>
    </row>
    <row r="40" spans="2:21" s="484" customFormat="1">
      <c r="B40" s="524">
        <v>28</v>
      </c>
      <c r="C40" s="525" t="s">
        <v>465</v>
      </c>
      <c r="D40" s="526" t="e">
        <f>'GF งบเพิ่มเติม'!#REF!</f>
        <v>#REF!</v>
      </c>
      <c r="E40" s="526"/>
      <c r="F40" s="526"/>
      <c r="G40" s="526" t="e">
        <f t="shared" si="0"/>
        <v>#REF!</v>
      </c>
      <c r="H40" s="526"/>
      <c r="I40" s="528" t="e">
        <f>'GF งบเพิ่มเติม'!#REF!</f>
        <v>#REF!</v>
      </c>
      <c r="J40" s="518" t="e">
        <f t="shared" si="1"/>
        <v>#REF!</v>
      </c>
      <c r="K40" s="529" t="e">
        <f>'GF งบเพิ่มเติม'!#REF!</f>
        <v>#REF!</v>
      </c>
      <c r="L40" s="530"/>
      <c r="M40" s="523" t="e">
        <f t="shared" si="2"/>
        <v>#REF!</v>
      </c>
      <c r="N40" s="525"/>
      <c r="P40" s="492"/>
      <c r="Q40" s="493"/>
      <c r="U40" s="484" t="s">
        <v>521</v>
      </c>
    </row>
    <row r="41" spans="2:21" s="484" customFormat="1">
      <c r="B41" s="516">
        <v>29</v>
      </c>
      <c r="C41" s="525" t="s">
        <v>466</v>
      </c>
      <c r="D41" s="526" t="e">
        <f>'GF งบเพิ่มเติม'!#REF!</f>
        <v>#REF!</v>
      </c>
      <c r="E41" s="526"/>
      <c r="F41" s="526"/>
      <c r="G41" s="526" t="e">
        <f t="shared" si="0"/>
        <v>#REF!</v>
      </c>
      <c r="H41" s="526"/>
      <c r="I41" s="528" t="e">
        <f>'GF งบเพิ่มเติม'!#REF!</f>
        <v>#REF!</v>
      </c>
      <c r="J41" s="518" t="e">
        <f t="shared" si="1"/>
        <v>#REF!</v>
      </c>
      <c r="K41" s="529" t="e">
        <f>'GF งบเพิ่มเติม'!#REF!</f>
        <v>#REF!</v>
      </c>
      <c r="L41" s="530"/>
      <c r="M41" s="523" t="e">
        <f t="shared" si="2"/>
        <v>#REF!</v>
      </c>
      <c r="N41" s="525"/>
      <c r="P41" s="492"/>
      <c r="Q41" s="493"/>
      <c r="U41" s="484" t="s">
        <v>522</v>
      </c>
    </row>
    <row r="42" spans="2:21" s="484" customFormat="1">
      <c r="B42" s="524">
        <v>30</v>
      </c>
      <c r="C42" s="525" t="s">
        <v>467</v>
      </c>
      <c r="D42" s="526" t="e">
        <f>'GF งบเพิ่มเติม'!#REF!</f>
        <v>#REF!</v>
      </c>
      <c r="E42" s="526"/>
      <c r="F42" s="526"/>
      <c r="G42" s="526" t="e">
        <f t="shared" si="0"/>
        <v>#REF!</v>
      </c>
      <c r="H42" s="526"/>
      <c r="I42" s="528" t="e">
        <f>'GF งบเพิ่มเติม'!#REF!</f>
        <v>#REF!</v>
      </c>
      <c r="J42" s="518" t="e">
        <f t="shared" si="1"/>
        <v>#REF!</v>
      </c>
      <c r="K42" s="529" t="e">
        <f>'GF งบเพิ่มเติม'!#REF!</f>
        <v>#REF!</v>
      </c>
      <c r="L42" s="530"/>
      <c r="M42" s="523" t="e">
        <f t="shared" si="2"/>
        <v>#REF!</v>
      </c>
      <c r="N42" s="525"/>
      <c r="P42" s="492"/>
      <c r="Q42" s="493"/>
      <c r="U42" s="484" t="s">
        <v>523</v>
      </c>
    </row>
    <row r="43" spans="2:21" s="484" customFormat="1">
      <c r="B43" s="516">
        <v>31</v>
      </c>
      <c r="C43" s="525" t="s">
        <v>468</v>
      </c>
      <c r="D43" s="526" t="e">
        <f>'GF งบเพิ่มเติม'!#REF!</f>
        <v>#REF!</v>
      </c>
      <c r="E43" s="526"/>
      <c r="F43" s="526"/>
      <c r="G43" s="526" t="e">
        <f t="shared" si="0"/>
        <v>#REF!</v>
      </c>
      <c r="H43" s="526"/>
      <c r="I43" s="528" t="e">
        <f>'GF งบเพิ่มเติม'!#REF!</f>
        <v>#REF!</v>
      </c>
      <c r="J43" s="518" t="e">
        <f t="shared" si="1"/>
        <v>#REF!</v>
      </c>
      <c r="K43" s="529" t="e">
        <f>'GF งบเพิ่มเติม'!#REF!</f>
        <v>#REF!</v>
      </c>
      <c r="L43" s="530"/>
      <c r="M43" s="523" t="e">
        <f t="shared" si="2"/>
        <v>#REF!</v>
      </c>
      <c r="N43" s="525"/>
      <c r="P43" s="492"/>
      <c r="Q43" s="493"/>
      <c r="U43" s="484" t="s">
        <v>524</v>
      </c>
    </row>
    <row r="44" spans="2:21" s="484" customFormat="1">
      <c r="B44" s="524">
        <v>32</v>
      </c>
      <c r="C44" s="525" t="s">
        <v>469</v>
      </c>
      <c r="D44" s="526" t="e">
        <f>'GF งบเพิ่มเติม'!#REF!</f>
        <v>#REF!</v>
      </c>
      <c r="E44" s="526"/>
      <c r="F44" s="526"/>
      <c r="G44" s="526" t="e">
        <f t="shared" si="0"/>
        <v>#REF!</v>
      </c>
      <c r="H44" s="526"/>
      <c r="I44" s="528" t="e">
        <f>'GF งบเพิ่มเติม'!#REF!</f>
        <v>#REF!</v>
      </c>
      <c r="J44" s="518" t="e">
        <f t="shared" si="1"/>
        <v>#REF!</v>
      </c>
      <c r="K44" s="529" t="e">
        <f>'GF งบเพิ่มเติม'!#REF!</f>
        <v>#REF!</v>
      </c>
      <c r="L44" s="530"/>
      <c r="M44" s="523" t="e">
        <f t="shared" si="2"/>
        <v>#REF!</v>
      </c>
      <c r="N44" s="525"/>
      <c r="P44" s="492"/>
      <c r="Q44" s="493"/>
      <c r="U44" s="484" t="s">
        <v>525</v>
      </c>
    </row>
    <row r="45" spans="2:21" s="484" customFormat="1">
      <c r="B45" s="516">
        <v>33</v>
      </c>
      <c r="C45" s="525" t="s">
        <v>470</v>
      </c>
      <c r="D45" s="526" t="e">
        <f>'GF งบเพิ่มเติม'!#REF!</f>
        <v>#REF!</v>
      </c>
      <c r="E45" s="526"/>
      <c r="F45" s="526"/>
      <c r="G45" s="526" t="e">
        <f t="shared" si="0"/>
        <v>#REF!</v>
      </c>
      <c r="H45" s="526"/>
      <c r="I45" s="528" t="e">
        <f>'GF งบเพิ่มเติม'!#REF!</f>
        <v>#REF!</v>
      </c>
      <c r="J45" s="518" t="e">
        <f t="shared" si="1"/>
        <v>#REF!</v>
      </c>
      <c r="K45" s="529" t="e">
        <f>'GF งบเพิ่มเติม'!#REF!</f>
        <v>#REF!</v>
      </c>
      <c r="L45" s="530"/>
      <c r="M45" s="523" t="e">
        <f t="shared" si="2"/>
        <v>#REF!</v>
      </c>
      <c r="N45" s="525"/>
      <c r="P45" s="492"/>
      <c r="Q45" s="493"/>
      <c r="U45" s="484" t="s">
        <v>526</v>
      </c>
    </row>
    <row r="46" spans="2:21" s="484" customFormat="1">
      <c r="B46" s="524">
        <v>34</v>
      </c>
      <c r="C46" s="525" t="s">
        <v>471</v>
      </c>
      <c r="D46" s="526" t="e">
        <f>'GF งบเพิ่มเติม'!#REF!</f>
        <v>#REF!</v>
      </c>
      <c r="E46" s="526"/>
      <c r="F46" s="526"/>
      <c r="G46" s="526" t="e">
        <f t="shared" si="0"/>
        <v>#REF!</v>
      </c>
      <c r="H46" s="526"/>
      <c r="I46" s="528" t="e">
        <f>'GF งบเพิ่มเติม'!#REF!</f>
        <v>#REF!</v>
      </c>
      <c r="J46" s="518" t="e">
        <f t="shared" si="1"/>
        <v>#REF!</v>
      </c>
      <c r="K46" s="529" t="e">
        <f>'GF งบเพิ่มเติม'!#REF!</f>
        <v>#REF!</v>
      </c>
      <c r="L46" s="530"/>
      <c r="M46" s="523" t="e">
        <f t="shared" si="2"/>
        <v>#REF!</v>
      </c>
      <c r="N46" s="525"/>
      <c r="P46" s="492"/>
      <c r="Q46" s="493"/>
      <c r="U46" s="484" t="s">
        <v>527</v>
      </c>
    </row>
    <row r="47" spans="2:21" s="484" customFormat="1">
      <c r="B47" s="516">
        <v>35</v>
      </c>
      <c r="C47" s="525" t="s">
        <v>472</v>
      </c>
      <c r="D47" s="526" t="e">
        <f>'GF งบเพิ่มเติม'!#REF!</f>
        <v>#REF!</v>
      </c>
      <c r="E47" s="526"/>
      <c r="F47" s="526"/>
      <c r="G47" s="526" t="e">
        <f t="shared" si="0"/>
        <v>#REF!</v>
      </c>
      <c r="H47" s="526"/>
      <c r="I47" s="528" t="e">
        <f>'GF งบเพิ่มเติม'!#REF!</f>
        <v>#REF!</v>
      </c>
      <c r="J47" s="518" t="e">
        <f t="shared" si="1"/>
        <v>#REF!</v>
      </c>
      <c r="K47" s="529" t="e">
        <f>'GF งบเพิ่มเติม'!#REF!</f>
        <v>#REF!</v>
      </c>
      <c r="L47" s="530"/>
      <c r="M47" s="523" t="e">
        <f t="shared" si="2"/>
        <v>#REF!</v>
      </c>
      <c r="N47" s="525"/>
      <c r="P47" s="492"/>
      <c r="Q47" s="493"/>
      <c r="U47" s="484" t="s">
        <v>528</v>
      </c>
    </row>
    <row r="48" spans="2:21" s="484" customFormat="1">
      <c r="B48" s="524">
        <v>36</v>
      </c>
      <c r="C48" s="525" t="s">
        <v>473</v>
      </c>
      <c r="D48" s="526" t="e">
        <f>'GF งบเพิ่มเติม'!#REF!</f>
        <v>#REF!</v>
      </c>
      <c r="E48" s="526"/>
      <c r="F48" s="526"/>
      <c r="G48" s="526" t="e">
        <f t="shared" si="0"/>
        <v>#REF!</v>
      </c>
      <c r="H48" s="526"/>
      <c r="I48" s="528" t="e">
        <f>'GF งบเพิ่มเติม'!#REF!</f>
        <v>#REF!</v>
      </c>
      <c r="J48" s="518" t="e">
        <f t="shared" si="1"/>
        <v>#REF!</v>
      </c>
      <c r="K48" s="529" t="e">
        <f>'GF งบเพิ่มเติม'!#REF!</f>
        <v>#REF!</v>
      </c>
      <c r="L48" s="530"/>
      <c r="M48" s="523" t="e">
        <f t="shared" si="2"/>
        <v>#REF!</v>
      </c>
      <c r="N48" s="525"/>
      <c r="P48" s="492"/>
      <c r="Q48" s="493"/>
      <c r="U48" s="484" t="s">
        <v>529</v>
      </c>
    </row>
    <row r="49" spans="2:21" s="484" customFormat="1">
      <c r="B49" s="516">
        <v>37</v>
      </c>
      <c r="C49" s="525" t="s">
        <v>474</v>
      </c>
      <c r="D49" s="526" t="e">
        <f>'GF งบเพิ่มเติม'!#REF!</f>
        <v>#REF!</v>
      </c>
      <c r="E49" s="526"/>
      <c r="F49" s="526"/>
      <c r="G49" s="526" t="e">
        <f t="shared" si="0"/>
        <v>#REF!</v>
      </c>
      <c r="H49" s="526"/>
      <c r="I49" s="528" t="e">
        <f>'GF งบเพิ่มเติม'!#REF!</f>
        <v>#REF!</v>
      </c>
      <c r="J49" s="518" t="e">
        <f t="shared" si="1"/>
        <v>#REF!</v>
      </c>
      <c r="K49" s="529" t="e">
        <f>'GF งบเพิ่มเติม'!#REF!</f>
        <v>#REF!</v>
      </c>
      <c r="L49" s="530"/>
      <c r="M49" s="523" t="e">
        <f t="shared" si="2"/>
        <v>#REF!</v>
      </c>
      <c r="N49" s="525"/>
      <c r="P49" s="492"/>
      <c r="Q49" s="493"/>
      <c r="U49" s="484" t="s">
        <v>530</v>
      </c>
    </row>
    <row r="50" spans="2:21" s="484" customFormat="1">
      <c r="B50" s="524">
        <v>38</v>
      </c>
      <c r="C50" s="525" t="s">
        <v>475</v>
      </c>
      <c r="D50" s="526" t="e">
        <f>'GF งบเพิ่มเติม'!#REF!</f>
        <v>#REF!</v>
      </c>
      <c r="E50" s="526"/>
      <c r="F50" s="526"/>
      <c r="G50" s="526" t="e">
        <f t="shared" si="0"/>
        <v>#REF!</v>
      </c>
      <c r="H50" s="526"/>
      <c r="I50" s="528" t="e">
        <f>'GF งบเพิ่มเติม'!#REF!</f>
        <v>#REF!</v>
      </c>
      <c r="J50" s="518" t="e">
        <f t="shared" si="1"/>
        <v>#REF!</v>
      </c>
      <c r="K50" s="529" t="e">
        <f>'GF งบเพิ่มเติม'!#REF!</f>
        <v>#REF!</v>
      </c>
      <c r="L50" s="530"/>
      <c r="M50" s="523" t="e">
        <f t="shared" si="2"/>
        <v>#REF!</v>
      </c>
      <c r="N50" s="525"/>
      <c r="P50" s="492"/>
      <c r="Q50" s="493"/>
      <c r="U50" s="484" t="s">
        <v>531</v>
      </c>
    </row>
    <row r="51" spans="2:21" s="484" customFormat="1">
      <c r="B51" s="516">
        <v>39</v>
      </c>
      <c r="C51" s="525" t="s">
        <v>476</v>
      </c>
      <c r="D51" s="526" t="e">
        <f>'GF งบเพิ่มเติม'!#REF!</f>
        <v>#REF!</v>
      </c>
      <c r="E51" s="526"/>
      <c r="F51" s="526"/>
      <c r="G51" s="526" t="e">
        <f t="shared" si="0"/>
        <v>#REF!</v>
      </c>
      <c r="H51" s="526"/>
      <c r="I51" s="528" t="e">
        <f>'GF งบเพิ่มเติม'!#REF!</f>
        <v>#REF!</v>
      </c>
      <c r="J51" s="518" t="e">
        <f t="shared" si="1"/>
        <v>#REF!</v>
      </c>
      <c r="K51" s="529" t="e">
        <f>'GF งบเพิ่มเติม'!#REF!</f>
        <v>#REF!</v>
      </c>
      <c r="L51" s="530"/>
      <c r="M51" s="523" t="e">
        <f t="shared" si="2"/>
        <v>#REF!</v>
      </c>
      <c r="N51" s="525"/>
      <c r="P51" s="492"/>
      <c r="Q51" s="493"/>
      <c r="U51" s="484" t="s">
        <v>532</v>
      </c>
    </row>
    <row r="52" spans="2:21" s="484" customFormat="1">
      <c r="B52" s="524">
        <v>40</v>
      </c>
      <c r="C52" s="532" t="s">
        <v>477</v>
      </c>
      <c r="D52" s="533" t="e">
        <f>'GF งบเพิ่มเติม'!#REF!</f>
        <v>#REF!</v>
      </c>
      <c r="E52" s="533"/>
      <c r="F52" s="534"/>
      <c r="G52" s="526" t="e">
        <f t="shared" si="0"/>
        <v>#REF!</v>
      </c>
      <c r="H52" s="526"/>
      <c r="I52" s="535" t="e">
        <f>'GF งบเพิ่มเติม'!#REF!</f>
        <v>#REF!</v>
      </c>
      <c r="J52" s="518" t="e">
        <f t="shared" si="1"/>
        <v>#REF!</v>
      </c>
      <c r="K52" s="536" t="e">
        <f>'GF งบเพิ่มเติม'!#REF!</f>
        <v>#REF!</v>
      </c>
      <c r="L52" s="537"/>
      <c r="M52" s="523" t="e">
        <f t="shared" si="2"/>
        <v>#REF!</v>
      </c>
      <c r="N52" s="538"/>
      <c r="P52" s="492"/>
      <c r="Q52" s="493"/>
      <c r="U52" s="484" t="s">
        <v>533</v>
      </c>
    </row>
    <row r="53" spans="2:21" s="484" customFormat="1">
      <c r="B53" s="516">
        <v>41</v>
      </c>
      <c r="C53" s="525" t="s">
        <v>478</v>
      </c>
      <c r="D53" s="526" t="e">
        <f>'GF งบเพิ่มเติม'!#REF!</f>
        <v>#REF!</v>
      </c>
      <c r="E53" s="526"/>
      <c r="F53" s="526"/>
      <c r="G53" s="526" t="e">
        <f t="shared" si="0"/>
        <v>#REF!</v>
      </c>
      <c r="H53" s="526"/>
      <c r="I53" s="528" t="e">
        <f>'GF งบเพิ่มเติม'!#REF!</f>
        <v>#REF!</v>
      </c>
      <c r="J53" s="518" t="e">
        <f t="shared" si="1"/>
        <v>#REF!</v>
      </c>
      <c r="K53" s="529" t="e">
        <f>'GF งบเพิ่มเติม'!#REF!</f>
        <v>#REF!</v>
      </c>
      <c r="L53" s="530"/>
      <c r="M53" s="523" t="e">
        <f t="shared" si="2"/>
        <v>#REF!</v>
      </c>
      <c r="N53" s="525"/>
      <c r="P53" s="492"/>
      <c r="Q53" s="493"/>
      <c r="U53" s="484" t="s">
        <v>534</v>
      </c>
    </row>
    <row r="54" spans="2:21" s="484" customFormat="1">
      <c r="B54" s="524">
        <v>42</v>
      </c>
      <c r="C54" s="525" t="s">
        <v>479</v>
      </c>
      <c r="D54" s="526" t="e">
        <f>'GF งบเพิ่มเติม'!#REF!</f>
        <v>#REF!</v>
      </c>
      <c r="E54" s="526"/>
      <c r="F54" s="526"/>
      <c r="G54" s="526" t="e">
        <f t="shared" si="0"/>
        <v>#REF!</v>
      </c>
      <c r="H54" s="526"/>
      <c r="I54" s="528" t="e">
        <f>'GF งบเพิ่มเติม'!#REF!</f>
        <v>#REF!</v>
      </c>
      <c r="J54" s="518" t="e">
        <f t="shared" si="1"/>
        <v>#REF!</v>
      </c>
      <c r="K54" s="529" t="e">
        <f>'GF งบเพิ่มเติม'!#REF!</f>
        <v>#REF!</v>
      </c>
      <c r="L54" s="530"/>
      <c r="M54" s="523" t="e">
        <f t="shared" si="2"/>
        <v>#REF!</v>
      </c>
      <c r="N54" s="525"/>
      <c r="P54" s="492"/>
      <c r="Q54" s="493"/>
      <c r="U54" s="484" t="s">
        <v>535</v>
      </c>
    </row>
    <row r="55" spans="2:21" s="484" customFormat="1" ht="21" customHeight="1">
      <c r="B55" s="516">
        <v>43</v>
      </c>
      <c r="C55" s="532" t="s">
        <v>480</v>
      </c>
      <c r="D55" s="533" t="e">
        <f>'GF งบเพิ่มเติม'!#REF!</f>
        <v>#REF!</v>
      </c>
      <c r="E55" s="533"/>
      <c r="F55" s="534"/>
      <c r="G55" s="526" t="e">
        <f t="shared" si="0"/>
        <v>#REF!</v>
      </c>
      <c r="H55" s="526"/>
      <c r="I55" s="535" t="e">
        <f>'GF งบเพิ่มเติม'!#REF!</f>
        <v>#REF!</v>
      </c>
      <c r="J55" s="518" t="e">
        <f t="shared" si="1"/>
        <v>#REF!</v>
      </c>
      <c r="K55" s="536" t="e">
        <f>'GF งบเพิ่มเติม'!#REF!</f>
        <v>#REF!</v>
      </c>
      <c r="L55" s="537"/>
      <c r="M55" s="523" t="e">
        <f t="shared" si="2"/>
        <v>#REF!</v>
      </c>
      <c r="N55" s="538"/>
      <c r="P55" s="492"/>
      <c r="Q55" s="493"/>
      <c r="U55" s="484" t="s">
        <v>536</v>
      </c>
    </row>
    <row r="56" spans="2:21" s="484" customFormat="1">
      <c r="B56" s="524">
        <v>44</v>
      </c>
      <c r="C56" s="525" t="s">
        <v>481</v>
      </c>
      <c r="D56" s="526" t="e">
        <f>'GF งบเพิ่มเติม'!#REF!</f>
        <v>#REF!</v>
      </c>
      <c r="E56" s="526"/>
      <c r="F56" s="526"/>
      <c r="G56" s="526" t="e">
        <f t="shared" si="0"/>
        <v>#REF!</v>
      </c>
      <c r="H56" s="526"/>
      <c r="I56" s="528" t="e">
        <f>'GF งบเพิ่มเติม'!#REF!</f>
        <v>#REF!</v>
      </c>
      <c r="J56" s="518" t="e">
        <f t="shared" si="1"/>
        <v>#REF!</v>
      </c>
      <c r="K56" s="529" t="e">
        <f>'GF งบเพิ่มเติม'!#REF!</f>
        <v>#REF!</v>
      </c>
      <c r="L56" s="530"/>
      <c r="M56" s="523" t="e">
        <f t="shared" si="2"/>
        <v>#REF!</v>
      </c>
      <c r="N56" s="525"/>
      <c r="P56" s="492"/>
      <c r="Q56" s="493"/>
      <c r="U56" s="484" t="s">
        <v>537</v>
      </c>
    </row>
    <row r="57" spans="2:21" s="484" customFormat="1">
      <c r="B57" s="516">
        <v>45</v>
      </c>
      <c r="C57" s="525" t="s">
        <v>482</v>
      </c>
      <c r="D57" s="526" t="e">
        <f>'GF งบเพิ่มเติม'!#REF!</f>
        <v>#REF!</v>
      </c>
      <c r="E57" s="526"/>
      <c r="F57" s="526"/>
      <c r="G57" s="526" t="e">
        <f t="shared" si="0"/>
        <v>#REF!</v>
      </c>
      <c r="H57" s="526"/>
      <c r="I57" s="528" t="e">
        <f>'GF งบเพิ่มเติม'!#REF!</f>
        <v>#REF!</v>
      </c>
      <c r="J57" s="518" t="e">
        <f t="shared" si="1"/>
        <v>#REF!</v>
      </c>
      <c r="K57" s="529" t="e">
        <f>'GF งบเพิ่มเติม'!#REF!</f>
        <v>#REF!</v>
      </c>
      <c r="L57" s="530"/>
      <c r="M57" s="523" t="e">
        <f t="shared" si="2"/>
        <v>#REF!</v>
      </c>
      <c r="N57" s="525"/>
      <c r="P57" s="492"/>
      <c r="Q57" s="493"/>
      <c r="U57" s="484" t="s">
        <v>538</v>
      </c>
    </row>
    <row r="58" spans="2:21" s="484" customFormat="1" ht="33.75" hidden="1" customHeight="1">
      <c r="B58" s="524">
        <v>46</v>
      </c>
      <c r="C58" s="532"/>
      <c r="D58" s="533"/>
      <c r="E58" s="533"/>
      <c r="F58" s="534"/>
      <c r="G58" s="526">
        <f t="shared" si="0"/>
        <v>0</v>
      </c>
      <c r="H58" s="526"/>
      <c r="I58" s="537"/>
      <c r="J58" s="518" t="e">
        <f t="shared" si="1"/>
        <v>#DIV/0!</v>
      </c>
      <c r="K58" s="536"/>
      <c r="L58" s="537"/>
      <c r="M58" s="523">
        <f t="shared" si="2"/>
        <v>0</v>
      </c>
      <c r="N58" s="538"/>
      <c r="P58" s="492"/>
      <c r="Q58" s="493"/>
    </row>
    <row r="59" spans="2:21" s="484" customFormat="1" ht="30.75" hidden="1" customHeight="1">
      <c r="B59" s="516">
        <v>47</v>
      </c>
      <c r="C59" s="532"/>
      <c r="D59" s="533"/>
      <c r="E59" s="533"/>
      <c r="F59" s="534"/>
      <c r="G59" s="526">
        <f t="shared" si="0"/>
        <v>0</v>
      </c>
      <c r="H59" s="526"/>
      <c r="I59" s="537"/>
      <c r="J59" s="518" t="e">
        <f t="shared" si="1"/>
        <v>#DIV/0!</v>
      </c>
      <c r="K59" s="536"/>
      <c r="L59" s="537"/>
      <c r="M59" s="523">
        <f t="shared" si="2"/>
        <v>0</v>
      </c>
      <c r="N59" s="538"/>
      <c r="P59" s="492"/>
      <c r="Q59" s="493"/>
    </row>
    <row r="60" spans="2:21" s="484" customFormat="1" ht="30.75" hidden="1" customHeight="1">
      <c r="B60" s="524">
        <v>48</v>
      </c>
      <c r="C60" s="532"/>
      <c r="D60" s="533"/>
      <c r="E60" s="533"/>
      <c r="F60" s="534"/>
      <c r="G60" s="526">
        <f t="shared" si="0"/>
        <v>0</v>
      </c>
      <c r="H60" s="526"/>
      <c r="I60" s="537"/>
      <c r="J60" s="518" t="e">
        <f t="shared" si="1"/>
        <v>#DIV/0!</v>
      </c>
      <c r="K60" s="536"/>
      <c r="L60" s="537"/>
      <c r="M60" s="523">
        <f t="shared" si="2"/>
        <v>0</v>
      </c>
      <c r="N60" s="538"/>
      <c r="P60" s="492"/>
      <c r="Q60" s="493"/>
    </row>
    <row r="61" spans="2:21" s="484" customFormat="1" hidden="1">
      <c r="B61" s="516">
        <v>49</v>
      </c>
      <c r="C61" s="525"/>
      <c r="D61" s="526"/>
      <c r="E61" s="526"/>
      <c r="F61" s="526"/>
      <c r="G61" s="526">
        <f t="shared" si="0"/>
        <v>0</v>
      </c>
      <c r="H61" s="526"/>
      <c r="I61" s="530"/>
      <c r="J61" s="518" t="e">
        <f t="shared" si="1"/>
        <v>#DIV/0!</v>
      </c>
      <c r="K61" s="529"/>
      <c r="L61" s="530"/>
      <c r="M61" s="523">
        <f t="shared" si="2"/>
        <v>0</v>
      </c>
      <c r="N61" s="525"/>
      <c r="P61" s="492"/>
      <c r="Q61" s="493"/>
    </row>
    <row r="62" spans="2:21" s="484" customFormat="1" hidden="1">
      <c r="B62" s="524">
        <v>50</v>
      </c>
      <c r="C62" s="532"/>
      <c r="D62" s="533"/>
      <c r="E62" s="533"/>
      <c r="F62" s="534"/>
      <c r="G62" s="526">
        <f t="shared" si="0"/>
        <v>0</v>
      </c>
      <c r="H62" s="526"/>
      <c r="I62" s="535"/>
      <c r="J62" s="518" t="e">
        <f t="shared" si="1"/>
        <v>#DIV/0!</v>
      </c>
      <c r="K62" s="536"/>
      <c r="L62" s="537"/>
      <c r="M62" s="523">
        <f t="shared" si="2"/>
        <v>0</v>
      </c>
      <c r="N62" s="538"/>
      <c r="P62" s="492"/>
      <c r="Q62" s="493"/>
    </row>
    <row r="63" spans="2:21" s="484" customFormat="1" ht="34.5" hidden="1" customHeight="1">
      <c r="B63" s="516">
        <v>51</v>
      </c>
      <c r="C63" s="539"/>
      <c r="D63" s="540"/>
      <c r="E63" s="540"/>
      <c r="F63" s="541"/>
      <c r="G63" s="526">
        <f>+E63-H63</f>
        <v>0</v>
      </c>
      <c r="H63" s="541"/>
      <c r="I63" s="542"/>
      <c r="J63" s="518" t="e">
        <f t="shared" si="1"/>
        <v>#DIV/0!</v>
      </c>
      <c r="K63" s="543"/>
      <c r="L63" s="542"/>
      <c r="M63" s="523">
        <f t="shared" si="2"/>
        <v>0</v>
      </c>
      <c r="N63" s="540"/>
      <c r="O63" s="448"/>
      <c r="P63" s="544"/>
      <c r="Q63" s="476"/>
      <c r="R63" s="448"/>
      <c r="S63" s="448"/>
      <c r="T63" s="448"/>
    </row>
    <row r="64" spans="2:21" s="484" customFormat="1" hidden="1">
      <c r="B64" s="524">
        <v>52</v>
      </c>
      <c r="C64" s="532"/>
      <c r="D64" s="533"/>
      <c r="E64" s="533"/>
      <c r="F64" s="534"/>
      <c r="G64" s="526">
        <f t="shared" ref="G64:G78" si="3">+D64-H64</f>
        <v>0</v>
      </c>
      <c r="H64" s="526"/>
      <c r="I64" s="535"/>
      <c r="J64" s="518" t="e">
        <f t="shared" si="1"/>
        <v>#DIV/0!</v>
      </c>
      <c r="K64" s="536"/>
      <c r="L64" s="537"/>
      <c r="M64" s="523">
        <f t="shared" si="2"/>
        <v>0</v>
      </c>
      <c r="N64" s="538"/>
      <c r="P64" s="492"/>
      <c r="Q64" s="493"/>
    </row>
    <row r="65" spans="2:17" s="484" customFormat="1" ht="29.25" hidden="1" customHeight="1">
      <c r="B65" s="516">
        <v>53</v>
      </c>
      <c r="C65" s="532"/>
      <c r="D65" s="533"/>
      <c r="E65" s="533"/>
      <c r="F65" s="534"/>
      <c r="G65" s="526">
        <f t="shared" si="3"/>
        <v>0</v>
      </c>
      <c r="H65" s="526"/>
      <c r="I65" s="537"/>
      <c r="J65" s="518" t="e">
        <f t="shared" si="1"/>
        <v>#DIV/0!</v>
      </c>
      <c r="K65" s="536"/>
      <c r="L65" s="537"/>
      <c r="M65" s="523">
        <f t="shared" si="2"/>
        <v>0</v>
      </c>
      <c r="N65" s="538"/>
      <c r="P65" s="492"/>
      <c r="Q65" s="493"/>
    </row>
    <row r="66" spans="2:17" s="484" customFormat="1" hidden="1">
      <c r="B66" s="524">
        <v>54</v>
      </c>
      <c r="C66" s="532"/>
      <c r="D66" s="533"/>
      <c r="E66" s="533"/>
      <c r="F66" s="534"/>
      <c r="G66" s="526">
        <f t="shared" si="3"/>
        <v>0</v>
      </c>
      <c r="H66" s="526"/>
      <c r="I66" s="537"/>
      <c r="J66" s="518" t="e">
        <f t="shared" si="1"/>
        <v>#DIV/0!</v>
      </c>
      <c r="K66" s="536"/>
      <c r="L66" s="537"/>
      <c r="M66" s="523">
        <f t="shared" si="2"/>
        <v>0</v>
      </c>
      <c r="N66" s="538"/>
      <c r="P66" s="492"/>
      <c r="Q66" s="493"/>
    </row>
    <row r="67" spans="2:17" s="484" customFormat="1" hidden="1">
      <c r="B67" s="516">
        <v>55</v>
      </c>
      <c r="C67" s="525"/>
      <c r="D67" s="526"/>
      <c r="E67" s="526"/>
      <c r="F67" s="526"/>
      <c r="G67" s="526">
        <f t="shared" si="3"/>
        <v>0</v>
      </c>
      <c r="H67" s="526"/>
      <c r="I67" s="528"/>
      <c r="J67" s="518" t="e">
        <f t="shared" si="1"/>
        <v>#DIV/0!</v>
      </c>
      <c r="K67" s="529"/>
      <c r="L67" s="530"/>
      <c r="M67" s="523">
        <f t="shared" si="2"/>
        <v>0</v>
      </c>
      <c r="N67" s="525"/>
      <c r="P67" s="492"/>
      <c r="Q67" s="493"/>
    </row>
    <row r="68" spans="2:17" s="484" customFormat="1" hidden="1">
      <c r="B68" s="524">
        <v>56</v>
      </c>
      <c r="C68" s="525"/>
      <c r="D68" s="526"/>
      <c r="E68" s="526"/>
      <c r="F68" s="526"/>
      <c r="G68" s="526">
        <f t="shared" si="3"/>
        <v>0</v>
      </c>
      <c r="H68" s="526"/>
      <c r="I68" s="528"/>
      <c r="J68" s="518" t="e">
        <f t="shared" si="1"/>
        <v>#DIV/0!</v>
      </c>
      <c r="K68" s="529"/>
      <c r="L68" s="530"/>
      <c r="M68" s="523">
        <f t="shared" si="2"/>
        <v>0</v>
      </c>
      <c r="N68" s="525"/>
      <c r="P68" s="492"/>
      <c r="Q68" s="493"/>
    </row>
    <row r="69" spans="2:17" s="484" customFormat="1" hidden="1">
      <c r="B69" s="516">
        <v>57</v>
      </c>
      <c r="C69" s="525"/>
      <c r="D69" s="526"/>
      <c r="E69" s="526"/>
      <c r="F69" s="526"/>
      <c r="G69" s="526">
        <f t="shared" si="3"/>
        <v>0</v>
      </c>
      <c r="H69" s="526"/>
      <c r="I69" s="528"/>
      <c r="J69" s="518" t="e">
        <f t="shared" si="1"/>
        <v>#DIV/0!</v>
      </c>
      <c r="K69" s="529"/>
      <c r="L69" s="530"/>
      <c r="M69" s="523">
        <f t="shared" si="2"/>
        <v>0</v>
      </c>
      <c r="N69" s="525"/>
      <c r="P69" s="492"/>
      <c r="Q69" s="493"/>
    </row>
    <row r="70" spans="2:17" s="484" customFormat="1" hidden="1">
      <c r="B70" s="524">
        <v>58</v>
      </c>
      <c r="C70" s="532"/>
      <c r="D70" s="533"/>
      <c r="E70" s="533"/>
      <c r="F70" s="534"/>
      <c r="G70" s="526">
        <f t="shared" si="3"/>
        <v>0</v>
      </c>
      <c r="H70" s="526"/>
      <c r="I70" s="535"/>
      <c r="J70" s="518" t="e">
        <f t="shared" si="1"/>
        <v>#DIV/0!</v>
      </c>
      <c r="K70" s="536"/>
      <c r="L70" s="537"/>
      <c r="M70" s="523">
        <f t="shared" si="2"/>
        <v>0</v>
      </c>
      <c r="N70" s="538"/>
      <c r="P70" s="492"/>
      <c r="Q70" s="493"/>
    </row>
    <row r="71" spans="2:17" s="484" customFormat="1" hidden="1">
      <c r="B71" s="516">
        <v>59</v>
      </c>
      <c r="C71" s="525"/>
      <c r="D71" s="526"/>
      <c r="E71" s="526"/>
      <c r="F71" s="526"/>
      <c r="G71" s="526">
        <f t="shared" si="3"/>
        <v>0</v>
      </c>
      <c r="H71" s="526"/>
      <c r="I71" s="528"/>
      <c r="J71" s="518" t="e">
        <f t="shared" si="1"/>
        <v>#DIV/0!</v>
      </c>
      <c r="K71" s="529"/>
      <c r="L71" s="530"/>
      <c r="M71" s="523">
        <f t="shared" si="2"/>
        <v>0</v>
      </c>
      <c r="N71" s="525"/>
      <c r="P71" s="492"/>
      <c r="Q71" s="493"/>
    </row>
    <row r="72" spans="2:17" s="484" customFormat="1" hidden="1">
      <c r="B72" s="524">
        <v>60</v>
      </c>
      <c r="C72" s="525"/>
      <c r="D72" s="526"/>
      <c r="E72" s="526"/>
      <c r="F72" s="526"/>
      <c r="G72" s="526">
        <f t="shared" si="3"/>
        <v>0</v>
      </c>
      <c r="H72" s="526"/>
      <c r="I72" s="528"/>
      <c r="J72" s="518" t="e">
        <f t="shared" si="1"/>
        <v>#DIV/0!</v>
      </c>
      <c r="K72" s="529"/>
      <c r="L72" s="530"/>
      <c r="M72" s="523">
        <f t="shared" si="2"/>
        <v>0</v>
      </c>
      <c r="N72" s="525"/>
      <c r="P72" s="492"/>
      <c r="Q72" s="493"/>
    </row>
    <row r="73" spans="2:17" s="484" customFormat="1" hidden="1">
      <c r="B73" s="516">
        <v>61</v>
      </c>
      <c r="C73" s="525"/>
      <c r="D73" s="526"/>
      <c r="E73" s="526"/>
      <c r="F73" s="526"/>
      <c r="G73" s="526">
        <f t="shared" si="3"/>
        <v>0</v>
      </c>
      <c r="H73" s="526"/>
      <c r="I73" s="528"/>
      <c r="J73" s="518" t="e">
        <f t="shared" si="1"/>
        <v>#DIV/0!</v>
      </c>
      <c r="K73" s="529"/>
      <c r="L73" s="530"/>
      <c r="M73" s="523">
        <f t="shared" si="2"/>
        <v>0</v>
      </c>
      <c r="N73" s="525"/>
      <c r="P73" s="492"/>
      <c r="Q73" s="493"/>
    </row>
    <row r="74" spans="2:17" s="484" customFormat="1" hidden="1">
      <c r="B74" s="524">
        <v>62</v>
      </c>
      <c r="C74" s="525"/>
      <c r="D74" s="526"/>
      <c r="E74" s="526"/>
      <c r="F74" s="526"/>
      <c r="G74" s="526">
        <f t="shared" si="3"/>
        <v>0</v>
      </c>
      <c r="H74" s="526"/>
      <c r="I74" s="528"/>
      <c r="J74" s="518" t="e">
        <f t="shared" si="1"/>
        <v>#DIV/0!</v>
      </c>
      <c r="K74" s="529"/>
      <c r="L74" s="530"/>
      <c r="M74" s="523">
        <f t="shared" si="2"/>
        <v>0</v>
      </c>
      <c r="N74" s="525"/>
      <c r="P74" s="492"/>
      <c r="Q74" s="493"/>
    </row>
    <row r="75" spans="2:17" s="484" customFormat="1" hidden="1">
      <c r="B75" s="516">
        <v>63</v>
      </c>
      <c r="C75" s="525"/>
      <c r="D75" s="526"/>
      <c r="E75" s="526"/>
      <c r="F75" s="526"/>
      <c r="G75" s="526">
        <f t="shared" si="3"/>
        <v>0</v>
      </c>
      <c r="H75" s="526"/>
      <c r="I75" s="528"/>
      <c r="J75" s="518" t="e">
        <f t="shared" si="1"/>
        <v>#DIV/0!</v>
      </c>
      <c r="K75" s="529"/>
      <c r="L75" s="530"/>
      <c r="M75" s="523">
        <f t="shared" si="2"/>
        <v>0</v>
      </c>
      <c r="N75" s="525"/>
      <c r="P75" s="492"/>
      <c r="Q75" s="493"/>
    </row>
    <row r="76" spans="2:17" s="484" customFormat="1" hidden="1">
      <c r="B76" s="524">
        <v>64</v>
      </c>
      <c r="C76" s="525"/>
      <c r="D76" s="526"/>
      <c r="E76" s="526"/>
      <c r="F76" s="526"/>
      <c r="G76" s="526">
        <f t="shared" si="3"/>
        <v>0</v>
      </c>
      <c r="H76" s="526"/>
      <c r="I76" s="528"/>
      <c r="J76" s="518" t="e">
        <f t="shared" si="1"/>
        <v>#DIV/0!</v>
      </c>
      <c r="K76" s="529"/>
      <c r="L76" s="530"/>
      <c r="M76" s="523">
        <f t="shared" si="2"/>
        <v>0</v>
      </c>
      <c r="N76" s="525"/>
      <c r="P76" s="492"/>
      <c r="Q76" s="493"/>
    </row>
    <row r="77" spans="2:17" s="484" customFormat="1" hidden="1">
      <c r="B77" s="516">
        <v>65</v>
      </c>
      <c r="C77" s="525"/>
      <c r="D77" s="526"/>
      <c r="E77" s="526"/>
      <c r="F77" s="526"/>
      <c r="G77" s="526">
        <f t="shared" si="3"/>
        <v>0</v>
      </c>
      <c r="H77" s="526"/>
      <c r="I77" s="528"/>
      <c r="J77" s="518" t="e">
        <f t="shared" ref="J77:J112" si="4">+I77*100/G77</f>
        <v>#DIV/0!</v>
      </c>
      <c r="K77" s="529"/>
      <c r="L77" s="530"/>
      <c r="M77" s="523">
        <f t="shared" si="2"/>
        <v>0</v>
      </c>
      <c r="N77" s="525"/>
      <c r="P77" s="492"/>
      <c r="Q77" s="493"/>
    </row>
    <row r="78" spans="2:17" s="484" customFormat="1" hidden="1">
      <c r="B78" s="524">
        <v>66</v>
      </c>
      <c r="C78" s="525"/>
      <c r="D78" s="526"/>
      <c r="E78" s="530"/>
      <c r="F78" s="530"/>
      <c r="G78" s="526">
        <f t="shared" si="3"/>
        <v>0</v>
      </c>
      <c r="H78" s="526"/>
      <c r="I78" s="528"/>
      <c r="J78" s="518" t="e">
        <f t="shared" si="4"/>
        <v>#DIV/0!</v>
      </c>
      <c r="K78" s="529"/>
      <c r="L78" s="530"/>
      <c r="M78" s="523">
        <f t="shared" ref="M78:M112" si="5">+D78-I78-K78</f>
        <v>0</v>
      </c>
      <c r="N78" s="525"/>
      <c r="P78" s="492"/>
      <c r="Q78" s="493"/>
    </row>
    <row r="79" spans="2:17" s="484" customFormat="1" hidden="1">
      <c r="B79" s="516">
        <v>67</v>
      </c>
      <c r="C79" s="545"/>
      <c r="D79" s="533"/>
      <c r="E79" s="546"/>
      <c r="F79" s="547"/>
      <c r="G79" s="526">
        <f>+D79-H79-F79</f>
        <v>0</v>
      </c>
      <c r="H79" s="526"/>
      <c r="I79" s="535"/>
      <c r="J79" s="518" t="e">
        <f t="shared" si="4"/>
        <v>#DIV/0!</v>
      </c>
      <c r="K79" s="536"/>
      <c r="L79" s="537"/>
      <c r="M79" s="523">
        <f t="shared" si="5"/>
        <v>0</v>
      </c>
      <c r="N79" s="538"/>
      <c r="P79" s="492"/>
      <c r="Q79" s="493"/>
    </row>
    <row r="80" spans="2:17" s="484" customFormat="1" hidden="1">
      <c r="B80" s="524">
        <v>68</v>
      </c>
      <c r="C80" s="545"/>
      <c r="D80" s="533"/>
      <c r="E80" s="546"/>
      <c r="F80" s="547"/>
      <c r="G80" s="526">
        <f t="shared" ref="G80:G85" si="6">+D80-H80</f>
        <v>0</v>
      </c>
      <c r="H80" s="526"/>
      <c r="I80" s="535"/>
      <c r="J80" s="518" t="e">
        <f t="shared" si="4"/>
        <v>#DIV/0!</v>
      </c>
      <c r="K80" s="536"/>
      <c r="L80" s="537"/>
      <c r="M80" s="523">
        <f t="shared" si="5"/>
        <v>0</v>
      </c>
      <c r="N80" s="538"/>
      <c r="P80" s="492"/>
      <c r="Q80" s="493"/>
    </row>
    <row r="81" spans="2:17" s="484" customFormat="1" hidden="1">
      <c r="B81" s="516">
        <v>69</v>
      </c>
      <c r="C81" s="545"/>
      <c r="D81" s="548"/>
      <c r="E81" s="549"/>
      <c r="F81" s="547"/>
      <c r="G81" s="526">
        <f t="shared" si="6"/>
        <v>0</v>
      </c>
      <c r="H81" s="526"/>
      <c r="I81" s="535"/>
      <c r="J81" s="518" t="e">
        <f t="shared" si="4"/>
        <v>#DIV/0!</v>
      </c>
      <c r="K81" s="536"/>
      <c r="L81" s="537"/>
      <c r="M81" s="523">
        <f t="shared" si="5"/>
        <v>0</v>
      </c>
      <c r="N81" s="538"/>
      <c r="P81" s="492" t="s">
        <v>483</v>
      </c>
      <c r="Q81" s="493"/>
    </row>
    <row r="82" spans="2:17" s="484" customFormat="1" hidden="1">
      <c r="B82" s="524">
        <v>70</v>
      </c>
      <c r="C82" s="545"/>
      <c r="D82" s="533"/>
      <c r="E82" s="546"/>
      <c r="F82" s="547"/>
      <c r="G82" s="526">
        <f t="shared" si="6"/>
        <v>0</v>
      </c>
      <c r="H82" s="526"/>
      <c r="I82" s="535"/>
      <c r="J82" s="518" t="e">
        <f t="shared" si="4"/>
        <v>#DIV/0!</v>
      </c>
      <c r="K82" s="536"/>
      <c r="L82" s="537"/>
      <c r="M82" s="523">
        <f t="shared" si="5"/>
        <v>0</v>
      </c>
      <c r="N82" s="538"/>
      <c r="P82" s="492" t="s">
        <v>484</v>
      </c>
      <c r="Q82" s="493"/>
    </row>
    <row r="83" spans="2:17" s="484" customFormat="1" hidden="1">
      <c r="B83" s="516">
        <v>71</v>
      </c>
      <c r="C83" s="545"/>
      <c r="D83" s="533"/>
      <c r="E83" s="546"/>
      <c r="F83" s="547"/>
      <c r="G83" s="526">
        <f t="shared" si="6"/>
        <v>0</v>
      </c>
      <c r="H83" s="526"/>
      <c r="I83" s="535"/>
      <c r="J83" s="518" t="e">
        <f t="shared" si="4"/>
        <v>#DIV/0!</v>
      </c>
      <c r="K83" s="536"/>
      <c r="L83" s="537"/>
      <c r="M83" s="523">
        <f t="shared" si="5"/>
        <v>0</v>
      </c>
      <c r="N83" s="538"/>
      <c r="P83" s="492"/>
      <c r="Q83" s="493"/>
    </row>
    <row r="84" spans="2:17" s="484" customFormat="1" hidden="1">
      <c r="B84" s="524">
        <v>72</v>
      </c>
      <c r="C84" s="545"/>
      <c r="D84" s="533"/>
      <c r="E84" s="546"/>
      <c r="F84" s="547"/>
      <c r="G84" s="526">
        <f t="shared" si="6"/>
        <v>0</v>
      </c>
      <c r="H84" s="526"/>
      <c r="I84" s="535"/>
      <c r="J84" s="518" t="e">
        <f t="shared" si="4"/>
        <v>#DIV/0!</v>
      </c>
      <c r="K84" s="536"/>
      <c r="L84" s="537"/>
      <c r="M84" s="523">
        <f t="shared" si="5"/>
        <v>0</v>
      </c>
      <c r="N84" s="538"/>
      <c r="P84" s="492"/>
      <c r="Q84" s="493"/>
    </row>
    <row r="85" spans="2:17" s="484" customFormat="1" hidden="1">
      <c r="B85" s="516">
        <v>73</v>
      </c>
      <c r="C85" s="550"/>
      <c r="D85" s="526"/>
      <c r="E85" s="530"/>
      <c r="F85" s="530"/>
      <c r="G85" s="526">
        <f t="shared" si="6"/>
        <v>0</v>
      </c>
      <c r="H85" s="526"/>
      <c r="I85" s="528"/>
      <c r="J85" s="518" t="e">
        <f t="shared" si="4"/>
        <v>#DIV/0!</v>
      </c>
      <c r="K85" s="529"/>
      <c r="L85" s="530"/>
      <c r="M85" s="523">
        <f t="shared" si="5"/>
        <v>0</v>
      </c>
      <c r="N85" s="525"/>
      <c r="P85" s="492"/>
      <c r="Q85" s="493"/>
    </row>
    <row r="86" spans="2:17" s="484" customFormat="1" hidden="1">
      <c r="B86" s="524">
        <v>74</v>
      </c>
      <c r="C86" s="550"/>
      <c r="D86" s="526"/>
      <c r="E86" s="526"/>
      <c r="F86" s="526"/>
      <c r="G86" s="526">
        <f>+D86-H86-F86</f>
        <v>0</v>
      </c>
      <c r="H86" s="526"/>
      <c r="I86" s="528"/>
      <c r="J86" s="518" t="e">
        <f t="shared" si="4"/>
        <v>#DIV/0!</v>
      </c>
      <c r="K86" s="529"/>
      <c r="L86" s="530"/>
      <c r="M86" s="523">
        <f t="shared" si="5"/>
        <v>0</v>
      </c>
      <c r="N86" s="525"/>
      <c r="P86" s="492"/>
      <c r="Q86" s="493"/>
    </row>
    <row r="87" spans="2:17" s="484" customFormat="1" hidden="1">
      <c r="B87" s="516">
        <v>75</v>
      </c>
      <c r="C87" s="550"/>
      <c r="D87" s="526"/>
      <c r="E87" s="526"/>
      <c r="F87" s="526"/>
      <c r="G87" s="526">
        <f>+D87-H87</f>
        <v>0</v>
      </c>
      <c r="H87" s="526"/>
      <c r="I87" s="528"/>
      <c r="J87" s="518" t="e">
        <f t="shared" si="4"/>
        <v>#DIV/0!</v>
      </c>
      <c r="K87" s="529"/>
      <c r="L87" s="530"/>
      <c r="M87" s="523">
        <f t="shared" si="5"/>
        <v>0</v>
      </c>
      <c r="N87" s="525"/>
      <c r="P87" s="492"/>
      <c r="Q87" s="493"/>
    </row>
    <row r="88" spans="2:17" s="484" customFormat="1" ht="45.75" hidden="1" customHeight="1">
      <c r="B88" s="524">
        <v>76</v>
      </c>
      <c r="C88" s="550"/>
      <c r="D88" s="526"/>
      <c r="E88" s="526"/>
      <c r="F88" s="526"/>
      <c r="G88" s="526">
        <f>+D88-H88</f>
        <v>0</v>
      </c>
      <c r="H88" s="526"/>
      <c r="I88" s="528"/>
      <c r="J88" s="518" t="e">
        <f t="shared" si="4"/>
        <v>#DIV/0!</v>
      </c>
      <c r="K88" s="529"/>
      <c r="L88" s="530"/>
      <c r="M88" s="523">
        <f t="shared" si="5"/>
        <v>0</v>
      </c>
      <c r="N88" s="525"/>
      <c r="P88" s="492"/>
      <c r="Q88" s="493"/>
    </row>
    <row r="89" spans="2:17" s="484" customFormat="1" hidden="1">
      <c r="B89" s="516">
        <v>77</v>
      </c>
      <c r="C89" s="545"/>
      <c r="D89" s="533"/>
      <c r="E89" s="533"/>
      <c r="F89" s="534"/>
      <c r="G89" s="526">
        <f>+D89-H89</f>
        <v>0</v>
      </c>
      <c r="H89" s="526"/>
      <c r="I89" s="535"/>
      <c r="J89" s="518" t="e">
        <f t="shared" si="4"/>
        <v>#DIV/0!</v>
      </c>
      <c r="K89" s="536"/>
      <c r="L89" s="537"/>
      <c r="M89" s="523">
        <f t="shared" si="5"/>
        <v>0</v>
      </c>
      <c r="N89" s="538"/>
      <c r="P89" s="492"/>
      <c r="Q89" s="493"/>
    </row>
    <row r="90" spans="2:17" s="484" customFormat="1" hidden="1">
      <c r="B90" s="524">
        <v>78</v>
      </c>
      <c r="C90" s="545"/>
      <c r="D90" s="533"/>
      <c r="E90" s="533"/>
      <c r="F90" s="534"/>
      <c r="G90" s="526">
        <f>+D90-H90-F90</f>
        <v>0</v>
      </c>
      <c r="H90" s="526"/>
      <c r="I90" s="535"/>
      <c r="J90" s="518" t="e">
        <f t="shared" si="4"/>
        <v>#DIV/0!</v>
      </c>
      <c r="K90" s="536"/>
      <c r="L90" s="537"/>
      <c r="M90" s="523">
        <f t="shared" si="5"/>
        <v>0</v>
      </c>
      <c r="N90" s="538"/>
      <c r="P90" s="492" t="s">
        <v>485</v>
      </c>
      <c r="Q90" s="493"/>
    </row>
    <row r="91" spans="2:17" s="484" customFormat="1" hidden="1">
      <c r="B91" s="516">
        <v>79</v>
      </c>
      <c r="C91" s="545"/>
      <c r="D91" s="533"/>
      <c r="E91" s="533"/>
      <c r="F91" s="534"/>
      <c r="G91" s="526">
        <f>+D91-H91</f>
        <v>0</v>
      </c>
      <c r="H91" s="526"/>
      <c r="I91" s="535"/>
      <c r="J91" s="518" t="e">
        <f t="shared" si="4"/>
        <v>#DIV/0!</v>
      </c>
      <c r="K91" s="536"/>
      <c r="L91" s="537"/>
      <c r="M91" s="523">
        <f t="shared" si="5"/>
        <v>0</v>
      </c>
      <c r="N91" s="538"/>
      <c r="P91" s="492" t="s">
        <v>486</v>
      </c>
      <c r="Q91" s="493"/>
    </row>
    <row r="92" spans="2:17" s="484" customFormat="1" hidden="1">
      <c r="B92" s="524">
        <v>80</v>
      </c>
      <c r="C92" s="545"/>
      <c r="D92" s="533"/>
      <c r="E92" s="533"/>
      <c r="F92" s="534"/>
      <c r="G92" s="526">
        <f>+D92-H92</f>
        <v>0</v>
      </c>
      <c r="H92" s="526"/>
      <c r="I92" s="535"/>
      <c r="J92" s="518" t="e">
        <f t="shared" si="4"/>
        <v>#DIV/0!</v>
      </c>
      <c r="K92" s="536"/>
      <c r="L92" s="537"/>
      <c r="M92" s="523">
        <f t="shared" si="5"/>
        <v>0</v>
      </c>
      <c r="N92" s="538"/>
      <c r="P92" s="492" t="s">
        <v>487</v>
      </c>
      <c r="Q92" s="493"/>
    </row>
    <row r="93" spans="2:17" s="484" customFormat="1" ht="56.25" hidden="1" customHeight="1">
      <c r="B93" s="516">
        <v>81</v>
      </c>
      <c r="C93" s="545"/>
      <c r="D93" s="533"/>
      <c r="E93" s="533"/>
      <c r="F93" s="534"/>
      <c r="G93" s="526">
        <f>+D93-H93</f>
        <v>0</v>
      </c>
      <c r="H93" s="526"/>
      <c r="I93" s="535"/>
      <c r="J93" s="518" t="e">
        <f t="shared" si="4"/>
        <v>#DIV/0!</v>
      </c>
      <c r="K93" s="536"/>
      <c r="L93" s="537"/>
      <c r="M93" s="523">
        <f t="shared" si="5"/>
        <v>0</v>
      </c>
      <c r="N93" s="538"/>
      <c r="P93" s="492" t="s">
        <v>488</v>
      </c>
      <c r="Q93" s="493"/>
    </row>
    <row r="94" spans="2:17" s="484" customFormat="1" ht="52.5" hidden="1" customHeight="1">
      <c r="B94" s="524">
        <v>82</v>
      </c>
      <c r="C94" s="551"/>
      <c r="D94" s="534"/>
      <c r="E94" s="534"/>
      <c r="F94" s="534"/>
      <c r="G94" s="526">
        <f>+D94-H94</f>
        <v>0</v>
      </c>
      <c r="H94" s="526"/>
      <c r="I94" s="535"/>
      <c r="J94" s="518" t="e">
        <f t="shared" si="4"/>
        <v>#DIV/0!</v>
      </c>
      <c r="K94" s="536"/>
      <c r="L94" s="537"/>
      <c r="M94" s="523">
        <f t="shared" si="5"/>
        <v>0</v>
      </c>
      <c r="N94" s="538"/>
      <c r="P94" s="492" t="s">
        <v>489</v>
      </c>
      <c r="Q94" s="493"/>
    </row>
    <row r="95" spans="2:17" s="484" customFormat="1" hidden="1">
      <c r="B95" s="516">
        <v>83</v>
      </c>
      <c r="C95" s="551"/>
      <c r="D95" s="534"/>
      <c r="E95" s="534"/>
      <c r="F95" s="534"/>
      <c r="G95" s="526">
        <f>+D95-H95-F95</f>
        <v>0</v>
      </c>
      <c r="H95" s="526"/>
      <c r="I95" s="535"/>
      <c r="J95" s="518" t="e">
        <f t="shared" si="4"/>
        <v>#DIV/0!</v>
      </c>
      <c r="K95" s="536"/>
      <c r="L95" s="537"/>
      <c r="M95" s="523">
        <f t="shared" si="5"/>
        <v>0</v>
      </c>
      <c r="N95" s="538"/>
      <c r="P95" s="492" t="s">
        <v>488</v>
      </c>
      <c r="Q95" s="493"/>
    </row>
    <row r="96" spans="2:17" s="484" customFormat="1" hidden="1">
      <c r="B96" s="524">
        <v>84</v>
      </c>
      <c r="C96" s="551"/>
      <c r="D96" s="534"/>
      <c r="E96" s="534"/>
      <c r="F96" s="534"/>
      <c r="G96" s="526">
        <f>+D96-H96-F96</f>
        <v>0</v>
      </c>
      <c r="H96" s="526"/>
      <c r="I96" s="535"/>
      <c r="J96" s="518" t="e">
        <f t="shared" si="4"/>
        <v>#DIV/0!</v>
      </c>
      <c r="K96" s="536"/>
      <c r="L96" s="537"/>
      <c r="M96" s="523">
        <f t="shared" si="5"/>
        <v>0</v>
      </c>
      <c r="N96" s="538"/>
      <c r="P96" s="492" t="s">
        <v>490</v>
      </c>
      <c r="Q96" s="493"/>
    </row>
    <row r="97" spans="2:20" s="484" customFormat="1" hidden="1">
      <c r="B97" s="516">
        <v>85</v>
      </c>
      <c r="C97" s="550"/>
      <c r="D97" s="526"/>
      <c r="E97" s="526"/>
      <c r="F97" s="526"/>
      <c r="G97" s="526">
        <f>+D97-H97</f>
        <v>0</v>
      </c>
      <c r="H97" s="526"/>
      <c r="I97" s="528"/>
      <c r="J97" s="518" t="e">
        <f t="shared" si="4"/>
        <v>#DIV/0!</v>
      </c>
      <c r="K97" s="529"/>
      <c r="L97" s="530"/>
      <c r="M97" s="523">
        <f t="shared" si="5"/>
        <v>0</v>
      </c>
      <c r="N97" s="525"/>
      <c r="P97" s="492"/>
      <c r="Q97" s="493"/>
    </row>
    <row r="98" spans="2:20" s="484" customFormat="1" hidden="1">
      <c r="B98" s="524">
        <v>86</v>
      </c>
      <c r="C98" s="550"/>
      <c r="D98" s="526"/>
      <c r="E98" s="526"/>
      <c r="F98" s="526"/>
      <c r="G98" s="526">
        <f>+D98-H98</f>
        <v>0</v>
      </c>
      <c r="H98" s="526"/>
      <c r="I98" s="528"/>
      <c r="J98" s="518" t="e">
        <f t="shared" si="4"/>
        <v>#DIV/0!</v>
      </c>
      <c r="K98" s="529"/>
      <c r="L98" s="530"/>
      <c r="M98" s="523">
        <f t="shared" si="5"/>
        <v>0</v>
      </c>
      <c r="N98" s="525"/>
      <c r="P98" s="492"/>
      <c r="Q98" s="493"/>
    </row>
    <row r="99" spans="2:20" s="484" customFormat="1" hidden="1">
      <c r="B99" s="516">
        <v>87</v>
      </c>
      <c r="C99" s="525"/>
      <c r="D99" s="526"/>
      <c r="E99" s="526"/>
      <c r="F99" s="526"/>
      <c r="G99" s="526">
        <f>+D99-H99</f>
        <v>0</v>
      </c>
      <c r="H99" s="526"/>
      <c r="I99" s="528"/>
      <c r="J99" s="552" t="e">
        <f t="shared" si="4"/>
        <v>#DIV/0!</v>
      </c>
      <c r="K99" s="530"/>
      <c r="L99" s="530"/>
      <c r="M99" s="523">
        <f t="shared" si="5"/>
        <v>0</v>
      </c>
      <c r="N99" s="525"/>
      <c r="P99" s="492"/>
      <c r="Q99" s="493"/>
    </row>
    <row r="100" spans="2:20" s="553" customFormat="1" hidden="1">
      <c r="B100" s="524">
        <v>88</v>
      </c>
      <c r="C100" s="525"/>
      <c r="D100" s="526"/>
      <c r="E100" s="526"/>
      <c r="F100" s="526"/>
      <c r="G100" s="526">
        <f>+D100-H100</f>
        <v>0</v>
      </c>
      <c r="H100" s="526"/>
      <c r="I100" s="528"/>
      <c r="J100" s="554" t="e">
        <f t="shared" si="4"/>
        <v>#DIV/0!</v>
      </c>
      <c r="K100" s="530"/>
      <c r="L100" s="526"/>
      <c r="M100" s="523">
        <f t="shared" si="5"/>
        <v>0</v>
      </c>
      <c r="N100" s="525"/>
      <c r="O100" s="555"/>
      <c r="P100" s="556"/>
      <c r="Q100" s="557"/>
      <c r="R100" s="555"/>
      <c r="S100" s="555"/>
      <c r="T100" s="555"/>
    </row>
    <row r="101" spans="2:20" s="484" customFormat="1" hidden="1">
      <c r="B101" s="516">
        <v>89</v>
      </c>
      <c r="C101" s="532"/>
      <c r="D101" s="533"/>
      <c r="E101" s="533"/>
      <c r="F101" s="534"/>
      <c r="G101" s="526">
        <f>+D101-H101-F101</f>
        <v>0</v>
      </c>
      <c r="H101" s="526"/>
      <c r="I101" s="535"/>
      <c r="J101" s="554" t="e">
        <f t="shared" si="4"/>
        <v>#DIV/0!</v>
      </c>
      <c r="K101" s="537"/>
      <c r="L101" s="537"/>
      <c r="M101" s="523">
        <f t="shared" si="5"/>
        <v>0</v>
      </c>
      <c r="N101" s="538"/>
      <c r="P101" s="492" t="s">
        <v>491</v>
      </c>
      <c r="Q101" s="493"/>
    </row>
    <row r="102" spans="2:20" s="484" customFormat="1" hidden="1">
      <c r="B102" s="558">
        <v>90</v>
      </c>
      <c r="C102" s="525"/>
      <c r="D102" s="526"/>
      <c r="E102" s="526"/>
      <c r="F102" s="526"/>
      <c r="G102" s="526">
        <f>+D102-H102-F102</f>
        <v>0</v>
      </c>
      <c r="H102" s="526"/>
      <c r="I102" s="528"/>
      <c r="J102" s="554" t="e">
        <f t="shared" si="4"/>
        <v>#DIV/0!</v>
      </c>
      <c r="K102" s="530"/>
      <c r="L102" s="530"/>
      <c r="M102" s="523">
        <f t="shared" si="5"/>
        <v>0</v>
      </c>
      <c r="N102" s="525"/>
      <c r="P102" s="492"/>
      <c r="Q102" s="493"/>
    </row>
    <row r="103" spans="2:20" s="484" customFormat="1" hidden="1">
      <c r="B103" s="558">
        <v>91</v>
      </c>
      <c r="C103" s="559"/>
      <c r="D103" s="526"/>
      <c r="E103" s="526"/>
      <c r="F103" s="526"/>
      <c r="G103" s="526">
        <f>+D103-H103-F103</f>
        <v>0</v>
      </c>
      <c r="H103" s="526"/>
      <c r="I103" s="528"/>
      <c r="J103" s="554" t="e">
        <f t="shared" si="4"/>
        <v>#DIV/0!</v>
      </c>
      <c r="K103" s="530"/>
      <c r="L103" s="530"/>
      <c r="M103" s="523">
        <f t="shared" si="5"/>
        <v>0</v>
      </c>
      <c r="N103" s="525"/>
      <c r="P103" s="492" t="s">
        <v>492</v>
      </c>
      <c r="Q103" s="493"/>
    </row>
    <row r="104" spans="2:20" s="484" customFormat="1" ht="45.75" hidden="1" customHeight="1">
      <c r="B104" s="558">
        <v>92</v>
      </c>
      <c r="C104" s="532"/>
      <c r="D104" s="533"/>
      <c r="E104" s="533"/>
      <c r="F104" s="534"/>
      <c r="G104" s="526">
        <f>+D104-H104-F104</f>
        <v>0</v>
      </c>
      <c r="H104" s="526"/>
      <c r="I104" s="535"/>
      <c r="J104" s="554" t="e">
        <f t="shared" si="4"/>
        <v>#DIV/0!</v>
      </c>
      <c r="K104" s="537"/>
      <c r="L104" s="537"/>
      <c r="M104" s="523">
        <f t="shared" si="5"/>
        <v>0</v>
      </c>
      <c r="N104" s="538"/>
      <c r="P104" s="492"/>
      <c r="Q104" s="493"/>
    </row>
    <row r="105" spans="2:20" s="560" customFormat="1" hidden="1">
      <c r="B105" s="524"/>
      <c r="C105" s="545"/>
      <c r="D105" s="533"/>
      <c r="E105" s="533"/>
      <c r="F105" s="534"/>
      <c r="G105" s="533"/>
      <c r="H105" s="526"/>
      <c r="I105" s="535"/>
      <c r="J105" s="554" t="e">
        <f t="shared" si="4"/>
        <v>#DIV/0!</v>
      </c>
      <c r="K105" s="537"/>
      <c r="L105" s="537"/>
      <c r="M105" s="523">
        <f t="shared" si="5"/>
        <v>0</v>
      </c>
      <c r="N105" s="538"/>
      <c r="P105" s="561"/>
      <c r="Q105" s="562"/>
    </row>
    <row r="106" spans="2:20" s="484" customFormat="1" hidden="1">
      <c r="B106" s="524"/>
      <c r="C106" s="545"/>
      <c r="D106" s="533"/>
      <c r="E106" s="533"/>
      <c r="F106" s="534"/>
      <c r="G106" s="533"/>
      <c r="H106" s="526"/>
      <c r="I106" s="535"/>
      <c r="J106" s="554" t="e">
        <f t="shared" si="4"/>
        <v>#DIV/0!</v>
      </c>
      <c r="K106" s="537"/>
      <c r="L106" s="537"/>
      <c r="M106" s="523">
        <f t="shared" si="5"/>
        <v>0</v>
      </c>
      <c r="N106" s="538"/>
      <c r="P106" s="492"/>
      <c r="Q106" s="493"/>
    </row>
    <row r="107" spans="2:20" s="484" customFormat="1" hidden="1">
      <c r="B107" s="524"/>
      <c r="C107" s="545"/>
      <c r="D107" s="533"/>
      <c r="E107" s="533"/>
      <c r="F107" s="534"/>
      <c r="G107" s="533"/>
      <c r="H107" s="526"/>
      <c r="I107" s="535"/>
      <c r="J107" s="554" t="e">
        <f t="shared" si="4"/>
        <v>#DIV/0!</v>
      </c>
      <c r="K107" s="537"/>
      <c r="L107" s="537"/>
      <c r="M107" s="523">
        <f t="shared" si="5"/>
        <v>0</v>
      </c>
      <c r="N107" s="538"/>
      <c r="P107" s="492"/>
      <c r="Q107" s="493"/>
    </row>
    <row r="108" spans="2:20" s="555" customFormat="1" hidden="1">
      <c r="B108" s="558">
        <v>93</v>
      </c>
      <c r="C108" s="550"/>
      <c r="D108" s="526"/>
      <c r="E108" s="526"/>
      <c r="F108" s="526"/>
      <c r="G108" s="526">
        <f>+D108-H108</f>
        <v>0</v>
      </c>
      <c r="H108" s="526"/>
      <c r="I108" s="528"/>
      <c r="J108" s="554" t="e">
        <f t="shared" si="4"/>
        <v>#DIV/0!</v>
      </c>
      <c r="K108" s="530"/>
      <c r="L108" s="530"/>
      <c r="M108" s="523">
        <f t="shared" si="5"/>
        <v>0</v>
      </c>
      <c r="N108" s="525"/>
      <c r="P108" s="556"/>
      <c r="Q108" s="557"/>
    </row>
    <row r="109" spans="2:20" s="563" customFormat="1" ht="33" hidden="1" customHeight="1">
      <c r="B109" s="558">
        <v>94</v>
      </c>
      <c r="C109" s="564"/>
      <c r="D109" s="541"/>
      <c r="E109" s="541"/>
      <c r="F109" s="541"/>
      <c r="G109" s="526">
        <f>+D109-H109</f>
        <v>0</v>
      </c>
      <c r="H109" s="541"/>
      <c r="I109" s="542"/>
      <c r="J109" s="554" t="e">
        <f t="shared" si="4"/>
        <v>#DIV/0!</v>
      </c>
      <c r="K109" s="542"/>
      <c r="L109" s="541"/>
      <c r="M109" s="523">
        <f t="shared" si="5"/>
        <v>0</v>
      </c>
      <c r="N109" s="538"/>
      <c r="P109" s="565"/>
      <c r="Q109" s="566"/>
    </row>
    <row r="110" spans="2:20" s="560" customFormat="1" ht="33" hidden="1" customHeight="1">
      <c r="B110" s="524">
        <v>95</v>
      </c>
      <c r="C110" s="564"/>
      <c r="D110" s="541"/>
      <c r="E110" s="541"/>
      <c r="F110" s="541"/>
      <c r="G110" s="526">
        <f>+D110-H110</f>
        <v>0</v>
      </c>
      <c r="H110" s="541"/>
      <c r="I110" s="542"/>
      <c r="J110" s="554" t="e">
        <f t="shared" si="4"/>
        <v>#DIV/0!</v>
      </c>
      <c r="K110" s="542"/>
      <c r="L110" s="541"/>
      <c r="M110" s="523">
        <f t="shared" si="5"/>
        <v>0</v>
      </c>
      <c r="N110" s="538"/>
      <c r="P110" s="567"/>
      <c r="Q110" s="562"/>
    </row>
    <row r="111" spans="2:20" s="484" customFormat="1" ht="33" hidden="1" customHeight="1">
      <c r="B111" s="524">
        <v>96</v>
      </c>
      <c r="C111" s="568"/>
      <c r="D111" s="541"/>
      <c r="E111" s="541"/>
      <c r="F111" s="541"/>
      <c r="G111" s="526">
        <f>+D111-H111</f>
        <v>0</v>
      </c>
      <c r="H111" s="541"/>
      <c r="I111" s="542"/>
      <c r="J111" s="554" t="e">
        <f t="shared" si="4"/>
        <v>#DIV/0!</v>
      </c>
      <c r="K111" s="542"/>
      <c r="L111" s="541"/>
      <c r="M111" s="523">
        <f t="shared" si="5"/>
        <v>0</v>
      </c>
      <c r="N111" s="538"/>
      <c r="P111" s="569"/>
      <c r="Q111" s="493"/>
    </row>
    <row r="112" spans="2:20" s="484" customFormat="1" ht="23.25" customHeight="1">
      <c r="B112" s="570"/>
      <c r="C112" s="571"/>
      <c r="D112" s="572"/>
      <c r="E112" s="572"/>
      <c r="F112" s="572"/>
      <c r="G112" s="573">
        <f>+D112-H112</f>
        <v>0</v>
      </c>
      <c r="H112" s="573"/>
      <c r="I112" s="574"/>
      <c r="J112" s="575" t="e">
        <f t="shared" si="4"/>
        <v>#DIV/0!</v>
      </c>
      <c r="K112" s="576"/>
      <c r="L112" s="576"/>
      <c r="M112" s="523">
        <f t="shared" si="5"/>
        <v>0</v>
      </c>
      <c r="N112" s="577"/>
      <c r="P112" s="492" t="s">
        <v>493</v>
      </c>
      <c r="Q112" s="493"/>
    </row>
    <row r="114" spans="4:6">
      <c r="F114" s="578"/>
    </row>
    <row r="115" spans="4:6">
      <c r="D115" s="579"/>
      <c r="E115" s="579"/>
      <c r="F115" s="580"/>
    </row>
  </sheetData>
  <mergeCells count="16">
    <mergeCell ref="N7:N8"/>
    <mergeCell ref="B2:N2"/>
    <mergeCell ref="B3:N3"/>
    <mergeCell ref="B4:N4"/>
    <mergeCell ref="B5:N5"/>
    <mergeCell ref="B7:B8"/>
    <mergeCell ref="C7:C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  <pageSetup scale="65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39"/>
  <sheetViews>
    <sheetView zoomScale="70" zoomScaleNormal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26" sqref="E26"/>
    </sheetView>
  </sheetViews>
  <sheetFormatPr defaultRowHeight="15"/>
  <cols>
    <col min="1" max="1" width="4.42578125" style="420" customWidth="1"/>
    <col min="2" max="2" width="16.140625" style="421" bestFit="1" customWidth="1"/>
    <col min="3" max="3" width="15" style="420" bestFit="1" customWidth="1"/>
    <col min="4" max="4" width="14.28515625" style="420" bestFit="1" customWidth="1"/>
    <col min="5" max="5" width="15" style="420" bestFit="1" customWidth="1"/>
    <col min="6" max="6" width="15" style="421" bestFit="1" customWidth="1"/>
    <col min="7" max="8" width="15" style="420" bestFit="1" customWidth="1"/>
    <col min="9" max="9" width="18.7109375" style="420" bestFit="1" customWidth="1"/>
    <col min="10" max="10" width="12.28515625" style="420" bestFit="1" customWidth="1"/>
    <col min="11" max="16384" width="9.140625" style="420"/>
  </cols>
  <sheetData>
    <row r="1" spans="1:10" ht="27.75">
      <c r="A1" s="172"/>
      <c r="B1" s="179"/>
      <c r="C1" s="172"/>
      <c r="D1" s="172"/>
      <c r="E1" s="172"/>
      <c r="F1" s="179"/>
      <c r="G1" s="172"/>
      <c r="H1" s="172"/>
      <c r="I1" s="172"/>
    </row>
    <row r="2" spans="1:10" ht="27.75">
      <c r="A2" s="172"/>
      <c r="B2" s="139" t="s">
        <v>402</v>
      </c>
      <c r="C2" s="424" t="s">
        <v>342</v>
      </c>
      <c r="D2" s="425" t="s">
        <v>343</v>
      </c>
      <c r="E2" s="425" t="s">
        <v>344</v>
      </c>
      <c r="F2" s="431" t="s">
        <v>347</v>
      </c>
      <c r="G2" s="425" t="s">
        <v>357</v>
      </c>
      <c r="H2" s="425" t="s">
        <v>358</v>
      </c>
      <c r="I2" s="426" t="s">
        <v>359</v>
      </c>
      <c r="J2" s="19"/>
    </row>
    <row r="3" spans="1:10" ht="12" customHeight="1">
      <c r="A3" s="172"/>
      <c r="B3" s="139"/>
      <c r="C3" s="424"/>
      <c r="D3" s="427"/>
      <c r="E3" s="427"/>
      <c r="F3" s="224"/>
      <c r="G3" s="427"/>
      <c r="H3" s="427"/>
      <c r="I3" s="427"/>
      <c r="J3" s="19"/>
    </row>
    <row r="4" spans="1:10" ht="27.75">
      <c r="A4" s="172"/>
      <c r="B4" s="428">
        <v>37784086</v>
      </c>
      <c r="C4" s="429">
        <v>16552200</v>
      </c>
      <c r="D4" s="428">
        <v>4302400</v>
      </c>
      <c r="E4" s="428"/>
      <c r="F4" s="18"/>
      <c r="G4" s="428">
        <v>45000</v>
      </c>
      <c r="H4" s="428">
        <v>903500</v>
      </c>
      <c r="I4" s="428">
        <v>38400</v>
      </c>
      <c r="J4" s="19"/>
    </row>
    <row r="5" spans="1:10" ht="27.75">
      <c r="A5" s="172"/>
      <c r="B5" s="428">
        <v>137139786</v>
      </c>
      <c r="C5" s="428">
        <v>37628000</v>
      </c>
      <c r="D5" s="428"/>
      <c r="E5" s="428"/>
      <c r="F5" s="18"/>
      <c r="G5" s="428">
        <v>5000</v>
      </c>
      <c r="H5" s="428">
        <v>1300000</v>
      </c>
      <c r="I5" s="428">
        <v>96000</v>
      </c>
      <c r="J5" s="19"/>
    </row>
    <row r="6" spans="1:10" ht="27.75">
      <c r="A6" s="172"/>
      <c r="B6" s="428">
        <v>6292930</v>
      </c>
      <c r="C6" s="428"/>
      <c r="D6" s="428"/>
      <c r="E6" s="428"/>
      <c r="F6" s="18"/>
      <c r="G6" s="428">
        <v>300000</v>
      </c>
      <c r="H6" s="428">
        <v>445400</v>
      </c>
      <c r="I6" s="428"/>
      <c r="J6" s="19"/>
    </row>
    <row r="7" spans="1:10" ht="27.75">
      <c r="A7" s="172"/>
      <c r="B7" s="428"/>
      <c r="C7" s="428"/>
      <c r="D7" s="428"/>
      <c r="E7" s="428"/>
      <c r="F7" s="18"/>
      <c r="G7" s="428">
        <v>400000</v>
      </c>
      <c r="H7" s="428">
        <v>151100</v>
      </c>
      <c r="I7" s="428"/>
      <c r="J7" s="19"/>
    </row>
    <row r="8" spans="1:10" ht="27.75">
      <c r="A8" s="172"/>
      <c r="B8" s="428"/>
      <c r="C8" s="428"/>
      <c r="D8" s="428"/>
      <c r="E8" s="428"/>
      <c r="F8" s="18"/>
      <c r="G8" s="428">
        <v>529000</v>
      </c>
      <c r="H8" s="428">
        <v>3140000</v>
      </c>
      <c r="I8" s="428"/>
      <c r="J8" s="19"/>
    </row>
    <row r="9" spans="1:10" ht="27.75">
      <c r="A9" s="172"/>
      <c r="B9" s="428"/>
      <c r="C9" s="428"/>
      <c r="D9" s="428"/>
      <c r="E9" s="428"/>
      <c r="F9" s="18"/>
      <c r="G9" s="428">
        <v>26789.24</v>
      </c>
      <c r="H9" s="428">
        <v>7460000</v>
      </c>
      <c r="I9" s="428"/>
      <c r="J9" s="19"/>
    </row>
    <row r="10" spans="1:10" ht="27.75">
      <c r="A10" s="172"/>
      <c r="B10" s="428"/>
      <c r="C10" s="428"/>
      <c r="D10" s="428"/>
      <c r="E10" s="428"/>
      <c r="F10" s="18"/>
      <c r="G10" s="428">
        <v>197200</v>
      </c>
      <c r="H10" s="428">
        <v>4935000</v>
      </c>
      <c r="I10" s="428"/>
      <c r="J10" s="19"/>
    </row>
    <row r="11" spans="1:10" ht="27.75">
      <c r="A11" s="172"/>
      <c r="B11" s="428"/>
      <c r="C11" s="428"/>
      <c r="D11" s="428"/>
      <c r="E11" s="428"/>
      <c r="F11" s="18"/>
      <c r="G11" s="428">
        <v>300000</v>
      </c>
      <c r="H11" s="428"/>
      <c r="I11" s="428"/>
      <c r="J11" s="19"/>
    </row>
    <row r="12" spans="1:10" ht="27.75">
      <c r="A12" s="172"/>
      <c r="B12" s="428"/>
      <c r="C12" s="428"/>
      <c r="D12" s="428"/>
      <c r="E12" s="428"/>
      <c r="F12" s="18"/>
      <c r="G12" s="18">
        <v>35464.19</v>
      </c>
      <c r="H12" s="428"/>
      <c r="I12" s="428"/>
      <c r="J12" s="19"/>
    </row>
    <row r="13" spans="1:10" ht="27.75">
      <c r="A13" s="172"/>
      <c r="B13" s="428"/>
      <c r="C13" s="428"/>
      <c r="D13" s="428"/>
      <c r="E13" s="428"/>
      <c r="F13" s="18"/>
      <c r="G13" s="428">
        <v>1158960</v>
      </c>
      <c r="H13" s="428"/>
      <c r="I13" s="428"/>
      <c r="J13" s="19"/>
    </row>
    <row r="14" spans="1:10" ht="27.75">
      <c r="A14" s="172"/>
      <c r="B14" s="428"/>
      <c r="C14" s="428"/>
      <c r="D14" s="428"/>
      <c r="E14" s="428"/>
      <c r="F14" s="18"/>
      <c r="G14" s="428">
        <v>600000</v>
      </c>
      <c r="H14" s="428"/>
      <c r="I14" s="428"/>
      <c r="J14" s="19"/>
    </row>
    <row r="15" spans="1:10" ht="27.75">
      <c r="A15" s="172"/>
      <c r="B15" s="434">
        <f>SUM(B4:B14)</f>
        <v>181216802</v>
      </c>
      <c r="C15" s="434">
        <f t="shared" ref="C15:I15" si="0">SUM(C4:C14)</f>
        <v>54180200</v>
      </c>
      <c r="D15" s="434">
        <f t="shared" si="0"/>
        <v>4302400</v>
      </c>
      <c r="E15" s="434">
        <f t="shared" si="0"/>
        <v>0</v>
      </c>
      <c r="F15" s="171">
        <f t="shared" si="0"/>
        <v>0</v>
      </c>
      <c r="G15" s="434">
        <f t="shared" si="0"/>
        <v>3597413.4299999997</v>
      </c>
      <c r="H15" s="434">
        <f t="shared" si="0"/>
        <v>18335000</v>
      </c>
      <c r="I15" s="434">
        <f t="shared" si="0"/>
        <v>134400</v>
      </c>
      <c r="J15" s="423"/>
    </row>
    <row r="16" spans="1:10" ht="27.75">
      <c r="A16" s="172"/>
      <c r="I16" s="172"/>
      <c r="J16" s="422"/>
    </row>
    <row r="17" spans="1:11" ht="27.75">
      <c r="A17" s="172"/>
      <c r="B17" s="18">
        <v>37784086</v>
      </c>
      <c r="C17" s="18">
        <v>14872000</v>
      </c>
      <c r="D17" s="18">
        <v>3928186</v>
      </c>
      <c r="E17" s="18">
        <v>33900</v>
      </c>
      <c r="F17" s="18"/>
      <c r="G17" s="19"/>
      <c r="H17" s="19"/>
      <c r="I17" s="172"/>
    </row>
    <row r="18" spans="1:11" ht="27.75">
      <c r="A18" s="172"/>
      <c r="B18" s="179"/>
      <c r="C18" s="172"/>
      <c r="D18" s="172"/>
      <c r="E18" s="18">
        <v>18950000</v>
      </c>
      <c r="F18" s="179"/>
      <c r="G18" s="172"/>
      <c r="H18" s="172"/>
      <c r="I18" s="172"/>
    </row>
    <row r="19" spans="1:11" ht="27.75">
      <c r="A19" s="172"/>
      <c r="B19" s="179"/>
      <c r="C19" s="433">
        <f>+C17</f>
        <v>14872000</v>
      </c>
      <c r="D19" s="433">
        <f>+D17</f>
        <v>3928186</v>
      </c>
      <c r="E19" s="433">
        <f>SUM(E17:E18)</f>
        <v>18983900</v>
      </c>
      <c r="F19" s="179"/>
      <c r="G19" s="172"/>
      <c r="H19" s="172"/>
      <c r="I19" s="172"/>
    </row>
    <row r="20" spans="1:11" ht="27.75">
      <c r="A20" s="172"/>
      <c r="B20" s="430">
        <v>137139786</v>
      </c>
      <c r="C20" s="430"/>
      <c r="D20" s="430"/>
      <c r="E20" s="430"/>
      <c r="F20" s="430">
        <v>18390000</v>
      </c>
      <c r="G20" s="430">
        <v>18996040</v>
      </c>
      <c r="H20" s="430">
        <v>27585000</v>
      </c>
      <c r="I20" s="430">
        <v>20920000</v>
      </c>
      <c r="J20" s="430"/>
      <c r="K20" s="160"/>
    </row>
    <row r="21" spans="1:11" ht="27.75">
      <c r="A21" s="172"/>
      <c r="B21" s="430"/>
      <c r="C21" s="430"/>
      <c r="D21" s="430"/>
      <c r="E21" s="430"/>
      <c r="F21" s="430">
        <v>21052000</v>
      </c>
      <c r="G21" s="430">
        <v>4608000</v>
      </c>
      <c r="H21" s="430">
        <v>6144000</v>
      </c>
      <c r="I21" s="430">
        <v>9408000</v>
      </c>
      <c r="J21" s="430"/>
      <c r="K21" s="160"/>
    </row>
    <row r="22" spans="1:11" ht="24">
      <c r="B22" s="430"/>
      <c r="C22" s="430"/>
      <c r="D22" s="430"/>
      <c r="E22" s="430"/>
      <c r="F22" s="430">
        <v>4616653</v>
      </c>
      <c r="G22" s="430">
        <v>1720000</v>
      </c>
      <c r="H22" s="430">
        <v>1720000</v>
      </c>
      <c r="I22" s="430">
        <v>1720000</v>
      </c>
      <c r="J22" s="430"/>
      <c r="K22" s="160"/>
    </row>
    <row r="23" spans="1:11" ht="24">
      <c r="B23" s="430"/>
      <c r="C23" s="430"/>
      <c r="D23" s="430"/>
      <c r="E23" s="430"/>
      <c r="F23" s="430"/>
      <c r="G23" s="430"/>
      <c r="H23" s="430"/>
      <c r="I23" s="430">
        <v>260093</v>
      </c>
      <c r="J23" s="430"/>
      <c r="K23" s="160"/>
    </row>
    <row r="24" spans="1:11" ht="24">
      <c r="B24" s="430"/>
      <c r="C24" s="430"/>
      <c r="D24" s="430"/>
      <c r="E24" s="430"/>
      <c r="F24" s="432">
        <f>SUM(F20:F23)</f>
        <v>44058653</v>
      </c>
      <c r="G24" s="432">
        <f>SUM(G20:G23)</f>
        <v>25324040</v>
      </c>
      <c r="H24" s="432">
        <f>SUM(H20:H23)</f>
        <v>35449000</v>
      </c>
      <c r="I24" s="432">
        <f>SUM(I20:I23)</f>
        <v>32308093</v>
      </c>
      <c r="J24" s="430"/>
      <c r="K24" s="160"/>
    </row>
    <row r="25" spans="1:11" ht="24">
      <c r="C25" s="430"/>
      <c r="D25" s="430"/>
      <c r="E25" s="430"/>
      <c r="F25" s="430"/>
      <c r="G25" s="430"/>
      <c r="H25" s="430"/>
      <c r="I25" s="430"/>
      <c r="J25" s="430"/>
      <c r="K25" s="160"/>
    </row>
    <row r="26" spans="1:11" ht="24">
      <c r="B26" s="428">
        <v>6292930</v>
      </c>
      <c r="C26" s="430"/>
      <c r="D26" s="430"/>
      <c r="E26" s="430"/>
      <c r="F26" s="432">
        <v>4660603</v>
      </c>
      <c r="G26" s="432">
        <v>792648</v>
      </c>
      <c r="H26" s="432"/>
      <c r="I26" s="432">
        <v>839679</v>
      </c>
      <c r="J26" s="430"/>
      <c r="K26" s="160"/>
    </row>
    <row r="27" spans="1:11" ht="24">
      <c r="B27" s="430"/>
      <c r="C27" s="430"/>
      <c r="D27" s="430"/>
      <c r="E27" s="430"/>
      <c r="F27" s="430"/>
      <c r="G27" s="430"/>
      <c r="H27" s="430"/>
      <c r="I27" s="430"/>
      <c r="J27" s="430"/>
      <c r="K27" s="160"/>
    </row>
    <row r="28" spans="1:11" ht="24">
      <c r="B28" s="430"/>
      <c r="C28" s="430"/>
      <c r="D28" s="430"/>
      <c r="E28" s="430"/>
      <c r="F28" s="430"/>
      <c r="G28" s="430"/>
      <c r="H28" s="430"/>
      <c r="I28" s="430"/>
      <c r="J28" s="430"/>
      <c r="K28" s="160"/>
    </row>
    <row r="29" spans="1:11" ht="24">
      <c r="B29" s="432" t="s">
        <v>403</v>
      </c>
      <c r="C29" s="432">
        <f>+C15+C19</f>
        <v>69052200</v>
      </c>
      <c r="D29" s="432">
        <f>+D15+D19</f>
        <v>8230586</v>
      </c>
      <c r="E29" s="432">
        <f>+E19</f>
        <v>18983900</v>
      </c>
      <c r="F29" s="432">
        <f>+F24+F26</f>
        <v>48719256</v>
      </c>
      <c r="G29" s="432">
        <f>+G15+G24+G26</f>
        <v>29714101.43</v>
      </c>
      <c r="H29" s="432">
        <f>+H15+H24+H26</f>
        <v>53784000</v>
      </c>
      <c r="I29" s="432">
        <f>+I26+I24+I15</f>
        <v>33282172</v>
      </c>
      <c r="J29" s="430"/>
      <c r="K29" s="160"/>
    </row>
    <row r="30" spans="1:11" ht="24">
      <c r="B30" s="430"/>
      <c r="C30" s="430"/>
      <c r="D30" s="430"/>
      <c r="E30" s="430"/>
      <c r="F30" s="430"/>
      <c r="G30" s="430"/>
      <c r="H30" s="430"/>
      <c r="I30" s="430"/>
      <c r="J30" s="430"/>
      <c r="K30" s="160"/>
    </row>
    <row r="31" spans="1:11" ht="26.25">
      <c r="B31" s="430"/>
      <c r="C31" s="430"/>
      <c r="D31" s="430"/>
      <c r="E31" s="430"/>
      <c r="F31" s="430"/>
      <c r="G31" s="430"/>
      <c r="H31" s="430"/>
      <c r="I31" s="435">
        <f>+C29+D29+E29+F29+G29+H29+I29</f>
        <v>261766215.43000001</v>
      </c>
      <c r="J31" s="430"/>
      <c r="K31" s="160"/>
    </row>
    <row r="32" spans="1:11" ht="24">
      <c r="B32" s="430"/>
      <c r="C32" s="160"/>
      <c r="D32" s="160"/>
      <c r="E32" s="160"/>
      <c r="F32" s="430"/>
      <c r="G32" s="160"/>
      <c r="H32" s="160"/>
      <c r="I32" s="160"/>
      <c r="J32" s="160"/>
      <c r="K32" s="160"/>
    </row>
    <row r="33" spans="2:11" ht="24">
      <c r="B33" s="430"/>
      <c r="C33" s="160"/>
      <c r="D33" s="160"/>
      <c r="E33" s="160"/>
      <c r="F33" s="430"/>
      <c r="G33" s="160"/>
      <c r="H33" s="160"/>
      <c r="I33" s="160"/>
      <c r="J33" s="160"/>
      <c r="K33" s="160"/>
    </row>
    <row r="34" spans="2:11" ht="24">
      <c r="B34" s="430"/>
      <c r="C34" s="160"/>
      <c r="D34" s="160"/>
      <c r="E34" s="160"/>
      <c r="F34" s="430"/>
      <c r="G34" s="160"/>
      <c r="H34" s="160"/>
      <c r="I34" s="160"/>
      <c r="J34" s="160"/>
      <c r="K34" s="160"/>
    </row>
    <row r="35" spans="2:11" ht="24">
      <c r="B35" s="430"/>
      <c r="C35" s="160"/>
      <c r="D35" s="160"/>
      <c r="E35" s="160"/>
      <c r="F35" s="430"/>
      <c r="G35" s="160"/>
      <c r="H35" s="160"/>
      <c r="I35" s="160"/>
      <c r="J35" s="160"/>
      <c r="K35" s="160"/>
    </row>
    <row r="36" spans="2:11" ht="24">
      <c r="B36" s="430"/>
      <c r="C36" s="160"/>
      <c r="D36" s="160"/>
      <c r="E36" s="160"/>
      <c r="F36" s="430"/>
      <c r="G36" s="160"/>
      <c r="H36" s="160"/>
      <c r="I36" s="160"/>
      <c r="J36" s="160"/>
      <c r="K36" s="160"/>
    </row>
    <row r="37" spans="2:11" ht="24">
      <c r="B37" s="430"/>
      <c r="C37" s="160"/>
      <c r="D37" s="160"/>
      <c r="E37" s="160"/>
      <c r="F37" s="430"/>
      <c r="G37" s="160"/>
      <c r="H37" s="160"/>
      <c r="I37" s="160"/>
      <c r="J37" s="160"/>
      <c r="K37" s="160"/>
    </row>
    <row r="38" spans="2:11" ht="24">
      <c r="B38" s="430"/>
      <c r="C38" s="160"/>
      <c r="D38" s="160"/>
      <c r="E38" s="160"/>
      <c r="F38" s="430"/>
      <c r="G38" s="160"/>
      <c r="H38" s="160"/>
      <c r="I38" s="160"/>
      <c r="J38" s="160"/>
      <c r="K38" s="160"/>
    </row>
    <row r="39" spans="2:11" ht="24">
      <c r="B39" s="430"/>
      <c r="C39" s="160"/>
      <c r="D39" s="160"/>
      <c r="E39" s="160"/>
      <c r="F39" s="430"/>
      <c r="G39" s="160"/>
      <c r="H39" s="160"/>
      <c r="I39" s="160"/>
      <c r="J39" s="160"/>
      <c r="K39" s="160"/>
    </row>
  </sheetData>
  <pageMargins left="0.33" right="0.43" top="0.75" bottom="0.75" header="0.3" footer="0.3"/>
  <pageSetup scale="7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>
    <tabColor rgb="FF00B0F0"/>
  </sheetPr>
  <dimension ref="A1:S84"/>
  <sheetViews>
    <sheetView topLeftCell="B1" zoomScale="50" zoomScaleNormal="50" workbookViewId="0">
      <selection activeCell="V10" sqref="V10"/>
    </sheetView>
  </sheetViews>
  <sheetFormatPr defaultRowHeight="21.75"/>
  <cols>
    <col min="1" max="1" width="5" style="340" hidden="1" customWidth="1"/>
    <col min="2" max="2" width="5" style="340" customWidth="1"/>
    <col min="3" max="3" width="25.5703125" style="19" customWidth="1"/>
    <col min="4" max="4" width="25.42578125" style="19" hidden="1" customWidth="1"/>
    <col min="5" max="5" width="26.42578125" style="18" hidden="1" customWidth="1"/>
    <col min="6" max="6" width="25.42578125" style="18" hidden="1" customWidth="1"/>
    <col min="7" max="7" width="27.28515625" style="18" bestFit="1" customWidth="1"/>
    <col min="8" max="8" width="25.140625" style="18" hidden="1" customWidth="1"/>
    <col min="9" max="9" width="24.7109375" style="18" hidden="1" customWidth="1"/>
    <col min="10" max="10" width="24.7109375" style="33" bestFit="1" customWidth="1"/>
    <col min="11" max="11" width="26.42578125" style="33" bestFit="1" customWidth="1"/>
    <col min="12" max="12" width="24.7109375" style="18" hidden="1" customWidth="1"/>
    <col min="13" max="13" width="24.42578125" style="18" hidden="1" customWidth="1"/>
    <col min="14" max="14" width="24.42578125" style="18" bestFit="1" customWidth="1"/>
    <col min="15" max="15" width="13" style="33" bestFit="1" customWidth="1"/>
    <col min="16" max="16" width="27" style="33" bestFit="1" customWidth="1"/>
    <col min="17" max="17" width="16.42578125" style="18" customWidth="1"/>
    <col min="18" max="18" width="25.42578125" style="19" bestFit="1" customWidth="1"/>
    <col min="19" max="19" width="28.85546875" style="19" customWidth="1"/>
    <col min="20" max="16384" width="9.140625" style="19"/>
  </cols>
  <sheetData>
    <row r="1" spans="1:19" ht="36.75" customHeight="1">
      <c r="P1" s="2376" t="s">
        <v>409</v>
      </c>
      <c r="Q1" s="2376"/>
    </row>
    <row r="2" spans="1:19" s="341" customFormat="1" ht="39.75">
      <c r="A2" s="2384" t="s">
        <v>407</v>
      </c>
      <c r="B2" s="2384"/>
      <c r="C2" s="2384"/>
      <c r="D2" s="2384"/>
      <c r="E2" s="2384"/>
      <c r="F2" s="2384"/>
      <c r="G2" s="2384"/>
      <c r="H2" s="2384"/>
      <c r="I2" s="2384"/>
      <c r="J2" s="2384"/>
      <c r="K2" s="2384"/>
      <c r="L2" s="2384"/>
      <c r="M2" s="2384"/>
      <c r="N2" s="2384"/>
      <c r="O2" s="2384"/>
      <c r="P2" s="2384"/>
      <c r="Q2" s="2384"/>
    </row>
    <row r="3" spans="1:19" s="342" customFormat="1" ht="39.75" hidden="1">
      <c r="A3" s="2385" t="s">
        <v>313</v>
      </c>
      <c r="B3" s="2385"/>
      <c r="C3" s="2385"/>
      <c r="D3" s="2385"/>
      <c r="E3" s="2385"/>
      <c r="F3" s="2385"/>
      <c r="G3" s="2385"/>
      <c r="H3" s="2385"/>
      <c r="I3" s="2385"/>
      <c r="J3" s="2385"/>
      <c r="K3" s="2385"/>
      <c r="L3" s="2385"/>
      <c r="M3" s="2385"/>
      <c r="N3" s="2385"/>
      <c r="O3" s="2385"/>
      <c r="P3" s="2385"/>
      <c r="Q3" s="2385"/>
    </row>
    <row r="4" spans="1:19" s="342" customFormat="1" ht="40.5" thickBot="1">
      <c r="A4" s="2385" t="s">
        <v>410</v>
      </c>
      <c r="B4" s="2385"/>
      <c r="C4" s="2385"/>
      <c r="D4" s="2385"/>
      <c r="E4" s="2385"/>
      <c r="F4" s="2385"/>
      <c r="G4" s="2385"/>
      <c r="H4" s="2385"/>
      <c r="I4" s="2385"/>
      <c r="J4" s="2385"/>
      <c r="K4" s="2385"/>
      <c r="L4" s="2385"/>
      <c r="M4" s="2385"/>
      <c r="N4" s="2385"/>
      <c r="O4" s="2385"/>
      <c r="P4" s="2385"/>
      <c r="Q4" s="2385"/>
    </row>
    <row r="5" spans="1:19" s="344" customFormat="1" ht="37.5" customHeight="1">
      <c r="A5" s="2380" t="s">
        <v>376</v>
      </c>
      <c r="B5" s="2392" t="s">
        <v>376</v>
      </c>
      <c r="C5" s="2382" t="s">
        <v>381</v>
      </c>
      <c r="D5" s="2386" t="s">
        <v>382</v>
      </c>
      <c r="E5" s="2387"/>
      <c r="F5" s="2388"/>
      <c r="G5" s="2391" t="s">
        <v>316</v>
      </c>
      <c r="H5" s="2391"/>
      <c r="I5" s="2391"/>
      <c r="J5" s="2391"/>
      <c r="K5" s="2391"/>
      <c r="L5" s="2370" t="s">
        <v>22</v>
      </c>
      <c r="M5" s="2371"/>
      <c r="N5" s="2372"/>
      <c r="O5" s="457" t="s">
        <v>11</v>
      </c>
      <c r="P5" s="2389" t="s">
        <v>4</v>
      </c>
      <c r="Q5" s="2389" t="s">
        <v>348</v>
      </c>
    </row>
    <row r="6" spans="1:19" s="344" customFormat="1" ht="31.5" customHeight="1" thickBot="1">
      <c r="A6" s="2381"/>
      <c r="B6" s="2383"/>
      <c r="C6" s="2383"/>
      <c r="D6" s="458" t="s">
        <v>383</v>
      </c>
      <c r="E6" s="459" t="s">
        <v>7</v>
      </c>
      <c r="F6" s="459" t="s">
        <v>2</v>
      </c>
      <c r="G6" s="454" t="s">
        <v>396</v>
      </c>
      <c r="H6" s="453" t="s">
        <v>35</v>
      </c>
      <c r="I6" s="453"/>
      <c r="J6" s="453" t="s">
        <v>406</v>
      </c>
      <c r="K6" s="453" t="s">
        <v>2</v>
      </c>
      <c r="L6" s="2373"/>
      <c r="M6" s="2374"/>
      <c r="N6" s="2375"/>
      <c r="O6" s="460" t="s">
        <v>12</v>
      </c>
      <c r="P6" s="2390"/>
      <c r="Q6" s="2390"/>
      <c r="R6" s="411" t="e">
        <f>+#REF!</f>
        <v>#REF!</v>
      </c>
      <c r="S6" s="411" t="e">
        <f>+R6-N7</f>
        <v>#REF!</v>
      </c>
    </row>
    <row r="7" spans="1:19" s="350" customFormat="1" ht="33" customHeight="1" thickBot="1">
      <c r="A7" s="2377" t="s">
        <v>23</v>
      </c>
      <c r="B7" s="2378"/>
      <c r="C7" s="2379"/>
      <c r="D7" s="455">
        <f t="shared" ref="D7:N7" si="0">SUM(D8:D15)</f>
        <v>294064640</v>
      </c>
      <c r="E7" s="452">
        <f t="shared" si="0"/>
        <v>120003360</v>
      </c>
      <c r="F7" s="452">
        <f t="shared" si="0"/>
        <v>414068000</v>
      </c>
      <c r="G7" s="452">
        <f>SUM(G8:G15)</f>
        <v>270248557.43000001</v>
      </c>
      <c r="H7" s="452">
        <f>SUM(H8:H15)</f>
        <v>19270050</v>
      </c>
      <c r="I7" s="452">
        <f>SUM(I8:I15)</f>
        <v>65982000</v>
      </c>
      <c r="J7" s="452">
        <f>SUM(J8:J15)</f>
        <v>85252050</v>
      </c>
      <c r="K7" s="452">
        <f>SUM(K8:K15)</f>
        <v>355500607.43000001</v>
      </c>
      <c r="L7" s="452">
        <f t="shared" si="0"/>
        <v>320050</v>
      </c>
      <c r="M7" s="452">
        <f t="shared" si="0"/>
        <v>0</v>
      </c>
      <c r="N7" s="452">
        <f t="shared" si="0"/>
        <v>320050</v>
      </c>
      <c r="O7" s="452">
        <f t="shared" ref="O7:O15" si="1">+N7*100/F7</f>
        <v>7.7294067641063793E-2</v>
      </c>
      <c r="P7" s="456">
        <f>+G7+J7-N7</f>
        <v>355180557.43000001</v>
      </c>
      <c r="Q7" s="456"/>
      <c r="R7" s="410">
        <f>+ราละเอียดโครงการงบเพิ่มเติม!G7-สรุปเงินกันงบเพิ่มเติม60!N7</f>
        <v>-176050</v>
      </c>
    </row>
    <row r="8" spans="1:19" s="350" customFormat="1" ht="36">
      <c r="A8" s="351">
        <v>1</v>
      </c>
      <c r="B8" s="351">
        <v>1</v>
      </c>
      <c r="C8" s="352" t="s">
        <v>339</v>
      </c>
      <c r="D8" s="352"/>
      <c r="E8" s="353">
        <f>+[6]ราละเอียดโครงการงบเพิ่มเติม!C9</f>
        <v>91782000</v>
      </c>
      <c r="F8" s="446">
        <f t="shared" ref="F8:F15" si="2">+D8+E8</f>
        <v>91782000</v>
      </c>
      <c r="G8" s="353">
        <f>+ราละเอียดโครงการงบเพิ่มเติม!D9</f>
        <v>26782000</v>
      </c>
      <c r="H8" s="354">
        <f>+ราละเอียดโครงการงบเพิ่มเติม!G9</f>
        <v>0</v>
      </c>
      <c r="I8" s="354">
        <f>+ราละเอียดโครงการงบเพิ่มเติม!E9</f>
        <v>65000000</v>
      </c>
      <c r="J8" s="354">
        <f>+H8+I8</f>
        <v>65000000</v>
      </c>
      <c r="K8" s="354">
        <f>+G8+J8</f>
        <v>91782000</v>
      </c>
      <c r="L8" s="353">
        <f>+[6]ราละเอียดโครงการงบเพิ่มเติม!D9</f>
        <v>0</v>
      </c>
      <c r="M8" s="353">
        <f>+[6]ราละเอียดโครงการงบเพิ่มเติม!D9</f>
        <v>0</v>
      </c>
      <c r="N8" s="450">
        <f>+[6]ราละเอียดโครงการงบเพิ่มเติม!D9</f>
        <v>0</v>
      </c>
      <c r="O8" s="354">
        <f t="shared" si="1"/>
        <v>0</v>
      </c>
      <c r="P8" s="451">
        <f>+G8+J8-N8</f>
        <v>91782000</v>
      </c>
      <c r="Q8" s="354"/>
      <c r="R8" s="355">
        <v>108000000</v>
      </c>
      <c r="S8" s="410">
        <f>+J7-ราละเอียดโครงการงบเพิ่มเติม!E7</f>
        <v>0</v>
      </c>
    </row>
    <row r="9" spans="1:19" s="350" customFormat="1" ht="36">
      <c r="A9" s="351">
        <v>2</v>
      </c>
      <c r="B9" s="351">
        <v>2</v>
      </c>
      <c r="C9" s="352" t="s">
        <v>342</v>
      </c>
      <c r="D9" s="352">
        <f>+[6]ราละเอียดโครงการงบเพิ่มเติม!C24+[6]ราละเอียดโครงการงบเพิ่มเติม!C25+[6]ราละเอียดโครงการงบเพิ่มเติม!C26+[6]ราละเอียดโครงการงบเพิ่มเติม!C32</f>
        <v>84940200</v>
      </c>
      <c r="E9" s="353"/>
      <c r="F9" s="446">
        <f t="shared" si="2"/>
        <v>84940200</v>
      </c>
      <c r="G9" s="353">
        <f>+ราละเอียดโครงการงบเพิ่มเติม!D23+ราละเอียดโครงการงบเพิ่มเติม!D24+ราละเอียดโครงการงบเพิ่มเติม!D25+ราละเอียดโครงการงบเพิ่มเติม!D26+ราละเอียดโครงการงบเพิ่มเติม!D32</f>
        <v>69052200</v>
      </c>
      <c r="H9" s="354">
        <f>+ราละเอียดโครงการงบเพิ่มเติม!E23+ราละเอียดโครงการงบเพิ่มเติม!E24+ราละเอียดโครงการงบเพิ่มเติม!E25+ราละเอียดโครงการงบเพิ่มเติม!E32</f>
        <v>144000</v>
      </c>
      <c r="I9" s="354"/>
      <c r="J9" s="354">
        <f t="shared" ref="J9:J15" si="3">+H9+I9</f>
        <v>144000</v>
      </c>
      <c r="K9" s="354">
        <f t="shared" ref="K9:K15" si="4">+G9+J9</f>
        <v>69196200</v>
      </c>
      <c r="L9" s="353">
        <f>+ราละเอียดโครงการงบเพิ่มเติม!G23+ราละเอียดโครงการงบเพิ่มเติม!G24+ราละเอียดโครงการงบเพิ่มเติม!G25+ราละเอียดโครงการงบเพิ่มเติม!G32</f>
        <v>144000</v>
      </c>
      <c r="M9" s="353">
        <f>+[6]ราละเอียดโครงการงบเพิ่มเติม!D10</f>
        <v>0</v>
      </c>
      <c r="N9" s="353">
        <f>+L9+M9</f>
        <v>144000</v>
      </c>
      <c r="O9" s="354">
        <f t="shared" si="1"/>
        <v>0.16953103477505352</v>
      </c>
      <c r="P9" s="451">
        <f t="shared" ref="P9:P15" si="5">+G9+J9-N9</f>
        <v>69052200</v>
      </c>
      <c r="Q9" s="354"/>
      <c r="R9" s="356">
        <f>+ราละเอียดโครงการงบเพิ่มเติม!E7-สรุปเงินกันงบเพิ่มเติม60!J7</f>
        <v>0</v>
      </c>
    </row>
    <row r="10" spans="1:19" s="350" customFormat="1" ht="36">
      <c r="A10" s="351">
        <v>3</v>
      </c>
      <c r="B10" s="351">
        <v>3</v>
      </c>
      <c r="C10" s="357" t="s">
        <v>343</v>
      </c>
      <c r="D10" s="352">
        <f>+[6]ราละเอียดโครงการงบเพิ่มเติม!C27</f>
        <v>5000000</v>
      </c>
      <c r="E10" s="353">
        <f>+[6]ราละเอียดโครงการงบเพิ่มเติม!C28</f>
        <v>4302400</v>
      </c>
      <c r="F10" s="446">
        <f t="shared" si="2"/>
        <v>9302400</v>
      </c>
      <c r="G10" s="353">
        <f>+ราละเอียดโครงการงบเพิ่มเติม!D27+ราละเอียดโครงการงบเพิ่มเติม!D28</f>
        <v>8230586</v>
      </c>
      <c r="H10" s="354">
        <f>+ราละเอียดโครงการงบเพิ่มเติม!E27</f>
        <v>0</v>
      </c>
      <c r="I10" s="354">
        <f>+ราละเอียดโครงการงบเพิ่มเติม!E28</f>
        <v>0</v>
      </c>
      <c r="J10" s="354">
        <f t="shared" si="3"/>
        <v>0</v>
      </c>
      <c r="K10" s="354">
        <f t="shared" si="4"/>
        <v>8230586</v>
      </c>
      <c r="L10" s="353">
        <f>+ราละเอียดโครงการงบเพิ่มเติม!G27</f>
        <v>0</v>
      </c>
      <c r="M10" s="353">
        <f>+ราละเอียดโครงการงบเพิ่มเติม!G28</f>
        <v>0</v>
      </c>
      <c r="N10" s="353">
        <f t="shared" ref="N10:N15" si="6">+L10+M10</f>
        <v>0</v>
      </c>
      <c r="O10" s="354">
        <f t="shared" si="1"/>
        <v>0</v>
      </c>
      <c r="P10" s="451">
        <f t="shared" si="5"/>
        <v>8230586</v>
      </c>
      <c r="Q10" s="354"/>
      <c r="R10" s="356"/>
    </row>
    <row r="11" spans="1:19" s="350" customFormat="1" ht="36">
      <c r="A11" s="351">
        <v>4</v>
      </c>
      <c r="B11" s="351">
        <v>4</v>
      </c>
      <c r="C11" s="357" t="s">
        <v>344</v>
      </c>
      <c r="D11" s="352">
        <f>+[6]ราละเอียดโครงการงบเพิ่มเติม!C29</f>
        <v>20000000</v>
      </c>
      <c r="E11" s="353"/>
      <c r="F11" s="446">
        <f t="shared" si="2"/>
        <v>20000000</v>
      </c>
      <c r="G11" s="353">
        <f>+ราละเอียดโครงการงบเพิ่มเติม!D29</f>
        <v>684242</v>
      </c>
      <c r="H11" s="354">
        <f>+ราละเอียดโครงการงบเพิ่มเติม!E29</f>
        <v>18950000</v>
      </c>
      <c r="I11" s="354"/>
      <c r="J11" s="354">
        <f t="shared" si="3"/>
        <v>18950000</v>
      </c>
      <c r="K11" s="354">
        <f t="shared" si="4"/>
        <v>19634242</v>
      </c>
      <c r="L11" s="353">
        <f>+ราละเอียดโครงการงบเพิ่มเติม!G29</f>
        <v>0</v>
      </c>
      <c r="M11" s="358"/>
      <c r="N11" s="353">
        <f>+L11+M11</f>
        <v>0</v>
      </c>
      <c r="O11" s="354">
        <f t="shared" si="1"/>
        <v>0</v>
      </c>
      <c r="P11" s="451">
        <f t="shared" si="5"/>
        <v>19634242</v>
      </c>
      <c r="Q11" s="354"/>
      <c r="R11" s="356"/>
    </row>
    <row r="12" spans="1:19" s="350" customFormat="1" ht="36">
      <c r="A12" s="351">
        <v>5</v>
      </c>
      <c r="B12" s="351">
        <v>5</v>
      </c>
      <c r="C12" s="357" t="s">
        <v>347</v>
      </c>
      <c r="D12" s="352">
        <f>+'[6]รายละเอียด-งบเพิ่มเติม'!C18+'[6]รายละเอียด-งบเพิ่มเติม'!C28+'[6]รายละเอียด-งบเพิ่มเติม'!C35+'[6]รายละเอียด-งบเพิ่มเติม'!C43</f>
        <v>78664000</v>
      </c>
      <c r="E12" s="353"/>
      <c r="F12" s="446">
        <f t="shared" si="2"/>
        <v>78664000</v>
      </c>
      <c r="G12" s="353">
        <f>+'รายละเอียด-งบเพิ่มเติม'!D18+'รายละเอียด-งบเพิ่มเติม'!D28+'รายละเอียด-งบเพิ่มเติม'!D35+'รายละเอียด-งบเพิ่มเติม'!D43</f>
        <v>48719256</v>
      </c>
      <c r="H12" s="354">
        <f>+'รายละเอียด-งบเพิ่มเติม'!E18+'รายละเอียด-งบเพิ่มเติม'!E28++'รายละเอียด-งบเพิ่มเติม'!E35+'รายละเอียด-งบเพิ่มเติม'!E43</f>
        <v>0</v>
      </c>
      <c r="I12" s="354">
        <f>+ราละเอียดโครงการงบเพิ่มเติม!E30</f>
        <v>0</v>
      </c>
      <c r="J12" s="354">
        <f t="shared" si="3"/>
        <v>0</v>
      </c>
      <c r="K12" s="354">
        <f t="shared" si="4"/>
        <v>48719256</v>
      </c>
      <c r="L12" s="353">
        <f>+'รายละเอียด-งบเพิ่มเติม'!G18++'รายละเอียด-งบเพิ่มเติม'!G28+'รายละเอียด-งบเพิ่มเติม'!G35+'รายละเอียด-งบเพิ่มเติม'!G43</f>
        <v>0</v>
      </c>
      <c r="M12" s="353"/>
      <c r="N12" s="353">
        <f t="shared" si="6"/>
        <v>0</v>
      </c>
      <c r="O12" s="354">
        <f t="shared" si="1"/>
        <v>0</v>
      </c>
      <c r="P12" s="451">
        <f t="shared" si="5"/>
        <v>48719256</v>
      </c>
      <c r="Q12" s="354"/>
      <c r="R12" s="356"/>
    </row>
    <row r="13" spans="1:19" s="212" customFormat="1" ht="31.5" customHeight="1">
      <c r="A13" s="351">
        <v>6</v>
      </c>
      <c r="B13" s="351">
        <v>6</v>
      </c>
      <c r="C13" s="357" t="s">
        <v>357</v>
      </c>
      <c r="D13" s="357">
        <f>+'รายละเอียด-งบเพิ่มเติม'!C19+'รายละเอียด-งบเพิ่มเติม'!C29+'รายละเอียด-งบเพิ่มเติม'!C36+'รายละเอียด-งบเพิ่มเติม'!C44</f>
        <v>27524840</v>
      </c>
      <c r="E13" s="359">
        <f>+'รายละเอียด-งบเพิ่มเติม'!C22</f>
        <v>4293960</v>
      </c>
      <c r="F13" s="446">
        <f t="shared" si="2"/>
        <v>31818800</v>
      </c>
      <c r="G13" s="353">
        <f>+'รายละเอียด-งบเพิ่มเติม'!D19+'รายละเอียด-งบเพิ่มเติม'!D22+'รายละเอียด-งบเพิ่มเติม'!D29+'รายละเอียด-งบเพิ่มเติม'!D36+'รายละเอียด-งบเพิ่มเติม'!D44</f>
        <v>29714101.43</v>
      </c>
      <c r="H13" s="354">
        <f>+'รายละเอียด-งบเพิ่มเติม'!E19++'รายละเอียด-งบเพิ่มเติม'!E29+'รายละเอียด-งบเพิ่มเติม'!E36+'รายละเอียด-งบเพิ่มเติม'!E44</f>
        <v>176050</v>
      </c>
      <c r="I13" s="354">
        <f>+'รายละเอียด-งบเพิ่มเติม'!E22</f>
        <v>0</v>
      </c>
      <c r="J13" s="354">
        <f t="shared" si="3"/>
        <v>176050</v>
      </c>
      <c r="K13" s="354">
        <f t="shared" si="4"/>
        <v>29890151.43</v>
      </c>
      <c r="L13" s="359">
        <f>+'รายละเอียด-งบเพิ่มเติม'!G19+'รายละเอียด-งบเพิ่มเติม'!G29+'รายละเอียด-งบเพิ่มเติม'!G36+'รายละเอียด-งบเพิ่มเติม'!G44</f>
        <v>176050</v>
      </c>
      <c r="M13" s="353">
        <f>+'รายละเอียด-งบเพิ่มเติม'!G22</f>
        <v>0</v>
      </c>
      <c r="N13" s="353">
        <f t="shared" si="6"/>
        <v>176050</v>
      </c>
      <c r="O13" s="354">
        <f t="shared" si="1"/>
        <v>0.55328925038027832</v>
      </c>
      <c r="P13" s="451">
        <f t="shared" si="5"/>
        <v>29714101.43</v>
      </c>
      <c r="Q13" s="360"/>
    </row>
    <row r="14" spans="1:19" s="212" customFormat="1" ht="36">
      <c r="A14" s="351">
        <v>7</v>
      </c>
      <c r="B14" s="351">
        <v>7</v>
      </c>
      <c r="C14" s="357" t="s">
        <v>358</v>
      </c>
      <c r="D14" s="357">
        <f>+'[6]รายละเอียด-งบเพิ่มเติม'!C20+'[6]รายละเอียด-งบเพิ่มเติม'!C30+'[6]รายละเอียด-งบเพิ่มเติม'!C37+'[6]รายละเอียด-งบเพิ่มเติม'!C45</f>
        <v>41501200</v>
      </c>
      <c r="E14" s="359">
        <f>+'[6]รายละเอียด-งบเพิ่มเติม'!C23</f>
        <v>18335000</v>
      </c>
      <c r="F14" s="446">
        <f t="shared" si="2"/>
        <v>59836200</v>
      </c>
      <c r="G14" s="353">
        <f>+'รายละเอียด-งบเพิ่มเติม'!D20+'รายละเอียด-งบเพิ่มเติม'!D23+'รายละเอียด-งบเพิ่มเติม'!D30+'รายละเอียด-งบเพิ่มเติม'!D37+'รายละเอียด-งบเพิ่มเติม'!D45</f>
        <v>53784000</v>
      </c>
      <c r="H14" s="354">
        <f>+'รายละเอียด-งบเพิ่มเติม'!E20+'รายละเอียด-งบเพิ่มเติม'!E30+'รายละเอียด-งบเพิ่มเติม'!E37+'รายละเอียด-งบเพิ่มเติม'!E45</f>
        <v>0</v>
      </c>
      <c r="I14" s="354">
        <f>+'[6]รายละเอียด-งบเพิ่มเติม'!F23</f>
        <v>0</v>
      </c>
      <c r="J14" s="354">
        <f t="shared" si="3"/>
        <v>0</v>
      </c>
      <c r="K14" s="354">
        <f t="shared" si="4"/>
        <v>53784000</v>
      </c>
      <c r="L14" s="359">
        <f>+'รายละเอียด-งบเพิ่มเติม'!G20+'รายละเอียด-งบเพิ่มเติม'!G30+'รายละเอียด-งบเพิ่มเติม'!G37+'รายละเอียด-งบเพิ่มเติม'!G45</f>
        <v>0</v>
      </c>
      <c r="M14" s="359">
        <f>+'รายละเอียด-งบเพิ่มเติม'!G23</f>
        <v>0</v>
      </c>
      <c r="N14" s="353">
        <f t="shared" si="6"/>
        <v>0</v>
      </c>
      <c r="O14" s="354">
        <f t="shared" si="1"/>
        <v>0</v>
      </c>
      <c r="P14" s="451">
        <f t="shared" si="5"/>
        <v>53784000</v>
      </c>
      <c r="Q14" s="360"/>
    </row>
    <row r="15" spans="1:19" s="212" customFormat="1" ht="36">
      <c r="A15" s="351">
        <v>8</v>
      </c>
      <c r="B15" s="351">
        <v>8</v>
      </c>
      <c r="C15" s="361" t="s">
        <v>359</v>
      </c>
      <c r="D15" s="361">
        <f>+'[6]รายละเอียด-งบเพิ่มเติม'!C21+'[6]รายละเอียด-งบเพิ่มเติม'!C31+'[6]รายละเอียด-งบเพิ่มเติม'!C38+'[6]รายละเอียด-งบเพิ่มเติม'!C46</f>
        <v>36434400</v>
      </c>
      <c r="E15" s="359">
        <f>+'[6]รายละเอียด-งบเพิ่มเติม'!C24</f>
        <v>1290000</v>
      </c>
      <c r="F15" s="446">
        <f t="shared" si="2"/>
        <v>37724400</v>
      </c>
      <c r="G15" s="353">
        <f>+'รายละเอียด-งบเพิ่มเติม'!D21+'รายละเอียด-งบเพิ่มเติม'!D24+'รายละเอียด-งบเพิ่มเติม'!D31+'รายละเอียด-งบเพิ่มเติม'!D38+'รายละเอียด-งบเพิ่มเติม'!D46</f>
        <v>33282172</v>
      </c>
      <c r="H15" s="354">
        <f>+'รายละเอียด-งบเพิ่มเติม'!E21+'รายละเอียด-งบเพิ่มเติม'!E31+'รายละเอียด-งบเพิ่มเติม'!E31+'รายละเอียด-งบเพิ่มเติม'!E38+'รายละเอียด-งบเพิ่มเติม'!E46</f>
        <v>0</v>
      </c>
      <c r="I15" s="354">
        <f>+'รายละเอียด-งบเพิ่มเติม'!E24</f>
        <v>982000</v>
      </c>
      <c r="J15" s="354">
        <f t="shared" si="3"/>
        <v>982000</v>
      </c>
      <c r="K15" s="354">
        <f t="shared" si="4"/>
        <v>34264172</v>
      </c>
      <c r="L15" s="359">
        <f>+'รายละเอียด-งบเพิ่มเติม'!G21+'รายละเอียด-งบเพิ่มเติม'!G31+'รายละเอียด-งบเพิ่มเติม'!G38+'รายละเอียด-งบเพิ่มเติม'!G46</f>
        <v>0</v>
      </c>
      <c r="M15" s="359">
        <f>+'รายละเอียด-งบเพิ่มเติม'!G24</f>
        <v>0</v>
      </c>
      <c r="N15" s="353">
        <f t="shared" si="6"/>
        <v>0</v>
      </c>
      <c r="O15" s="354">
        <f t="shared" si="1"/>
        <v>0</v>
      </c>
      <c r="P15" s="451">
        <f t="shared" si="5"/>
        <v>34264172</v>
      </c>
      <c r="Q15" s="360"/>
    </row>
    <row r="16" spans="1:19" s="212" customFormat="1" ht="36">
      <c r="A16" s="362"/>
      <c r="B16" s="362"/>
      <c r="C16" s="363"/>
      <c r="D16" s="363"/>
      <c r="E16" s="364"/>
      <c r="F16" s="447"/>
      <c r="G16" s="365"/>
      <c r="H16" s="366"/>
      <c r="I16" s="366"/>
      <c r="J16" s="449"/>
      <c r="K16" s="449"/>
      <c r="L16" s="364"/>
      <c r="M16" s="364"/>
      <c r="N16" s="365"/>
      <c r="O16" s="449"/>
      <c r="P16" s="449"/>
      <c r="Q16" s="366"/>
    </row>
    <row r="17" spans="1:17" ht="30.75" hidden="1">
      <c r="A17" s="367" t="s">
        <v>13</v>
      </c>
      <c r="B17" s="367"/>
      <c r="C17" s="239" t="s">
        <v>358</v>
      </c>
      <c r="D17" s="239"/>
      <c r="E17" s="240"/>
      <c r="F17" s="240"/>
      <c r="G17" s="240"/>
      <c r="H17" s="240"/>
      <c r="I17" s="240"/>
      <c r="J17" s="240"/>
      <c r="K17" s="240"/>
      <c r="L17" s="241"/>
      <c r="M17" s="241"/>
      <c r="N17" s="241"/>
      <c r="O17" s="241"/>
      <c r="P17" s="241"/>
      <c r="Q17" s="241"/>
    </row>
    <row r="18" spans="1:17" ht="30.75" hidden="1">
      <c r="A18" s="368" t="s">
        <v>24</v>
      </c>
      <c r="B18" s="368"/>
      <c r="C18" s="243" t="s">
        <v>359</v>
      </c>
      <c r="D18" s="243"/>
      <c r="E18" s="244"/>
      <c r="F18" s="240"/>
      <c r="G18" s="240"/>
      <c r="H18" s="240"/>
      <c r="I18" s="240"/>
      <c r="J18" s="240"/>
      <c r="K18" s="240"/>
      <c r="L18" s="241"/>
      <c r="M18" s="241"/>
      <c r="N18" s="241"/>
      <c r="O18" s="241"/>
      <c r="P18" s="241"/>
      <c r="Q18" s="241"/>
    </row>
    <row r="19" spans="1:17" ht="30.75" hidden="1">
      <c r="A19" s="368" t="s">
        <v>7</v>
      </c>
      <c r="B19" s="368"/>
      <c r="C19" s="243"/>
      <c r="D19" s="243"/>
      <c r="E19" s="244"/>
      <c r="F19" s="240"/>
      <c r="G19" s="240"/>
      <c r="H19" s="240"/>
      <c r="I19" s="240"/>
      <c r="J19" s="240"/>
      <c r="K19" s="240"/>
      <c r="L19" s="241"/>
      <c r="M19" s="241"/>
      <c r="N19" s="241"/>
      <c r="O19" s="241"/>
      <c r="P19" s="241"/>
      <c r="Q19" s="241"/>
    </row>
    <row r="20" spans="1:17" ht="30.75" hidden="1">
      <c r="A20" s="368" t="s">
        <v>15</v>
      </c>
      <c r="B20" s="368"/>
      <c r="C20" s="243"/>
      <c r="D20" s="243"/>
      <c r="E20" s="244"/>
      <c r="F20" s="240"/>
      <c r="G20" s="240"/>
      <c r="H20" s="240"/>
      <c r="I20" s="240"/>
      <c r="J20" s="240"/>
      <c r="K20" s="240"/>
      <c r="L20" s="241"/>
      <c r="M20" s="241"/>
      <c r="N20" s="241"/>
      <c r="O20" s="241"/>
      <c r="P20" s="241"/>
      <c r="Q20" s="241"/>
    </row>
    <row r="21" spans="1:17" ht="30.75" hidden="1">
      <c r="A21" s="368" t="s">
        <v>16</v>
      </c>
      <c r="B21" s="368"/>
      <c r="C21" s="243"/>
      <c r="D21" s="243"/>
      <c r="E21" s="244"/>
      <c r="F21" s="240"/>
      <c r="G21" s="240"/>
      <c r="H21" s="240"/>
      <c r="I21" s="240"/>
      <c r="J21" s="240"/>
      <c r="K21" s="240"/>
      <c r="L21" s="241"/>
      <c r="M21" s="241"/>
      <c r="N21" s="241"/>
      <c r="O21" s="241"/>
      <c r="P21" s="241"/>
      <c r="Q21" s="241"/>
    </row>
    <row r="22" spans="1:17" ht="30.75" hidden="1">
      <c r="A22" s="369" t="s">
        <v>5</v>
      </c>
      <c r="B22" s="369"/>
      <c r="C22" s="243"/>
      <c r="D22" s="243"/>
      <c r="E22" s="244"/>
      <c r="F22" s="240"/>
      <c r="G22" s="240"/>
      <c r="H22" s="240"/>
      <c r="I22" s="240"/>
      <c r="J22" s="240"/>
      <c r="K22" s="240"/>
      <c r="L22" s="241"/>
      <c r="M22" s="241"/>
      <c r="N22" s="241"/>
      <c r="O22" s="241"/>
      <c r="P22" s="241"/>
      <c r="Q22" s="241"/>
    </row>
    <row r="23" spans="1:17" s="9" customFormat="1" ht="30.75" hidden="1">
      <c r="A23" s="369"/>
      <c r="B23" s="369"/>
      <c r="C23" s="246"/>
      <c r="D23" s="246"/>
      <c r="E23" s="247"/>
      <c r="F23" s="247"/>
      <c r="G23" s="247"/>
      <c r="H23" s="247"/>
      <c r="I23" s="247"/>
      <c r="J23" s="247"/>
      <c r="K23" s="247"/>
      <c r="L23" s="248"/>
      <c r="M23" s="248"/>
      <c r="N23" s="248"/>
      <c r="O23" s="248"/>
      <c r="P23" s="247"/>
      <c r="Q23" s="248"/>
    </row>
    <row r="24" spans="1:17" s="9" customFormat="1" ht="28.5" hidden="1" customHeight="1" thickBot="1">
      <c r="A24" s="294"/>
      <c r="B24" s="294"/>
      <c r="C24" s="234"/>
      <c r="D24" s="234"/>
      <c r="E24" s="234"/>
      <c r="F24" s="234"/>
      <c r="G24" s="234"/>
      <c r="H24" s="234"/>
      <c r="I24" s="234"/>
      <c r="J24" s="236"/>
      <c r="K24" s="236"/>
      <c r="L24" s="237"/>
      <c r="M24" s="237"/>
      <c r="N24" s="237"/>
      <c r="O24" s="237"/>
      <c r="P24" s="236">
        <f>+E24-J24-O24</f>
        <v>0</v>
      </c>
      <c r="Q24" s="237"/>
    </row>
    <row r="25" spans="1:17" ht="27.75" hidden="1">
      <c r="E25" s="339">
        <v>414068000</v>
      </c>
      <c r="F25" s="339"/>
      <c r="G25" s="339"/>
      <c r="H25" s="339"/>
      <c r="I25" s="339"/>
      <c r="L25" s="33"/>
      <c r="M25" s="33"/>
      <c r="N25" s="33"/>
      <c r="Q25" s="33"/>
    </row>
    <row r="26" spans="1:17" ht="27.75" hidden="1">
      <c r="E26" s="339">
        <f>+E25-E7</f>
        <v>294064640</v>
      </c>
      <c r="F26" s="339"/>
      <c r="G26" s="339"/>
      <c r="H26" s="339"/>
      <c r="I26" s="339"/>
      <c r="L26" s="33"/>
      <c r="M26" s="33"/>
      <c r="N26" s="33"/>
      <c r="Q26" s="33"/>
    </row>
    <row r="27" spans="1:17" ht="27.75" hidden="1">
      <c r="E27" s="225">
        <v>5888000</v>
      </c>
      <c r="F27" s="225"/>
      <c r="G27" s="225"/>
      <c r="H27" s="225"/>
      <c r="I27" s="225"/>
      <c r="L27" s="33"/>
      <c r="M27" s="33"/>
      <c r="N27" s="33"/>
      <c r="Q27" s="33"/>
    </row>
    <row r="28" spans="1:17" ht="27.75" hidden="1">
      <c r="E28" s="225">
        <v>190437000</v>
      </c>
      <c r="F28" s="225"/>
      <c r="G28" s="225"/>
      <c r="H28" s="225"/>
      <c r="I28" s="225"/>
      <c r="L28" s="33"/>
      <c r="M28" s="33"/>
      <c r="N28" s="33"/>
      <c r="Q28" s="33"/>
    </row>
    <row r="29" spans="1:17" ht="27.75" hidden="1">
      <c r="E29" s="225">
        <v>17606400</v>
      </c>
      <c r="F29" s="225"/>
      <c r="G29" s="225"/>
      <c r="H29" s="225"/>
      <c r="I29" s="225"/>
      <c r="L29" s="33"/>
      <c r="M29" s="33"/>
      <c r="N29" s="33"/>
      <c r="Q29" s="33"/>
    </row>
    <row r="30" spans="1:17" ht="27.75" hidden="1">
      <c r="E30" s="225">
        <f>SUM(E25:E29)</f>
        <v>922064040</v>
      </c>
      <c r="F30" s="225"/>
      <c r="G30" s="225"/>
      <c r="H30" s="225"/>
      <c r="I30" s="225"/>
      <c r="L30" s="33"/>
      <c r="M30" s="33"/>
      <c r="N30" s="33"/>
    </row>
    <row r="31" spans="1:17" hidden="1">
      <c r="E31" s="226">
        <f>+E7-E30</f>
        <v>-802060680</v>
      </c>
      <c r="F31" s="226"/>
      <c r="G31" s="226"/>
      <c r="H31" s="226"/>
      <c r="I31" s="226"/>
      <c r="L31" s="33"/>
      <c r="M31" s="33"/>
      <c r="N31" s="33"/>
    </row>
    <row r="32" spans="1:17" hidden="1">
      <c r="L32" s="33"/>
      <c r="M32" s="33"/>
      <c r="N32" s="33"/>
    </row>
    <row r="33" spans="1:17">
      <c r="C33" s="406"/>
      <c r="D33" s="406"/>
      <c r="E33" s="407"/>
      <c r="F33" s="407"/>
      <c r="G33" s="418"/>
      <c r="H33" s="407"/>
      <c r="L33" s="33"/>
      <c r="M33" s="33"/>
      <c r="N33" s="33"/>
    </row>
    <row r="34" spans="1:17" hidden="1">
      <c r="C34" s="406"/>
      <c r="D34" s="406"/>
      <c r="E34" s="407"/>
      <c r="F34" s="407"/>
      <c r="G34" s="407"/>
      <c r="H34" s="407"/>
      <c r="L34" s="33"/>
      <c r="M34" s="33"/>
      <c r="N34" s="33"/>
    </row>
    <row r="35" spans="1:17" hidden="1">
      <c r="C35" s="406"/>
      <c r="D35" s="406"/>
      <c r="E35" s="407"/>
      <c r="F35" s="407"/>
      <c r="G35" s="407"/>
      <c r="H35" s="407"/>
      <c r="L35" s="33"/>
      <c r="M35" s="33"/>
      <c r="N35" s="33"/>
    </row>
    <row r="36" spans="1:17" s="326" customFormat="1" ht="42" customHeight="1">
      <c r="A36" s="373"/>
      <c r="B36" s="373"/>
      <c r="C36" s="408" t="s">
        <v>389</v>
      </c>
      <c r="D36" s="409" t="s">
        <v>390</v>
      </c>
      <c r="F36" s="414"/>
      <c r="G36" s="436" t="s">
        <v>397</v>
      </c>
      <c r="H36" s="437">
        <f>4434908+4468000</f>
        <v>8902908</v>
      </c>
      <c r="I36" s="436"/>
      <c r="J36" s="438">
        <f>+ราละเอียดโครงการงบเพิ่มเติม!G7</f>
        <v>144000</v>
      </c>
      <c r="K36" s="438"/>
      <c r="L36" s="415"/>
      <c r="M36" s="375"/>
      <c r="N36" s="375"/>
      <c r="O36" s="375">
        <f>+ราละเอียดโครงการงบเพิ่มเติม!E7-สรุปเงินกันงบเพิ่มเติม60!J7</f>
        <v>0</v>
      </c>
      <c r="P36" s="375"/>
      <c r="Q36" s="374"/>
    </row>
    <row r="37" spans="1:17" ht="33.75" customHeight="1">
      <c r="F37" s="19"/>
      <c r="G37" s="439" t="s">
        <v>398</v>
      </c>
      <c r="H37" s="437">
        <v>1071814</v>
      </c>
      <c r="I37" s="406"/>
      <c r="J37" s="440">
        <f>+N7-J36</f>
        <v>176050</v>
      </c>
      <c r="K37" s="440"/>
      <c r="L37" s="158"/>
      <c r="M37" s="33"/>
      <c r="N37" s="33"/>
      <c r="O37" s="19"/>
      <c r="P37" s="19"/>
      <c r="Q37" s="19"/>
    </row>
    <row r="38" spans="1:17" ht="39.75">
      <c r="F38" s="19"/>
      <c r="G38" s="439" t="s">
        <v>399</v>
      </c>
      <c r="H38" s="437">
        <v>679100</v>
      </c>
      <c r="I38" s="406"/>
      <c r="J38" s="406"/>
      <c r="K38" s="406"/>
      <c r="L38" s="158"/>
      <c r="M38" s="33"/>
      <c r="N38" s="33"/>
      <c r="O38" s="19"/>
      <c r="P38" s="19"/>
      <c r="Q38" s="19"/>
    </row>
    <row r="39" spans="1:17" ht="39.75">
      <c r="F39" s="19"/>
      <c r="G39" s="439" t="s">
        <v>400</v>
      </c>
      <c r="H39" s="437">
        <v>15048388.75</v>
      </c>
      <c r="I39" s="406"/>
      <c r="J39" s="406"/>
      <c r="K39" s="406"/>
      <c r="L39" s="33"/>
      <c r="M39" s="33"/>
      <c r="N39" s="33"/>
      <c r="O39" s="19"/>
      <c r="P39" s="19"/>
      <c r="Q39" s="19"/>
    </row>
    <row r="40" spans="1:17" ht="39.75">
      <c r="G40" s="441" t="s">
        <v>357</v>
      </c>
      <c r="H40" s="437">
        <f>696546.57+1118330</f>
        <v>1814876.5699999998</v>
      </c>
      <c r="I40" s="407"/>
      <c r="J40" s="152"/>
      <c r="K40" s="152"/>
    </row>
    <row r="41" spans="1:17" ht="39.75">
      <c r="G41" s="441" t="s">
        <v>358</v>
      </c>
      <c r="H41" s="437">
        <v>2854121</v>
      </c>
      <c r="I41" s="407"/>
      <c r="J41" s="152"/>
      <c r="K41" s="152"/>
    </row>
    <row r="42" spans="1:17" ht="39.75">
      <c r="G42" s="441" t="s">
        <v>401</v>
      </c>
      <c r="H42" s="437">
        <f>173600+1695850</f>
        <v>1869450</v>
      </c>
      <c r="I42" s="407"/>
      <c r="J42" s="152"/>
      <c r="K42" s="152"/>
    </row>
    <row r="43" spans="1:17" ht="39.75">
      <c r="H43" s="417"/>
    </row>
    <row r="44" spans="1:17" ht="39.75">
      <c r="H44" s="417"/>
    </row>
    <row r="45" spans="1:17" ht="39.75">
      <c r="H45" s="417"/>
    </row>
    <row r="46" spans="1:17" ht="39.75">
      <c r="H46" s="417"/>
    </row>
    <row r="47" spans="1:17" ht="33">
      <c r="H47" s="416"/>
    </row>
    <row r="48" spans="1:17" ht="33">
      <c r="H48" s="416"/>
    </row>
    <row r="49" spans="8:8" ht="33">
      <c r="H49" s="416"/>
    </row>
    <row r="50" spans="8:8" ht="33">
      <c r="H50" s="416"/>
    </row>
    <row r="51" spans="8:8" ht="33">
      <c r="H51" s="416"/>
    </row>
    <row r="84" spans="5:17"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</sheetData>
  <mergeCells count="13">
    <mergeCell ref="L5:N6"/>
    <mergeCell ref="P1:Q1"/>
    <mergeCell ref="A7:C7"/>
    <mergeCell ref="A5:A6"/>
    <mergeCell ref="C5:C6"/>
    <mergeCell ref="A2:Q2"/>
    <mergeCell ref="A3:Q3"/>
    <mergeCell ref="A4:Q4"/>
    <mergeCell ref="D5:F5"/>
    <mergeCell ref="P5:P6"/>
    <mergeCell ref="Q5:Q6"/>
    <mergeCell ref="G5:K5"/>
    <mergeCell ref="B5:B6"/>
  </mergeCells>
  <printOptions horizontalCentered="1"/>
  <pageMargins left="0.35" right="0" top="0.75" bottom="0.75" header="0.3" footer="0.3"/>
  <pageSetup scale="55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>
    <tabColor rgb="FF00B0F0"/>
  </sheetPr>
  <dimension ref="A2:L108"/>
  <sheetViews>
    <sheetView topLeftCell="A37" zoomScale="60" zoomScaleNormal="60" workbookViewId="0">
      <selection activeCell="K42" sqref="K42"/>
    </sheetView>
  </sheetViews>
  <sheetFormatPr defaultRowHeight="21.75"/>
  <cols>
    <col min="1" max="1" width="118.7109375" style="19" customWidth="1"/>
    <col min="2" max="2" width="20" style="19" customWidth="1"/>
    <col min="3" max="3" width="25.28515625" style="18" hidden="1" customWidth="1"/>
    <col min="4" max="4" width="23.5703125" style="18" bestFit="1" customWidth="1"/>
    <col min="5" max="5" width="21.85546875" style="33" bestFit="1" customWidth="1"/>
    <col min="6" max="6" width="24.42578125" style="33" bestFit="1" customWidth="1"/>
    <col min="7" max="7" width="21.7109375" style="18" bestFit="1" customWidth="1"/>
    <col min="8" max="8" width="14.42578125" style="33" customWidth="1"/>
    <col min="9" max="9" width="24" style="18" hidden="1" customWidth="1"/>
    <col min="10" max="10" width="24.42578125" style="33" bestFit="1" customWidth="1"/>
    <col min="11" max="11" width="18.42578125" style="18" customWidth="1"/>
    <col min="12" max="12" width="22.7109375" style="19" bestFit="1" customWidth="1"/>
    <col min="13" max="16384" width="9.140625" style="19"/>
  </cols>
  <sheetData>
    <row r="2" spans="1:12" ht="36">
      <c r="A2" s="2393" t="s">
        <v>408</v>
      </c>
      <c r="B2" s="2393"/>
      <c r="C2" s="2393"/>
      <c r="D2" s="2393"/>
      <c r="E2" s="2393"/>
      <c r="F2" s="2393"/>
      <c r="G2" s="2393"/>
      <c r="H2" s="2393"/>
      <c r="I2" s="2393"/>
      <c r="J2" s="2393"/>
      <c r="K2" s="2393"/>
    </row>
    <row r="3" spans="1:12" s="2" customFormat="1" ht="36" hidden="1">
      <c r="A3" s="2394" t="s">
        <v>313</v>
      </c>
      <c r="B3" s="2394"/>
      <c r="C3" s="2394"/>
      <c r="D3" s="2394"/>
      <c r="E3" s="2394"/>
      <c r="F3" s="2394"/>
      <c r="G3" s="2394"/>
      <c r="H3" s="2394"/>
      <c r="I3" s="2394"/>
      <c r="J3" s="2394"/>
      <c r="K3" s="2394"/>
    </row>
    <row r="4" spans="1:12" s="2" customFormat="1" ht="36.75" thickBot="1">
      <c r="A4" s="2394" t="str">
        <f>+สรุปเงินกันงบเพิ่มเติม60!A4</f>
        <v>ข้อมูลสะสมตั้งแต่วันที่ 1 ตุลาคม 2560   ถึงวันที่ 14 พฤศจิกายน 2560</v>
      </c>
      <c r="B4" s="2394"/>
      <c r="C4" s="2394"/>
      <c r="D4" s="2394"/>
      <c r="E4" s="2394"/>
      <c r="F4" s="2394"/>
      <c r="G4" s="2394"/>
      <c r="H4" s="2394"/>
      <c r="I4" s="2394"/>
      <c r="J4" s="2394"/>
      <c r="K4" s="2394"/>
    </row>
    <row r="5" spans="1:12" s="201" customFormat="1" ht="23.25" customHeight="1">
      <c r="A5" s="2395" t="s">
        <v>3</v>
      </c>
      <c r="B5" s="2397" t="s">
        <v>338</v>
      </c>
      <c r="C5" s="2401" t="s">
        <v>352</v>
      </c>
      <c r="D5" s="2403" t="s">
        <v>316</v>
      </c>
      <c r="E5" s="2404"/>
      <c r="F5" s="2405"/>
      <c r="G5" s="2399" t="s">
        <v>22</v>
      </c>
      <c r="H5" s="227" t="s">
        <v>11</v>
      </c>
      <c r="I5" s="442" t="s">
        <v>395</v>
      </c>
      <c r="J5" s="2399" t="s">
        <v>4</v>
      </c>
      <c r="K5" s="2399" t="s">
        <v>348</v>
      </c>
    </row>
    <row r="6" spans="1:12" s="201" customFormat="1" ht="31.5" customHeight="1" thickBot="1">
      <c r="A6" s="2396"/>
      <c r="B6" s="2398"/>
      <c r="C6" s="2402"/>
      <c r="D6" s="463" t="s">
        <v>395</v>
      </c>
      <c r="E6" s="462" t="s">
        <v>35</v>
      </c>
      <c r="F6" s="461" t="s">
        <v>2</v>
      </c>
      <c r="G6" s="2400"/>
      <c r="H6" s="228" t="s">
        <v>12</v>
      </c>
      <c r="I6" s="413"/>
      <c r="J6" s="2400"/>
      <c r="K6" s="2400"/>
    </row>
    <row r="7" spans="1:12" s="326" customFormat="1" ht="33" customHeight="1" thickBot="1">
      <c r="A7" s="333" t="s">
        <v>23</v>
      </c>
      <c r="B7" s="334"/>
      <c r="C7" s="335">
        <f>+C8+C20+C34</f>
        <v>414068000</v>
      </c>
      <c r="D7" s="335">
        <f>+D8+D20+D34</f>
        <v>270248557.43000001</v>
      </c>
      <c r="E7" s="335">
        <f>+E8+E20+E34</f>
        <v>85252050</v>
      </c>
      <c r="F7" s="335">
        <f>+D7+E7</f>
        <v>355500607.43000001</v>
      </c>
      <c r="G7" s="335">
        <f>+G8+G20+G34</f>
        <v>144000</v>
      </c>
      <c r="H7" s="335">
        <f>+G7*100/C7</f>
        <v>3.477689654839302E-2</v>
      </c>
      <c r="I7" s="335">
        <f>+I8+I20+I34</f>
        <v>269598215.43000001</v>
      </c>
      <c r="J7" s="336">
        <f>+D7+E7-G7</f>
        <v>355356607.43000001</v>
      </c>
      <c r="K7" s="336"/>
      <c r="L7" s="444">
        <f>+C7-D7-G7-E7</f>
        <v>58423392.569999993</v>
      </c>
    </row>
    <row r="8" spans="1:12" s="9" customFormat="1" ht="31.5" thickBot="1">
      <c r="A8" s="233" t="s">
        <v>346</v>
      </c>
      <c r="B8" s="234"/>
      <c r="C8" s="235">
        <f>SUM(C9:C11)</f>
        <v>91782000</v>
      </c>
      <c r="D8" s="235">
        <f>SUM(D9)</f>
        <v>26782000</v>
      </c>
      <c r="E8" s="237">
        <f>SUM(E9:E11)</f>
        <v>65000000</v>
      </c>
      <c r="F8" s="237">
        <f>+D8+E8</f>
        <v>91782000</v>
      </c>
      <c r="G8" s="236">
        <f>SUM(G9:G11)</f>
        <v>0</v>
      </c>
      <c r="H8" s="237">
        <f>+G8*100/C8</f>
        <v>0</v>
      </c>
      <c r="I8" s="235">
        <f>SUM(I9)</f>
        <v>26782000</v>
      </c>
      <c r="J8" s="237">
        <f>+D8-E8-G8</f>
        <v>-38218000</v>
      </c>
      <c r="K8" s="237"/>
      <c r="L8" s="296">
        <f>+J20+J34</f>
        <v>263574607.43000001</v>
      </c>
    </row>
    <row r="9" spans="1:12" s="9" customFormat="1" ht="30.75">
      <c r="A9" s="238" t="s">
        <v>349</v>
      </c>
      <c r="B9" s="239" t="s">
        <v>339</v>
      </c>
      <c r="C9" s="272">
        <v>91782000</v>
      </c>
      <c r="D9" s="272">
        <v>26782000</v>
      </c>
      <c r="E9" s="250">
        <v>65000000</v>
      </c>
      <c r="F9" s="250">
        <f>+D9+E9</f>
        <v>91782000</v>
      </c>
      <c r="G9" s="251"/>
      <c r="H9" s="250">
        <f>+G9*100/C9</f>
        <v>0</v>
      </c>
      <c r="I9" s="272">
        <v>26782000</v>
      </c>
      <c r="J9" s="320">
        <f>+D9+E9-G9</f>
        <v>91782000</v>
      </c>
      <c r="K9" s="250" t="s">
        <v>7</v>
      </c>
      <c r="L9" s="318">
        <v>108000000</v>
      </c>
    </row>
    <row r="10" spans="1:12" ht="30.75" hidden="1">
      <c r="A10" s="242"/>
      <c r="B10" s="243"/>
      <c r="C10" s="244"/>
      <c r="D10" s="240"/>
      <c r="E10" s="241"/>
      <c r="F10" s="241"/>
      <c r="G10" s="240"/>
      <c r="H10" s="241"/>
      <c r="I10" s="240"/>
      <c r="J10" s="241"/>
      <c r="K10" s="241"/>
    </row>
    <row r="11" spans="1:12" ht="30.75">
      <c r="A11" s="198" t="s">
        <v>384</v>
      </c>
      <c r="B11" s="243"/>
      <c r="C11" s="244"/>
      <c r="D11" s="240"/>
      <c r="E11" s="241"/>
      <c r="F11" s="241"/>
      <c r="G11" s="240"/>
      <c r="H11" s="240"/>
      <c r="I11" s="240"/>
      <c r="J11" s="241"/>
      <c r="K11" s="241"/>
    </row>
    <row r="12" spans="1:12" ht="31.5" thickBot="1">
      <c r="A12" s="198"/>
      <c r="B12" s="243"/>
      <c r="C12" s="244"/>
      <c r="D12" s="240"/>
      <c r="E12" s="241"/>
      <c r="F12" s="241"/>
      <c r="G12" s="240"/>
      <c r="H12" s="241"/>
      <c r="I12" s="240"/>
      <c r="J12" s="241"/>
      <c r="K12" s="241"/>
    </row>
    <row r="13" spans="1:12" ht="31.5" hidden="1" thickBot="1">
      <c r="A13" s="198" t="s">
        <v>13</v>
      </c>
      <c r="B13" s="243"/>
      <c r="C13" s="244"/>
      <c r="D13" s="240"/>
      <c r="E13" s="241"/>
      <c r="F13" s="241"/>
      <c r="G13" s="240"/>
      <c r="H13" s="241"/>
      <c r="I13" s="240"/>
      <c r="J13" s="241"/>
      <c r="K13" s="241"/>
    </row>
    <row r="14" spans="1:12" ht="31.5" hidden="1" thickBot="1">
      <c r="A14" s="198" t="s">
        <v>24</v>
      </c>
      <c r="B14" s="243"/>
      <c r="C14" s="244"/>
      <c r="D14" s="240"/>
      <c r="E14" s="241"/>
      <c r="F14" s="241"/>
      <c r="G14" s="240"/>
      <c r="H14" s="241"/>
      <c r="I14" s="240"/>
      <c r="J14" s="241"/>
      <c r="K14" s="241"/>
    </row>
    <row r="15" spans="1:12" ht="31.5" hidden="1" thickBot="1">
      <c r="A15" s="198" t="s">
        <v>7</v>
      </c>
      <c r="B15" s="243"/>
      <c r="C15" s="244"/>
      <c r="D15" s="240"/>
      <c r="E15" s="241"/>
      <c r="F15" s="241"/>
      <c r="G15" s="240"/>
      <c r="H15" s="241"/>
      <c r="I15" s="240"/>
      <c r="J15" s="241"/>
      <c r="K15" s="241"/>
    </row>
    <row r="16" spans="1:12" ht="31.5" hidden="1" thickBot="1">
      <c r="A16" s="198" t="s">
        <v>15</v>
      </c>
      <c r="B16" s="243"/>
      <c r="C16" s="244"/>
      <c r="D16" s="240"/>
      <c r="E16" s="241"/>
      <c r="F16" s="241"/>
      <c r="G16" s="240"/>
      <c r="H16" s="241"/>
      <c r="I16" s="240"/>
      <c r="J16" s="241"/>
      <c r="K16" s="241"/>
    </row>
    <row r="17" spans="1:12" ht="31.5" hidden="1" thickBot="1">
      <c r="A17" s="198" t="s">
        <v>16</v>
      </c>
      <c r="B17" s="243"/>
      <c r="C17" s="244"/>
      <c r="D17" s="240"/>
      <c r="E17" s="241"/>
      <c r="F17" s="241"/>
      <c r="G17" s="240"/>
      <c r="H17" s="241"/>
      <c r="I17" s="240"/>
      <c r="J17" s="241"/>
      <c r="K17" s="241"/>
    </row>
    <row r="18" spans="1:12" ht="31.5" hidden="1" thickBot="1">
      <c r="A18" s="209" t="s">
        <v>5</v>
      </c>
      <c r="B18" s="243"/>
      <c r="C18" s="244"/>
      <c r="D18" s="240"/>
      <c r="E18" s="241"/>
      <c r="F18" s="241"/>
      <c r="G18" s="240"/>
      <c r="H18" s="241"/>
      <c r="I18" s="240"/>
      <c r="J18" s="241"/>
      <c r="K18" s="241"/>
    </row>
    <row r="19" spans="1:12" s="9" customFormat="1" ht="31.5" hidden="1" thickBot="1">
      <c r="A19" s="245"/>
      <c r="B19" s="246"/>
      <c r="C19" s="247"/>
      <c r="D19" s="247"/>
      <c r="E19" s="248"/>
      <c r="F19" s="248"/>
      <c r="G19" s="247"/>
      <c r="H19" s="248"/>
      <c r="I19" s="247"/>
      <c r="J19" s="247"/>
      <c r="K19" s="248"/>
    </row>
    <row r="20" spans="1:12" s="9" customFormat="1" ht="28.5" customHeight="1" thickBot="1">
      <c r="A20" s="249" t="s">
        <v>340</v>
      </c>
      <c r="B20" s="234"/>
      <c r="C20" s="234">
        <f>SUM(C23:C33)</f>
        <v>114242600</v>
      </c>
      <c r="D20" s="234">
        <f>SUM(D23:D32)</f>
        <v>77967028</v>
      </c>
      <c r="E20" s="237">
        <f>SUM(E23:E32)</f>
        <v>19094000</v>
      </c>
      <c r="F20" s="237">
        <f>+D20+E20</f>
        <v>97061028</v>
      </c>
      <c r="G20" s="236">
        <f>SUM(G23:G32)</f>
        <v>144000</v>
      </c>
      <c r="H20" s="237">
        <f>+G20*100/C20</f>
        <v>0.12604755143878027</v>
      </c>
      <c r="I20" s="234">
        <f>SUM(I23:I32)</f>
        <v>77316686</v>
      </c>
      <c r="J20" s="236">
        <f>+D20+E20-G20</f>
        <v>96917028</v>
      </c>
      <c r="K20" s="237"/>
    </row>
    <row r="21" spans="1:12" s="9" customFormat="1" ht="30.75">
      <c r="A21" s="238" t="s">
        <v>341</v>
      </c>
      <c r="B21" s="239"/>
      <c r="C21" s="239"/>
      <c r="D21" s="239"/>
      <c r="E21" s="241"/>
      <c r="F21" s="241"/>
      <c r="G21" s="240"/>
      <c r="H21" s="250"/>
      <c r="I21" s="239"/>
      <c r="J21" s="251"/>
      <c r="K21" s="241"/>
    </row>
    <row r="22" spans="1:12" s="9" customFormat="1" ht="30.75" hidden="1">
      <c r="A22" s="252"/>
      <c r="B22" s="243"/>
      <c r="C22" s="243"/>
      <c r="D22" s="243"/>
      <c r="E22" s="253"/>
      <c r="F22" s="253"/>
      <c r="G22" s="243"/>
      <c r="H22" s="250"/>
      <c r="I22" s="243"/>
      <c r="J22" s="251"/>
      <c r="K22" s="241"/>
    </row>
    <row r="23" spans="1:12" s="9" customFormat="1" ht="30.75">
      <c r="A23" s="198" t="s">
        <v>350</v>
      </c>
      <c r="B23" s="239" t="s">
        <v>342</v>
      </c>
      <c r="C23" s="243">
        <v>10000000</v>
      </c>
      <c r="D23" s="243"/>
      <c r="E23" s="241">
        <v>144000</v>
      </c>
      <c r="F23" s="241">
        <f>+D23+E23</f>
        <v>144000</v>
      </c>
      <c r="G23" s="262">
        <v>144000</v>
      </c>
      <c r="H23" s="250">
        <f>+G23*100/C23</f>
        <v>1.44</v>
      </c>
      <c r="I23" s="243"/>
      <c r="J23" s="251">
        <f>+D23+E23-G23</f>
        <v>0</v>
      </c>
      <c r="K23" s="241"/>
    </row>
    <row r="24" spans="1:12" s="9" customFormat="1" ht="30.75">
      <c r="A24" s="198" t="s">
        <v>369</v>
      </c>
      <c r="B24" s="239" t="s">
        <v>342</v>
      </c>
      <c r="C24" s="262">
        <v>16552200</v>
      </c>
      <c r="D24" s="262">
        <v>16552200</v>
      </c>
      <c r="E24" s="250"/>
      <c r="F24" s="241">
        <f t="shared" ref="F24:F32" si="0">+D24+E24</f>
        <v>16552200</v>
      </c>
      <c r="G24" s="262"/>
      <c r="H24" s="250">
        <f>+G24*100/C24</f>
        <v>0</v>
      </c>
      <c r="I24" s="262">
        <v>16552200</v>
      </c>
      <c r="J24" s="251">
        <f t="shared" ref="J24:J32" si="1">+D24+E24-G24</f>
        <v>16552200</v>
      </c>
      <c r="K24" s="250" t="s">
        <v>5</v>
      </c>
    </row>
    <row r="25" spans="1:12" s="9" customFormat="1" ht="30.75">
      <c r="A25" s="198" t="s">
        <v>370</v>
      </c>
      <c r="B25" s="239" t="s">
        <v>342</v>
      </c>
      <c r="C25" s="243">
        <f>52500000-C26</f>
        <v>14872000</v>
      </c>
      <c r="D25" s="243">
        <v>14872000</v>
      </c>
      <c r="E25" s="241"/>
      <c r="F25" s="241">
        <f t="shared" si="0"/>
        <v>14872000</v>
      </c>
      <c r="G25" s="262"/>
      <c r="H25" s="250">
        <f>+G25*100/C25</f>
        <v>0</v>
      </c>
      <c r="I25" s="243">
        <v>14872000</v>
      </c>
      <c r="J25" s="251">
        <f t="shared" si="1"/>
        <v>14872000</v>
      </c>
      <c r="K25" s="241"/>
      <c r="L25" s="412" t="s">
        <v>394</v>
      </c>
    </row>
    <row r="26" spans="1:12" s="9" customFormat="1" ht="30.75">
      <c r="A26" s="198" t="s">
        <v>393</v>
      </c>
      <c r="B26" s="239"/>
      <c r="C26" s="243">
        <v>37628000</v>
      </c>
      <c r="D26" s="243">
        <v>37628000</v>
      </c>
      <c r="E26" s="241"/>
      <c r="F26" s="241">
        <f t="shared" si="0"/>
        <v>37628000</v>
      </c>
      <c r="G26" s="262"/>
      <c r="H26" s="250"/>
      <c r="I26" s="243">
        <v>37628000</v>
      </c>
      <c r="J26" s="251">
        <f t="shared" si="1"/>
        <v>37628000</v>
      </c>
      <c r="K26" s="250" t="s">
        <v>5</v>
      </c>
      <c r="L26" s="412" t="s">
        <v>394</v>
      </c>
    </row>
    <row r="27" spans="1:12" s="9" customFormat="1" ht="30.75">
      <c r="A27" s="198" t="s">
        <v>371</v>
      </c>
      <c r="B27" s="243" t="s">
        <v>343</v>
      </c>
      <c r="C27" s="243">
        <v>5000000</v>
      </c>
      <c r="D27" s="243">
        <v>3928186</v>
      </c>
      <c r="E27" s="241"/>
      <c r="F27" s="241">
        <f t="shared" si="0"/>
        <v>3928186</v>
      </c>
      <c r="G27" s="262"/>
      <c r="H27" s="250">
        <f>+G27*100/C27</f>
        <v>0</v>
      </c>
      <c r="I27" s="243">
        <v>3928186</v>
      </c>
      <c r="J27" s="251">
        <f t="shared" si="1"/>
        <v>3928186</v>
      </c>
      <c r="K27" s="241"/>
    </row>
    <row r="28" spans="1:12" s="9" customFormat="1" ht="30.75">
      <c r="A28" s="198" t="s">
        <v>372</v>
      </c>
      <c r="B28" s="243" t="s">
        <v>343</v>
      </c>
      <c r="C28" s="321">
        <v>4302400</v>
      </c>
      <c r="D28" s="321">
        <v>4302400</v>
      </c>
      <c r="E28" s="262"/>
      <c r="F28" s="241">
        <f t="shared" si="0"/>
        <v>4302400</v>
      </c>
      <c r="G28" s="262"/>
      <c r="H28" s="250">
        <f>+G28*100/C28</f>
        <v>0</v>
      </c>
      <c r="I28" s="321">
        <v>4302400</v>
      </c>
      <c r="J28" s="251">
        <f t="shared" si="1"/>
        <v>4302400</v>
      </c>
      <c r="K28" s="250" t="s">
        <v>7</v>
      </c>
      <c r="L28" s="319">
        <v>5000000</v>
      </c>
    </row>
    <row r="29" spans="1:12" s="9" customFormat="1" ht="30.75">
      <c r="A29" s="209" t="s">
        <v>373</v>
      </c>
      <c r="B29" s="243" t="s">
        <v>344</v>
      </c>
      <c r="C29" s="246">
        <v>20000000</v>
      </c>
      <c r="D29" s="246">
        <f>33900+650342</f>
        <v>684242</v>
      </c>
      <c r="E29" s="243">
        <v>18950000</v>
      </c>
      <c r="F29" s="241">
        <f t="shared" si="0"/>
        <v>19634242</v>
      </c>
      <c r="G29" s="262"/>
      <c r="H29" s="250">
        <f>+G29*100/C29</f>
        <v>0</v>
      </c>
      <c r="I29" s="246">
        <f>33900</f>
        <v>33900</v>
      </c>
      <c r="J29" s="251">
        <f t="shared" si="1"/>
        <v>19634242</v>
      </c>
      <c r="K29" s="241"/>
    </row>
    <row r="30" spans="1:12" s="9" customFormat="1" ht="30.75" hidden="1">
      <c r="A30" s="198"/>
      <c r="B30" s="243"/>
      <c r="C30" s="243"/>
      <c r="D30" s="243"/>
      <c r="E30" s="241"/>
      <c r="F30" s="241">
        <f t="shared" si="0"/>
        <v>0</v>
      </c>
      <c r="G30" s="243"/>
      <c r="H30" s="250"/>
      <c r="I30" s="243"/>
      <c r="J30" s="251">
        <f t="shared" si="1"/>
        <v>0</v>
      </c>
      <c r="K30" s="241"/>
    </row>
    <row r="31" spans="1:12" s="9" customFormat="1" ht="30.75" hidden="1">
      <c r="A31" s="254" t="s">
        <v>351</v>
      </c>
      <c r="B31" s="243"/>
      <c r="C31" s="243"/>
      <c r="D31" s="243"/>
      <c r="E31" s="241"/>
      <c r="F31" s="241">
        <f t="shared" si="0"/>
        <v>0</v>
      </c>
      <c r="G31" s="243"/>
      <c r="H31" s="250"/>
      <c r="I31" s="243"/>
      <c r="J31" s="251">
        <f t="shared" si="1"/>
        <v>0</v>
      </c>
      <c r="K31" s="241"/>
    </row>
    <row r="32" spans="1:12" s="9" customFormat="1" ht="30.75" hidden="1">
      <c r="A32" s="198" t="s">
        <v>353</v>
      </c>
      <c r="B32" s="239" t="s">
        <v>342</v>
      </c>
      <c r="C32" s="243">
        <v>5888000</v>
      </c>
      <c r="D32" s="243"/>
      <c r="E32" s="241"/>
      <c r="F32" s="241">
        <f t="shared" si="0"/>
        <v>0</v>
      </c>
      <c r="G32" s="243"/>
      <c r="H32" s="250">
        <f>+G32*100/C32</f>
        <v>0</v>
      </c>
      <c r="I32" s="243"/>
      <c r="J32" s="251">
        <f t="shared" si="1"/>
        <v>0</v>
      </c>
      <c r="K32" s="241"/>
    </row>
    <row r="33" spans="1:11" s="9" customFormat="1" ht="31.5" thickBot="1">
      <c r="A33" s="209"/>
      <c r="B33" s="246"/>
      <c r="C33" s="246"/>
      <c r="D33" s="246"/>
      <c r="E33" s="256"/>
      <c r="F33" s="256"/>
      <c r="G33" s="246"/>
      <c r="H33" s="255"/>
      <c r="I33" s="246"/>
      <c r="J33" s="257"/>
      <c r="K33" s="241"/>
    </row>
    <row r="34" spans="1:11" s="9" customFormat="1" ht="31.5" thickBot="1">
      <c r="A34" s="249" t="s">
        <v>345</v>
      </c>
      <c r="B34" s="234"/>
      <c r="C34" s="234">
        <f>SUM(C37:C42)</f>
        <v>208043400</v>
      </c>
      <c r="D34" s="234">
        <f>SUM(D37:D42)</f>
        <v>165499529.43000001</v>
      </c>
      <c r="E34" s="237">
        <f>SUM(E37:E42)</f>
        <v>1158050</v>
      </c>
      <c r="F34" s="237">
        <f>+D34+E34</f>
        <v>166657579.43000001</v>
      </c>
      <c r="G34" s="234">
        <f>SUM(G37:G42)</f>
        <v>0</v>
      </c>
      <c r="H34" s="236">
        <f>+G34*100/C34</f>
        <v>0</v>
      </c>
      <c r="I34" s="234">
        <f>SUM(I37:I42)</f>
        <v>165499529.43000001</v>
      </c>
      <c r="J34" s="236">
        <f>+D34+E34-G34</f>
        <v>166657579.43000001</v>
      </c>
      <c r="K34" s="237"/>
    </row>
    <row r="35" spans="1:11" s="9" customFormat="1" ht="30.75">
      <c r="A35" s="258" t="s">
        <v>354</v>
      </c>
      <c r="B35" s="259"/>
      <c r="C35" s="251"/>
      <c r="D35" s="251"/>
      <c r="E35" s="250"/>
      <c r="F35" s="250"/>
      <c r="G35" s="251"/>
      <c r="H35" s="250"/>
      <c r="I35" s="251"/>
      <c r="J35" s="251"/>
      <c r="K35" s="250"/>
    </row>
    <row r="36" spans="1:11" s="9" customFormat="1" ht="30.75" hidden="1">
      <c r="A36" s="198"/>
      <c r="B36" s="243"/>
      <c r="C36" s="244"/>
      <c r="D36" s="244"/>
      <c r="E36" s="260"/>
      <c r="F36" s="260"/>
      <c r="G36" s="244"/>
      <c r="H36" s="260"/>
      <c r="I36" s="244"/>
      <c r="J36" s="244"/>
      <c r="K36" s="260"/>
    </row>
    <row r="37" spans="1:11" s="9" customFormat="1" ht="30.75">
      <c r="A37" s="198" t="s">
        <v>355</v>
      </c>
      <c r="B37" s="243" t="s">
        <v>360</v>
      </c>
      <c r="C37" s="244">
        <f>+'รายละเอียด-งบเพิ่มเติม'!C18+'รายละเอียด-งบเพิ่มเติม'!C19+'รายละเอียด-งบเพิ่มเติม'!C20+'รายละเอียด-งบเพิ่มเติม'!C21</f>
        <v>86426040</v>
      </c>
      <c r="D37" s="244">
        <f>+'รายละเอียด-งบเพิ่มเติม'!D18+'รายละเอียด-งบเพิ่มเติม'!D19+'รายละเอียด-งบเพิ่มเติม'!D20+'รายละเอียด-งบเพิ่มเติม'!D21</f>
        <v>86151133</v>
      </c>
      <c r="E37" s="244">
        <f>+'รายละเอียด-งบเพิ่มเติม'!E18+'รายละเอียด-งบเพิ่มเติม'!E19+'รายละเอียด-งบเพิ่มเติม'!E20+'รายละเอียด-งบเพิ่มเติม'!E21</f>
        <v>0</v>
      </c>
      <c r="F37" s="244">
        <f>+D37+E37</f>
        <v>86151133</v>
      </c>
      <c r="G37" s="244"/>
      <c r="H37" s="244">
        <f t="shared" ref="H37:H42" si="2">+G37*100/C37</f>
        <v>0</v>
      </c>
      <c r="I37" s="244">
        <f>+'รายละเอียด-งบเพิ่มเติม'!D18+'รายละเอียด-งบเพิ่มเติม'!D19+'รายละเอียด-งบเพิ่มเติม'!D20+'รายละเอียด-งบเพิ่มเติม'!D21</f>
        <v>86151133</v>
      </c>
      <c r="J37" s="244">
        <f t="shared" ref="J37:J42" si="3">+D37+E37-G37</f>
        <v>86151133</v>
      </c>
      <c r="K37" s="260"/>
    </row>
    <row r="38" spans="1:11" s="9" customFormat="1" ht="30.75">
      <c r="A38" s="198" t="s">
        <v>374</v>
      </c>
      <c r="B38" s="243" t="s">
        <v>368</v>
      </c>
      <c r="C38" s="265">
        <f>+'รายละเอียด-งบเพิ่มเติม'!C22+'รายละเอียด-งบเพิ่มเติม'!C23+'รายละเอียด-งบเพิ่มเติม'!C24</f>
        <v>23918960</v>
      </c>
      <c r="D38" s="265">
        <f>+'รายละเอียด-งบเพิ่มเติม'!D22+'รายละเอียด-งบเพิ่มเติม'!D23+'รายละเอียด-งบเพิ่มเติม'!D24</f>
        <v>22066813.43</v>
      </c>
      <c r="E38" s="265">
        <f>+'รายละเอียด-งบเพิ่มเติม'!E22+'รายละเอียด-งบเพิ่มเติม'!E23+'รายละเอียด-งบเพิ่มเติม'!E24</f>
        <v>982000</v>
      </c>
      <c r="F38" s="244">
        <f t="shared" ref="F38:F43" si="4">+D38+E38</f>
        <v>23048813.43</v>
      </c>
      <c r="G38" s="265"/>
      <c r="H38" s="265">
        <f t="shared" si="2"/>
        <v>0</v>
      </c>
      <c r="I38" s="265">
        <f>+'รายละเอียด-งบเพิ่มเติม'!D22+'รายละเอียด-งบเพิ่มเติม'!D23+'รายละเอียด-งบเพิ่มเติม'!D24</f>
        <v>22066813.43</v>
      </c>
      <c r="J38" s="244">
        <f t="shared" si="3"/>
        <v>23048813.43</v>
      </c>
      <c r="K38" s="263" t="s">
        <v>7</v>
      </c>
    </row>
    <row r="39" spans="1:11" s="9" customFormat="1" ht="30.75">
      <c r="A39" s="198" t="s">
        <v>375</v>
      </c>
      <c r="B39" s="243" t="s">
        <v>360</v>
      </c>
      <c r="C39" s="244">
        <v>41212000</v>
      </c>
      <c r="D39" s="244">
        <f>+'รายละเอียด-งบเพิ่มเติม'!D28+'รายละเอียด-งบเพิ่มเติม'!D29+'รายละเอียด-งบเพิ่มเติม'!D30+'รายละเอียด-งบเพิ่มเติม'!D31</f>
        <v>41212000</v>
      </c>
      <c r="E39" s="260">
        <f>+'รายละเอียด-งบเพิ่มเติม'!E26</f>
        <v>0</v>
      </c>
      <c r="F39" s="244">
        <f t="shared" si="4"/>
        <v>41212000</v>
      </c>
      <c r="G39" s="244"/>
      <c r="H39" s="260">
        <f t="shared" si="2"/>
        <v>0</v>
      </c>
      <c r="I39" s="244">
        <f>+'รายละเอียด-งบเพิ่มเติม'!D26</f>
        <v>41212000</v>
      </c>
      <c r="J39" s="244">
        <f t="shared" si="3"/>
        <v>41212000</v>
      </c>
      <c r="K39" s="260"/>
    </row>
    <row r="40" spans="1:11" s="9" customFormat="1" ht="30.75">
      <c r="A40" s="261" t="s">
        <v>388</v>
      </c>
      <c r="B40" s="243" t="s">
        <v>360</v>
      </c>
      <c r="C40" s="262">
        <v>38880000</v>
      </c>
      <c r="D40" s="262">
        <f>+'รายละเอียด-งบเพิ่มเติม'!D35+'รายละเอียด-งบเพิ่มเติม'!D36+'รายละเอียด-งบเพิ่มเติม'!D37+'รายละเอียด-งบเพิ่มเติม'!D38</f>
        <v>9776653</v>
      </c>
      <c r="E40" s="263">
        <f>+'รายละเอียด-งบเพิ่มเติม'!E33</f>
        <v>0</v>
      </c>
      <c r="F40" s="244">
        <f t="shared" si="4"/>
        <v>9776653</v>
      </c>
      <c r="G40" s="262"/>
      <c r="H40" s="260">
        <f t="shared" si="2"/>
        <v>0</v>
      </c>
      <c r="I40" s="262">
        <f>+'รายละเอียด-งบเพิ่มเติม'!D33</f>
        <v>9776653</v>
      </c>
      <c r="J40" s="244">
        <f t="shared" si="3"/>
        <v>9776653</v>
      </c>
      <c r="K40" s="263"/>
    </row>
    <row r="41" spans="1:11" s="9" customFormat="1" ht="30.75" hidden="1">
      <c r="A41" s="198"/>
      <c r="B41" s="243"/>
      <c r="C41" s="244"/>
      <c r="D41" s="244"/>
      <c r="E41" s="264"/>
      <c r="F41" s="244">
        <f t="shared" si="4"/>
        <v>0</v>
      </c>
      <c r="G41" s="244"/>
      <c r="H41" s="260" t="e">
        <f t="shared" si="2"/>
        <v>#DIV/0!</v>
      </c>
      <c r="I41" s="244"/>
      <c r="J41" s="244">
        <f t="shared" si="3"/>
        <v>0</v>
      </c>
      <c r="K41" s="260"/>
    </row>
    <row r="42" spans="1:11" s="9" customFormat="1" ht="30.75">
      <c r="A42" s="273" t="s">
        <v>356</v>
      </c>
      <c r="B42" s="243" t="s">
        <v>360</v>
      </c>
      <c r="C42" s="244">
        <v>17606400</v>
      </c>
      <c r="D42" s="244">
        <f>+'รายละเอียด-งบเพิ่มเติม'!D43+'รายละเอียด-งบเพิ่มเติม'!D44+'รายละเอียด-งบเพิ่มเติม'!D45+'รายละเอียด-งบเพิ่มเติม'!D46</f>
        <v>6292930</v>
      </c>
      <c r="E42" s="260">
        <f>+'รายละเอียด-งบเพิ่มเติม'!E41</f>
        <v>176050</v>
      </c>
      <c r="F42" s="244">
        <f t="shared" si="4"/>
        <v>6468980</v>
      </c>
      <c r="G42" s="244"/>
      <c r="H42" s="260">
        <f t="shared" si="2"/>
        <v>0</v>
      </c>
      <c r="I42" s="244">
        <f>+'รายละเอียด-งบเพิ่มเติม'!D41</f>
        <v>6292930</v>
      </c>
      <c r="J42" s="244">
        <f t="shared" si="3"/>
        <v>6468980</v>
      </c>
      <c r="K42" s="260"/>
    </row>
    <row r="43" spans="1:11" s="9" customFormat="1" ht="31.5" thickBot="1">
      <c r="A43" s="337"/>
      <c r="B43" s="277"/>
      <c r="C43" s="279"/>
      <c r="D43" s="279"/>
      <c r="E43" s="278"/>
      <c r="F43" s="244">
        <f t="shared" si="4"/>
        <v>0</v>
      </c>
      <c r="G43" s="279"/>
      <c r="H43" s="278"/>
      <c r="I43" s="279"/>
      <c r="J43" s="279"/>
      <c r="K43" s="278"/>
    </row>
    <row r="44" spans="1:11" s="326" customFormat="1" ht="28.5" customHeight="1" thickBot="1">
      <c r="A44" s="322" t="s">
        <v>377</v>
      </c>
      <c r="B44" s="323"/>
      <c r="C44" s="324">
        <f>SUM(C45:C48)</f>
        <v>414068000</v>
      </c>
      <c r="D44" s="324">
        <f>SUM(D45:D47)</f>
        <v>270248557.43000001</v>
      </c>
      <c r="E44" s="325">
        <f>SUM(E45:E48)</f>
        <v>85252050</v>
      </c>
      <c r="F44" s="325">
        <f>+D44+E44</f>
        <v>355500607.43000001</v>
      </c>
      <c r="G44" s="324">
        <f>SUM(G45:G48)</f>
        <v>144000</v>
      </c>
      <c r="H44" s="325">
        <f>+G44*100/C44</f>
        <v>3.477689654839302E-2</v>
      </c>
      <c r="I44" s="324">
        <f>SUM(I45:I47)</f>
        <v>269598215.43000001</v>
      </c>
      <c r="J44" s="324">
        <f>+C44-D44-G44-E44</f>
        <v>58423392.569999993</v>
      </c>
      <c r="K44" s="325"/>
    </row>
    <row r="45" spans="1:11" s="330" customFormat="1" ht="30.75" customHeight="1">
      <c r="A45" s="370" t="s">
        <v>385</v>
      </c>
      <c r="B45" s="327"/>
      <c r="C45" s="328">
        <f>+C23+C25+C27+C29+C32+C37+C39+C40+C42</f>
        <v>239884440</v>
      </c>
      <c r="D45" s="328">
        <f>+D23+D25+D27+D29+D32+D37+D39+D40+D42</f>
        <v>162917144</v>
      </c>
      <c r="E45" s="328">
        <f>+E23+E25+E27+E29+E32+E37+E39+E40+E42</f>
        <v>19270050</v>
      </c>
      <c r="F45" s="328">
        <f>+D45+E45</f>
        <v>182187194</v>
      </c>
      <c r="G45" s="328">
        <f>+G23+G25+G27+G29+G32+G37+G39+G40+G42</f>
        <v>144000</v>
      </c>
      <c r="H45" s="328">
        <f>+G45*100/C45</f>
        <v>6.002890391723615E-2</v>
      </c>
      <c r="I45" s="328">
        <f>+I23+I25+I27+I29+I32+I37+I39+I40+I42</f>
        <v>162266802</v>
      </c>
      <c r="J45" s="329">
        <f>+D45+E45-G45</f>
        <v>182043194</v>
      </c>
      <c r="K45" s="329"/>
    </row>
    <row r="46" spans="1:11" s="330" customFormat="1" ht="29.25" customHeight="1">
      <c r="A46" s="338" t="s">
        <v>386</v>
      </c>
      <c r="B46" s="331"/>
      <c r="C46" s="332">
        <f>+C9+C28+C38</f>
        <v>120003360</v>
      </c>
      <c r="D46" s="332">
        <f>+D9+D28+D38</f>
        <v>53151213.43</v>
      </c>
      <c r="E46" s="332">
        <f>+E9+E28+E38</f>
        <v>65982000</v>
      </c>
      <c r="F46" s="332">
        <f>+D46+E46</f>
        <v>119133213.43000001</v>
      </c>
      <c r="G46" s="332">
        <f>+G9+G28+G38</f>
        <v>0</v>
      </c>
      <c r="H46" s="328">
        <f>+G46*100/C46</f>
        <v>0</v>
      </c>
      <c r="I46" s="332">
        <f>+I9+I28+I38</f>
        <v>53151213.43</v>
      </c>
      <c r="J46" s="329">
        <f>+D46+E46-G46</f>
        <v>119133213.43000001</v>
      </c>
      <c r="K46" s="329"/>
    </row>
    <row r="47" spans="1:11" s="197" customFormat="1" ht="33">
      <c r="A47" s="371" t="s">
        <v>387</v>
      </c>
      <c r="B47" s="199"/>
      <c r="C47" s="332">
        <f>+C24+C26</f>
        <v>54180200</v>
      </c>
      <c r="D47" s="332">
        <f>+D24+D26</f>
        <v>54180200</v>
      </c>
      <c r="E47" s="200">
        <f>+E24</f>
        <v>0</v>
      </c>
      <c r="F47" s="332">
        <f>+D47+E47</f>
        <v>54180200</v>
      </c>
      <c r="G47" s="199">
        <f>+G24</f>
        <v>0</v>
      </c>
      <c r="H47" s="328">
        <f>+G47*100/C47</f>
        <v>0</v>
      </c>
      <c r="I47" s="332">
        <f>+I24+I26</f>
        <v>54180200</v>
      </c>
      <c r="J47" s="329">
        <f>+D47+E47-G47</f>
        <v>54180200</v>
      </c>
      <c r="K47" s="208"/>
    </row>
    <row r="48" spans="1:11" ht="31.5" thickBot="1">
      <c r="A48" s="219"/>
      <c r="B48" s="221"/>
      <c r="C48" s="220"/>
      <c r="D48" s="220"/>
      <c r="E48" s="222"/>
      <c r="F48" s="222"/>
      <c r="G48" s="221"/>
      <c r="H48" s="222"/>
      <c r="I48" s="220"/>
      <c r="J48" s="222"/>
      <c r="K48" s="222"/>
    </row>
    <row r="49" spans="3:11" ht="27.75">
      <c r="C49" s="225">
        <v>104052200</v>
      </c>
      <c r="D49" s="225"/>
      <c r="G49" s="33"/>
      <c r="I49" s="225"/>
      <c r="K49" s="33"/>
    </row>
    <row r="50" spans="3:11" ht="27.75">
      <c r="C50" s="225">
        <v>4302400</v>
      </c>
      <c r="D50" s="225"/>
      <c r="G50" s="33"/>
      <c r="I50" s="225"/>
      <c r="K50" s="33"/>
    </row>
    <row r="51" spans="3:11" ht="27.75">
      <c r="C51" s="225">
        <v>5888000</v>
      </c>
      <c r="D51" s="225"/>
      <c r="G51" s="443"/>
      <c r="I51" s="225"/>
      <c r="K51" s="33"/>
    </row>
    <row r="52" spans="3:11" ht="27.75">
      <c r="C52" s="225">
        <v>190437000</v>
      </c>
      <c r="D52" s="225"/>
      <c r="G52" s="443"/>
      <c r="I52" s="225"/>
      <c r="K52" s="33"/>
    </row>
    <row r="53" spans="3:11" ht="27.75">
      <c r="C53" s="225">
        <v>17606400</v>
      </c>
      <c r="D53" s="225"/>
      <c r="G53" s="443"/>
      <c r="I53" s="225"/>
      <c r="K53" s="33"/>
    </row>
    <row r="54" spans="3:11" ht="27.75">
      <c r="C54" s="225">
        <f>SUM(C49:C53)</f>
        <v>322286000</v>
      </c>
      <c r="D54" s="225"/>
      <c r="G54" s="443"/>
      <c r="I54" s="225"/>
    </row>
    <row r="55" spans="3:11" ht="27.75">
      <c r="C55" s="226">
        <f>+C7-C54</f>
        <v>91782000</v>
      </c>
      <c r="D55" s="226"/>
      <c r="G55" s="443"/>
      <c r="I55" s="226"/>
    </row>
    <row r="56" spans="3:11" ht="27.75">
      <c r="G56" s="443"/>
    </row>
    <row r="57" spans="3:11" ht="27.75">
      <c r="G57" s="443"/>
    </row>
    <row r="58" spans="3:11" ht="27.75">
      <c r="G58" s="443"/>
    </row>
    <row r="59" spans="3:11" ht="27.75">
      <c r="G59" s="443"/>
    </row>
    <row r="60" spans="3:11" ht="27.75">
      <c r="G60" s="443"/>
    </row>
    <row r="61" spans="3:11" ht="27.75">
      <c r="C61" s="19"/>
      <c r="D61" s="19"/>
      <c r="E61" s="19"/>
      <c r="F61" s="19"/>
      <c r="G61" s="172"/>
      <c r="I61" s="19"/>
      <c r="J61" s="19"/>
      <c r="K61" s="19"/>
    </row>
    <row r="62" spans="3:11" ht="27.75">
      <c r="C62" s="19"/>
      <c r="D62" s="19"/>
      <c r="E62" s="19"/>
      <c r="F62" s="19"/>
      <c r="G62" s="172"/>
      <c r="I62" s="19"/>
      <c r="J62" s="19"/>
      <c r="K62" s="19"/>
    </row>
    <row r="63" spans="3:11" ht="27.75">
      <c r="C63" s="19"/>
      <c r="D63" s="19"/>
      <c r="E63" s="19"/>
      <c r="F63" s="19"/>
      <c r="G63" s="172"/>
      <c r="I63" s="19"/>
      <c r="J63" s="19"/>
      <c r="K63" s="19"/>
    </row>
    <row r="64" spans="3:11" ht="27.75">
      <c r="E64" s="443"/>
      <c r="F64" s="443"/>
    </row>
    <row r="65" spans="5:6" ht="27.75">
      <c r="E65" s="443"/>
      <c r="F65" s="443"/>
    </row>
    <row r="66" spans="5:6" ht="27.75">
      <c r="E66" s="443"/>
      <c r="F66" s="443"/>
    </row>
    <row r="108" s="19" customFormat="1"/>
  </sheetData>
  <mergeCells count="10">
    <mergeCell ref="A2:K2"/>
    <mergeCell ref="A3:K3"/>
    <mergeCell ref="A4:K4"/>
    <mergeCell ref="A5:A6"/>
    <mergeCell ref="B5:B6"/>
    <mergeCell ref="J5:J6"/>
    <mergeCell ref="K5:K6"/>
    <mergeCell ref="G5:G6"/>
    <mergeCell ref="C5:C6"/>
    <mergeCell ref="D5:F5"/>
  </mergeCells>
  <printOptions horizontalCentered="1"/>
  <pageMargins left="9.2125983999999994E-2" right="0.118110236220472" top="0.52204724409449998" bottom="0" header="0.196850393700787" footer="0"/>
  <pageSetup paperSize="9" scale="5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2:E12"/>
  <sheetViews>
    <sheetView workbookViewId="0">
      <selection activeCell="I5" sqref="I5"/>
    </sheetView>
  </sheetViews>
  <sheetFormatPr defaultRowHeight="12.75"/>
  <cols>
    <col min="1" max="1" width="39.5703125" customWidth="1"/>
    <col min="2" max="2" width="18.85546875" customWidth="1"/>
    <col min="3" max="3" width="17.42578125" style="218" bestFit="1" customWidth="1"/>
    <col min="4" max="4" width="16.28515625" customWidth="1"/>
    <col min="5" max="5" width="17.85546875" customWidth="1"/>
  </cols>
  <sheetData>
    <row r="2" spans="1:5" s="212" customFormat="1" ht="36">
      <c r="A2" s="2411" t="s">
        <v>326</v>
      </c>
      <c r="B2" s="2411"/>
      <c r="C2" s="2411"/>
      <c r="D2" s="2411"/>
      <c r="E2" s="2411"/>
    </row>
    <row r="3" spans="1:5" s="212" customFormat="1" ht="36">
      <c r="A3" s="2411" t="s">
        <v>329</v>
      </c>
      <c r="B3" s="2411"/>
      <c r="C3" s="2411"/>
      <c r="D3" s="2411"/>
      <c r="E3" s="2411"/>
    </row>
    <row r="4" spans="1:5" s="212" customFormat="1" ht="36">
      <c r="A4" s="212" t="s">
        <v>337</v>
      </c>
      <c r="C4" s="215"/>
    </row>
    <row r="5" spans="1:5" s="197" customFormat="1" ht="63.75" customHeight="1">
      <c r="A5" s="2406" t="s">
        <v>330</v>
      </c>
      <c r="B5" s="2407" t="s">
        <v>331</v>
      </c>
      <c r="C5" s="2409" t="s">
        <v>333</v>
      </c>
      <c r="D5" s="2406" t="s">
        <v>332</v>
      </c>
      <c r="E5" s="2406"/>
    </row>
    <row r="6" spans="1:5" s="210" customFormat="1" ht="30.75">
      <c r="A6" s="2406"/>
      <c r="B6" s="2408"/>
      <c r="C6" s="2410"/>
      <c r="D6" s="213">
        <v>21974</v>
      </c>
      <c r="E6" s="213">
        <v>22004</v>
      </c>
    </row>
    <row r="7" spans="1:5" s="197" customFormat="1" ht="30.75">
      <c r="A7" s="211" t="s">
        <v>320</v>
      </c>
      <c r="B7" s="214">
        <v>52</v>
      </c>
      <c r="C7" s="216" t="e">
        <f>+#REF!</f>
        <v>#REF!</v>
      </c>
      <c r="D7" s="214">
        <v>48.27</v>
      </c>
      <c r="E7" s="214">
        <v>60.32</v>
      </c>
    </row>
    <row r="8" spans="1:5" s="197" customFormat="1" ht="30.75">
      <c r="A8" s="211" t="s">
        <v>321</v>
      </c>
      <c r="B8" s="214">
        <v>55</v>
      </c>
      <c r="C8" s="216" t="e">
        <f>+#REF!</f>
        <v>#REF!</v>
      </c>
      <c r="D8" s="214">
        <v>47.88</v>
      </c>
      <c r="E8" s="214">
        <v>60.19</v>
      </c>
    </row>
    <row r="9" spans="1:5" s="197" customFormat="1" ht="30.75">
      <c r="A9" s="211" t="s">
        <v>322</v>
      </c>
      <c r="B9" s="214">
        <v>41</v>
      </c>
      <c r="C9" s="216" t="e">
        <f>+#REF!</f>
        <v>#REF!</v>
      </c>
      <c r="D9" s="214">
        <v>55.5</v>
      </c>
      <c r="E9" s="214">
        <v>62.79</v>
      </c>
    </row>
    <row r="10" spans="1:5" s="197" customFormat="1" ht="30.75">
      <c r="A10" s="211" t="s">
        <v>334</v>
      </c>
      <c r="B10" s="214" t="s">
        <v>335</v>
      </c>
      <c r="C10" s="216">
        <v>89.27</v>
      </c>
      <c r="D10" s="214">
        <v>94.84</v>
      </c>
      <c r="E10" s="214">
        <v>94.84</v>
      </c>
    </row>
    <row r="11" spans="1:5" s="197" customFormat="1" ht="30.75">
      <c r="A11" s="211" t="s">
        <v>336</v>
      </c>
      <c r="B11" s="214" t="s">
        <v>335</v>
      </c>
      <c r="C11" s="216">
        <v>91.6</v>
      </c>
      <c r="D11" s="214">
        <v>94.45</v>
      </c>
      <c r="E11" s="214">
        <v>94.45</v>
      </c>
    </row>
    <row r="12" spans="1:5" s="160" customFormat="1" ht="24">
      <c r="A12" s="162"/>
      <c r="B12" s="162"/>
      <c r="C12" s="217"/>
      <c r="D12" s="162"/>
      <c r="E12" s="162"/>
    </row>
  </sheetData>
  <mergeCells count="6">
    <mergeCell ref="D5:E5"/>
    <mergeCell ref="A5:A6"/>
    <mergeCell ref="B5:B6"/>
    <mergeCell ref="C5:C6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S638"/>
  <sheetViews>
    <sheetView zoomScale="90" zoomScaleNormal="90" workbookViewId="0">
      <pane xSplit="9" ySplit="10" topLeftCell="J600" activePane="bottomRight" state="frozen"/>
      <selection pane="topRight" activeCell="J1" sqref="J1"/>
      <selection pane="bottomLeft" activeCell="A11" sqref="A11"/>
      <selection pane="bottomRight" activeCell="L618" sqref="L618"/>
    </sheetView>
  </sheetViews>
  <sheetFormatPr defaultRowHeight="12.75"/>
  <cols>
    <col min="9" max="9" width="16.42578125" bestFit="1" customWidth="1"/>
  </cols>
  <sheetData>
    <row r="1" spans="2:19">
      <c r="B1" t="s">
        <v>38</v>
      </c>
      <c r="P1">
        <v>1</v>
      </c>
      <c r="R1" t="s">
        <v>39</v>
      </c>
      <c r="S1">
        <v>1</v>
      </c>
    </row>
    <row r="2" spans="2:19">
      <c r="B2" t="s">
        <v>40</v>
      </c>
      <c r="E2">
        <v>2016</v>
      </c>
      <c r="F2" t="s">
        <v>41</v>
      </c>
      <c r="H2" t="s">
        <v>42</v>
      </c>
      <c r="L2" t="s">
        <v>43</v>
      </c>
      <c r="N2" t="s">
        <v>275</v>
      </c>
      <c r="O2" t="s">
        <v>44</v>
      </c>
      <c r="R2" s="156">
        <v>0.36399305555555556</v>
      </c>
    </row>
    <row r="3" spans="2:19">
      <c r="B3" t="s">
        <v>45</v>
      </c>
      <c r="D3" t="s">
        <v>72</v>
      </c>
      <c r="G3" t="s">
        <v>46</v>
      </c>
    </row>
    <row r="4" spans="2:19">
      <c r="C4" t="s">
        <v>47</v>
      </c>
      <c r="I4" t="s">
        <v>48</v>
      </c>
      <c r="J4" t="s">
        <v>49</v>
      </c>
      <c r="K4" t="s">
        <v>50</v>
      </c>
      <c r="M4" t="s">
        <v>51</v>
      </c>
      <c r="Q4" t="s">
        <v>52</v>
      </c>
    </row>
    <row r="6" spans="2:19">
      <c r="C6" t="s">
        <v>53</v>
      </c>
      <c r="I6" s="157">
        <v>5241072700</v>
      </c>
      <c r="K6" s="157">
        <v>221034682.59</v>
      </c>
      <c r="M6" s="157">
        <v>2766550183.8200002</v>
      </c>
      <c r="Q6" s="157">
        <v>2253487833.5900002</v>
      </c>
    </row>
    <row r="8" spans="2:19">
      <c r="C8" t="s">
        <v>276</v>
      </c>
      <c r="I8" s="157">
        <v>59532000</v>
      </c>
      <c r="K8" s="157">
        <v>100000</v>
      </c>
      <c r="M8" s="157">
        <v>699700</v>
      </c>
      <c r="Q8" s="157">
        <v>58732300</v>
      </c>
    </row>
    <row r="9" spans="2:19">
      <c r="C9" t="s">
        <v>277</v>
      </c>
      <c r="I9" s="157">
        <v>59532000</v>
      </c>
      <c r="K9" s="157">
        <v>100000</v>
      </c>
      <c r="M9" s="157">
        <v>699700</v>
      </c>
      <c r="Q9" s="157">
        <v>58732300</v>
      </c>
    </row>
    <row r="11" spans="2:19">
      <c r="C11" t="s">
        <v>54</v>
      </c>
      <c r="I11" s="157">
        <v>4053228600</v>
      </c>
      <c r="K11" s="157">
        <v>14604379.390000001</v>
      </c>
      <c r="M11" s="157">
        <v>2321051112.4200001</v>
      </c>
      <c r="Q11" s="157">
        <v>1717573108.1900001</v>
      </c>
    </row>
    <row r="12" spans="2:19">
      <c r="C12" t="s">
        <v>73</v>
      </c>
      <c r="I12" s="157">
        <v>2485175500</v>
      </c>
      <c r="Q12" s="157">
        <v>2485175500</v>
      </c>
    </row>
    <row r="13" spans="2:19">
      <c r="C13" t="s">
        <v>278</v>
      </c>
      <c r="M13" s="157">
        <v>1278290824.48</v>
      </c>
      <c r="Q13" s="157">
        <v>-1278290824.48</v>
      </c>
    </row>
    <row r="14" spans="2:19">
      <c r="C14" t="s">
        <v>279</v>
      </c>
      <c r="M14" s="157">
        <v>17813125.190000001</v>
      </c>
      <c r="Q14" s="157">
        <v>-17813125.190000001</v>
      </c>
    </row>
    <row r="15" spans="2:19">
      <c r="C15" t="s">
        <v>280</v>
      </c>
      <c r="M15" s="157">
        <v>7377971.6100000003</v>
      </c>
      <c r="Q15" s="157">
        <v>-7377971.6100000003</v>
      </c>
    </row>
    <row r="16" spans="2:19">
      <c r="C16" t="s">
        <v>74</v>
      </c>
      <c r="I16" s="157">
        <v>1568053100</v>
      </c>
      <c r="Q16" s="157">
        <v>1568053100</v>
      </c>
    </row>
    <row r="17" spans="3:17">
      <c r="C17" t="s">
        <v>281</v>
      </c>
      <c r="M17" s="157">
        <v>185546715.00999999</v>
      </c>
      <c r="Q17" s="157">
        <v>-185546715.00999999</v>
      </c>
    </row>
    <row r="18" spans="3:17">
      <c r="C18" t="s">
        <v>282</v>
      </c>
      <c r="K18" s="157">
        <v>2278780.79</v>
      </c>
      <c r="M18" s="157">
        <v>637496447.10000002</v>
      </c>
      <c r="Q18" s="157">
        <v>-639775227.88999999</v>
      </c>
    </row>
    <row r="19" spans="3:17">
      <c r="C19" t="s">
        <v>283</v>
      </c>
      <c r="K19" s="157">
        <v>1257818.6000000001</v>
      </c>
      <c r="M19" s="157">
        <v>173215406.30000001</v>
      </c>
      <c r="Q19" s="157">
        <v>-174473224.90000001</v>
      </c>
    </row>
    <row r="20" spans="3:17">
      <c r="C20" t="s">
        <v>284</v>
      </c>
      <c r="K20" s="157">
        <v>11067780</v>
      </c>
      <c r="M20" s="157">
        <v>21310622.73</v>
      </c>
      <c r="Q20" s="157">
        <v>-32378402.73</v>
      </c>
    </row>
    <row r="22" spans="3:17">
      <c r="C22" t="s">
        <v>75</v>
      </c>
      <c r="I22" s="157">
        <v>23370000</v>
      </c>
      <c r="M22" s="157">
        <v>22847291</v>
      </c>
      <c r="Q22" s="157">
        <v>522709</v>
      </c>
    </row>
    <row r="23" spans="3:17">
      <c r="C23" t="s">
        <v>76</v>
      </c>
      <c r="I23" s="157">
        <v>23370000</v>
      </c>
      <c r="M23" s="157">
        <v>22847291</v>
      </c>
      <c r="Q23" s="157">
        <v>522709</v>
      </c>
    </row>
    <row r="25" spans="3:17">
      <c r="C25" t="s">
        <v>77</v>
      </c>
      <c r="I25" s="157">
        <v>7790000</v>
      </c>
      <c r="M25" s="157">
        <v>7790000</v>
      </c>
    </row>
    <row r="26" spans="3:17">
      <c r="C26" t="s">
        <v>76</v>
      </c>
      <c r="I26" s="157">
        <v>7790000</v>
      </c>
      <c r="M26" s="157">
        <v>7790000</v>
      </c>
    </row>
    <row r="28" spans="3:17">
      <c r="C28" t="s">
        <v>78</v>
      </c>
      <c r="I28" s="157">
        <v>19316000</v>
      </c>
      <c r="M28" s="157">
        <v>18575214</v>
      </c>
      <c r="Q28" s="157">
        <v>740786</v>
      </c>
    </row>
    <row r="29" spans="3:17">
      <c r="C29" t="s">
        <v>76</v>
      </c>
      <c r="I29" s="157">
        <v>19316000</v>
      </c>
      <c r="M29" s="157">
        <v>18575214</v>
      </c>
      <c r="Q29" s="157">
        <v>740786</v>
      </c>
    </row>
    <row r="31" spans="3:17">
      <c r="C31" t="s">
        <v>79</v>
      </c>
      <c r="I31" s="157">
        <v>787000</v>
      </c>
      <c r="M31" s="157">
        <v>684750</v>
      </c>
      <c r="Q31" s="157">
        <v>102250</v>
      </c>
    </row>
    <row r="32" spans="3:17">
      <c r="C32" t="s">
        <v>76</v>
      </c>
      <c r="I32" s="157">
        <v>787000</v>
      </c>
      <c r="M32" s="157">
        <v>684750</v>
      </c>
      <c r="Q32" s="157">
        <v>102250</v>
      </c>
    </row>
    <row r="34" spans="3:17">
      <c r="C34" t="s">
        <v>80</v>
      </c>
      <c r="I34" s="157">
        <v>787000</v>
      </c>
      <c r="M34" s="157">
        <v>684750</v>
      </c>
      <c r="Q34" s="157">
        <v>102250</v>
      </c>
    </row>
    <row r="35" spans="3:17">
      <c r="C35" t="s">
        <v>76</v>
      </c>
      <c r="I35" s="157">
        <v>787000</v>
      </c>
      <c r="M35" s="157">
        <v>684750</v>
      </c>
      <c r="Q35" s="157">
        <v>102250</v>
      </c>
    </row>
    <row r="37" spans="3:17">
      <c r="C37" t="s">
        <v>81</v>
      </c>
      <c r="I37" s="157">
        <v>787000</v>
      </c>
      <c r="M37" s="157">
        <v>684750</v>
      </c>
      <c r="Q37" s="157">
        <v>102250</v>
      </c>
    </row>
    <row r="38" spans="3:17">
      <c r="C38" t="s">
        <v>76</v>
      </c>
      <c r="I38" s="157">
        <v>787000</v>
      </c>
      <c r="M38" s="157">
        <v>684750</v>
      </c>
      <c r="Q38" s="157">
        <v>102250</v>
      </c>
    </row>
    <row r="40" spans="3:17">
      <c r="C40" t="s">
        <v>82</v>
      </c>
      <c r="I40" s="157">
        <v>787000</v>
      </c>
      <c r="M40" s="157">
        <v>684750</v>
      </c>
      <c r="Q40" s="157">
        <v>102250</v>
      </c>
    </row>
    <row r="41" spans="3:17">
      <c r="C41" t="s">
        <v>76</v>
      </c>
      <c r="I41" s="157">
        <v>787000</v>
      </c>
      <c r="M41" s="157">
        <v>684750</v>
      </c>
      <c r="Q41" s="157">
        <v>102250</v>
      </c>
    </row>
    <row r="43" spans="3:17">
      <c r="C43" t="s">
        <v>83</v>
      </c>
      <c r="I43" s="157">
        <v>787000</v>
      </c>
      <c r="M43" s="157">
        <v>684750</v>
      </c>
      <c r="Q43" s="157">
        <v>102250</v>
      </c>
    </row>
    <row r="44" spans="3:17">
      <c r="C44" t="s">
        <v>76</v>
      </c>
      <c r="I44" s="157">
        <v>787000</v>
      </c>
      <c r="M44" s="157">
        <v>684750</v>
      </c>
      <c r="Q44" s="157">
        <v>102250</v>
      </c>
    </row>
    <row r="46" spans="3:17">
      <c r="C46" t="s">
        <v>84</v>
      </c>
      <c r="I46" s="157">
        <v>787000</v>
      </c>
      <c r="M46" s="157">
        <v>684750</v>
      </c>
      <c r="Q46" s="157">
        <v>102250</v>
      </c>
    </row>
    <row r="47" spans="3:17">
      <c r="C47" t="s">
        <v>76</v>
      </c>
      <c r="I47" s="157">
        <v>787000</v>
      </c>
      <c r="M47" s="157">
        <v>684750</v>
      </c>
      <c r="Q47" s="157">
        <v>102250</v>
      </c>
    </row>
    <row r="49" spans="3:17">
      <c r="C49" t="s">
        <v>85</v>
      </c>
      <c r="I49" s="157">
        <v>787000</v>
      </c>
      <c r="M49" s="157">
        <v>684750</v>
      </c>
      <c r="Q49" s="157">
        <v>102250</v>
      </c>
    </row>
    <row r="50" spans="3:17">
      <c r="C50" t="s">
        <v>76</v>
      </c>
      <c r="I50" s="157">
        <v>787000</v>
      </c>
      <c r="M50" s="157">
        <v>684750</v>
      </c>
      <c r="Q50" s="157">
        <v>102250</v>
      </c>
    </row>
    <row r="52" spans="3:17">
      <c r="C52" t="s">
        <v>86</v>
      </c>
      <c r="I52" s="157">
        <v>787000</v>
      </c>
      <c r="M52" s="157">
        <v>684750</v>
      </c>
      <c r="Q52" s="157">
        <v>102250</v>
      </c>
    </row>
    <row r="53" spans="3:17">
      <c r="C53" t="s">
        <v>76</v>
      </c>
      <c r="I53" s="157">
        <v>787000</v>
      </c>
      <c r="M53" s="157">
        <v>684750</v>
      </c>
      <c r="Q53" s="157">
        <v>102250</v>
      </c>
    </row>
    <row r="55" spans="3:17">
      <c r="C55" t="s">
        <v>87</v>
      </c>
      <c r="I55" s="157">
        <v>787000</v>
      </c>
      <c r="M55" s="157">
        <v>684750</v>
      </c>
      <c r="Q55" s="157">
        <v>102250</v>
      </c>
    </row>
    <row r="56" spans="3:17">
      <c r="C56" t="s">
        <v>76</v>
      </c>
      <c r="I56" s="157">
        <v>787000</v>
      </c>
      <c r="M56" s="157">
        <v>684750</v>
      </c>
      <c r="Q56" s="157">
        <v>102250</v>
      </c>
    </row>
    <row r="58" spans="3:17">
      <c r="C58" t="s">
        <v>88</v>
      </c>
      <c r="I58" s="157">
        <v>787000</v>
      </c>
      <c r="M58" s="157">
        <v>684750</v>
      </c>
      <c r="Q58" s="157">
        <v>102250</v>
      </c>
    </row>
    <row r="59" spans="3:17">
      <c r="C59" t="s">
        <v>76</v>
      </c>
      <c r="I59" s="157">
        <v>787000</v>
      </c>
      <c r="M59" s="157">
        <v>684750</v>
      </c>
      <c r="Q59" s="157">
        <v>102250</v>
      </c>
    </row>
    <row r="61" spans="3:17">
      <c r="C61" t="s">
        <v>89</v>
      </c>
      <c r="I61" s="157">
        <v>787000</v>
      </c>
      <c r="M61" s="157">
        <v>684750</v>
      </c>
      <c r="Q61" s="157">
        <v>102250</v>
      </c>
    </row>
    <row r="62" spans="3:17">
      <c r="C62" t="s">
        <v>76</v>
      </c>
      <c r="I62" s="157">
        <v>787000</v>
      </c>
      <c r="M62" s="157">
        <v>684750</v>
      </c>
      <c r="Q62" s="157">
        <v>102250</v>
      </c>
    </row>
    <row r="64" spans="3:17">
      <c r="C64" t="s">
        <v>90</v>
      </c>
      <c r="I64" s="157">
        <v>787000</v>
      </c>
      <c r="M64" s="157">
        <v>684750</v>
      </c>
      <c r="Q64" s="157">
        <v>102250</v>
      </c>
    </row>
    <row r="65" spans="3:17">
      <c r="C65" t="s">
        <v>76</v>
      </c>
      <c r="I65" s="157">
        <v>787000</v>
      </c>
      <c r="M65" s="157">
        <v>684750</v>
      </c>
      <c r="Q65" s="157">
        <v>102250</v>
      </c>
    </row>
    <row r="67" spans="3:17">
      <c r="C67" t="s">
        <v>91</v>
      </c>
      <c r="I67" s="157">
        <v>787000</v>
      </c>
      <c r="M67" s="157">
        <v>684750</v>
      </c>
      <c r="Q67" s="157">
        <v>102250</v>
      </c>
    </row>
    <row r="68" spans="3:17">
      <c r="C68" t="s">
        <v>76</v>
      </c>
      <c r="I68" s="157">
        <v>787000</v>
      </c>
      <c r="M68" s="157">
        <v>684750</v>
      </c>
      <c r="Q68" s="157">
        <v>102250</v>
      </c>
    </row>
    <row r="70" spans="3:17">
      <c r="C70" t="s">
        <v>92</v>
      </c>
      <c r="I70" s="157">
        <v>787000</v>
      </c>
      <c r="M70" s="157">
        <v>684750</v>
      </c>
      <c r="Q70" s="157">
        <v>102250</v>
      </c>
    </row>
    <row r="71" spans="3:17">
      <c r="C71" t="s">
        <v>76</v>
      </c>
      <c r="I71" s="157">
        <v>787000</v>
      </c>
      <c r="M71" s="157">
        <v>684750</v>
      </c>
      <c r="Q71" s="157">
        <v>102250</v>
      </c>
    </row>
    <row r="73" spans="3:17">
      <c r="C73" t="s">
        <v>93</v>
      </c>
      <c r="I73" s="157">
        <v>787000</v>
      </c>
      <c r="M73" s="157">
        <v>684750</v>
      </c>
      <c r="Q73" s="157">
        <v>102250</v>
      </c>
    </row>
    <row r="74" spans="3:17">
      <c r="C74" t="s">
        <v>76</v>
      </c>
      <c r="I74" s="157">
        <v>787000</v>
      </c>
      <c r="M74" s="157">
        <v>684750</v>
      </c>
      <c r="Q74" s="157">
        <v>102250</v>
      </c>
    </row>
    <row r="76" spans="3:17">
      <c r="C76" t="s">
        <v>94</v>
      </c>
      <c r="I76" s="157">
        <v>787000</v>
      </c>
      <c r="M76" s="157">
        <v>684750</v>
      </c>
      <c r="Q76" s="157">
        <v>102250</v>
      </c>
    </row>
    <row r="77" spans="3:17">
      <c r="C77" t="s">
        <v>76</v>
      </c>
      <c r="I77" s="157">
        <v>787000</v>
      </c>
      <c r="M77" s="157">
        <v>684750</v>
      </c>
      <c r="Q77" s="157">
        <v>102250</v>
      </c>
    </row>
    <row r="79" spans="3:17">
      <c r="C79" t="s">
        <v>95</v>
      </c>
      <c r="I79" s="157">
        <v>787000</v>
      </c>
      <c r="M79" s="157">
        <v>684750</v>
      </c>
      <c r="Q79" s="157">
        <v>102250</v>
      </c>
    </row>
    <row r="80" spans="3:17">
      <c r="C80" t="s">
        <v>76</v>
      </c>
      <c r="I80" s="157">
        <v>787000</v>
      </c>
      <c r="M80" s="157">
        <v>684750</v>
      </c>
      <c r="Q80" s="157">
        <v>102250</v>
      </c>
    </row>
    <row r="82" spans="3:17">
      <c r="C82" t="s">
        <v>96</v>
      </c>
      <c r="I82" s="157">
        <v>787000</v>
      </c>
      <c r="M82" s="157">
        <v>684750</v>
      </c>
      <c r="Q82" s="157">
        <v>102250</v>
      </c>
    </row>
    <row r="83" spans="3:17">
      <c r="C83" t="s">
        <v>76</v>
      </c>
      <c r="I83" s="157">
        <v>787000</v>
      </c>
      <c r="M83" s="157">
        <v>684750</v>
      </c>
      <c r="Q83" s="157">
        <v>102250</v>
      </c>
    </row>
    <row r="85" spans="3:17">
      <c r="C85" t="s">
        <v>97</v>
      </c>
      <c r="I85" s="157">
        <v>787000</v>
      </c>
      <c r="M85" s="157">
        <v>684750</v>
      </c>
      <c r="Q85" s="157">
        <v>102250</v>
      </c>
    </row>
    <row r="86" spans="3:17">
      <c r="C86" t="s">
        <v>76</v>
      </c>
      <c r="I86" s="157">
        <v>787000</v>
      </c>
      <c r="M86" s="157">
        <v>684750</v>
      </c>
      <c r="Q86" s="157">
        <v>102250</v>
      </c>
    </row>
    <row r="88" spans="3:17">
      <c r="C88" t="s">
        <v>98</v>
      </c>
      <c r="I88" s="157">
        <v>787000</v>
      </c>
      <c r="M88" s="157">
        <v>684750</v>
      </c>
      <c r="Q88" s="157">
        <v>102250</v>
      </c>
    </row>
    <row r="89" spans="3:17">
      <c r="C89" t="s">
        <v>76</v>
      </c>
      <c r="I89" s="157">
        <v>787000</v>
      </c>
      <c r="M89" s="157">
        <v>684750</v>
      </c>
      <c r="Q89" s="157">
        <v>102250</v>
      </c>
    </row>
    <row r="91" spans="3:17">
      <c r="C91" t="s">
        <v>99</v>
      </c>
      <c r="I91" s="157">
        <v>787000</v>
      </c>
      <c r="M91" s="157">
        <v>684750</v>
      </c>
      <c r="Q91" s="157">
        <v>102250</v>
      </c>
    </row>
    <row r="92" spans="3:17">
      <c r="C92" t="s">
        <v>76</v>
      </c>
      <c r="I92" s="157">
        <v>787000</v>
      </c>
      <c r="M92" s="157">
        <v>684750</v>
      </c>
      <c r="Q92" s="157">
        <v>102250</v>
      </c>
    </row>
    <row r="94" spans="3:17">
      <c r="C94" t="s">
        <v>100</v>
      </c>
      <c r="I94" s="157">
        <v>787000</v>
      </c>
      <c r="M94" s="157">
        <v>684750</v>
      </c>
      <c r="Q94" s="157">
        <v>102250</v>
      </c>
    </row>
    <row r="95" spans="3:17">
      <c r="C95" t="s">
        <v>76</v>
      </c>
      <c r="I95" s="157">
        <v>787000</v>
      </c>
      <c r="M95" s="157">
        <v>684750</v>
      </c>
      <c r="Q95" s="157">
        <v>102250</v>
      </c>
    </row>
    <row r="97" spans="3:17">
      <c r="C97" t="s">
        <v>101</v>
      </c>
      <c r="I97" s="157">
        <v>787000</v>
      </c>
      <c r="M97" s="157">
        <v>684750</v>
      </c>
      <c r="Q97" s="157">
        <v>102250</v>
      </c>
    </row>
    <row r="98" spans="3:17">
      <c r="C98" t="s">
        <v>76</v>
      </c>
      <c r="I98" s="157">
        <v>787000</v>
      </c>
      <c r="M98" s="157">
        <v>684750</v>
      </c>
      <c r="Q98" s="157">
        <v>102250</v>
      </c>
    </row>
    <row r="100" spans="3:17">
      <c r="C100" t="s">
        <v>102</v>
      </c>
      <c r="I100" s="157">
        <v>787000</v>
      </c>
      <c r="M100" s="157">
        <v>684750</v>
      </c>
      <c r="Q100" s="157">
        <v>102250</v>
      </c>
    </row>
    <row r="101" spans="3:17">
      <c r="C101" t="s">
        <v>76</v>
      </c>
      <c r="I101" s="157">
        <v>787000</v>
      </c>
      <c r="M101" s="157">
        <v>684750</v>
      </c>
      <c r="Q101" s="157">
        <v>102250</v>
      </c>
    </row>
    <row r="103" spans="3:17">
      <c r="C103" t="s">
        <v>103</v>
      </c>
      <c r="I103" s="157">
        <v>787000</v>
      </c>
      <c r="M103" s="157">
        <v>684750</v>
      </c>
      <c r="Q103" s="157">
        <v>102250</v>
      </c>
    </row>
    <row r="104" spans="3:17">
      <c r="C104" t="s">
        <v>76</v>
      </c>
      <c r="I104" s="157">
        <v>787000</v>
      </c>
      <c r="M104" s="157">
        <v>684750</v>
      </c>
      <c r="Q104" s="157">
        <v>102250</v>
      </c>
    </row>
    <row r="106" spans="3:17">
      <c r="C106" t="s">
        <v>104</v>
      </c>
      <c r="I106" s="157">
        <v>787000</v>
      </c>
      <c r="M106" s="157">
        <v>684750</v>
      </c>
      <c r="Q106" s="157">
        <v>102250</v>
      </c>
    </row>
    <row r="107" spans="3:17">
      <c r="C107" t="s">
        <v>76</v>
      </c>
      <c r="I107" s="157">
        <v>787000</v>
      </c>
      <c r="M107" s="157">
        <v>684750</v>
      </c>
      <c r="Q107" s="157">
        <v>102250</v>
      </c>
    </row>
    <row r="109" spans="3:17">
      <c r="C109" t="s">
        <v>105</v>
      </c>
      <c r="I109" s="157">
        <v>787000</v>
      </c>
      <c r="M109" s="157">
        <v>684750</v>
      </c>
      <c r="Q109" s="157">
        <v>102250</v>
      </c>
    </row>
    <row r="110" spans="3:17">
      <c r="C110" t="s">
        <v>76</v>
      </c>
      <c r="I110" s="157">
        <v>787000</v>
      </c>
      <c r="M110" s="157">
        <v>684750</v>
      </c>
      <c r="Q110" s="157">
        <v>102250</v>
      </c>
    </row>
    <row r="112" spans="3:17">
      <c r="C112" t="s">
        <v>106</v>
      </c>
      <c r="I112" s="157">
        <v>787000</v>
      </c>
      <c r="M112" s="157">
        <v>684750</v>
      </c>
      <c r="Q112" s="157">
        <v>102250</v>
      </c>
    </row>
    <row r="113" spans="3:17">
      <c r="C113" t="s">
        <v>76</v>
      </c>
      <c r="I113" s="157">
        <v>787000</v>
      </c>
      <c r="M113" s="157">
        <v>684750</v>
      </c>
      <c r="Q113" s="157">
        <v>102250</v>
      </c>
    </row>
    <row r="115" spans="3:17">
      <c r="C115" t="s">
        <v>107</v>
      </c>
      <c r="I115" s="157">
        <v>787000</v>
      </c>
      <c r="M115" s="157">
        <v>684750</v>
      </c>
      <c r="Q115" s="157">
        <v>102250</v>
      </c>
    </row>
    <row r="116" spans="3:17">
      <c r="C116" t="s">
        <v>76</v>
      </c>
      <c r="I116" s="157">
        <v>787000</v>
      </c>
      <c r="M116" s="157">
        <v>684750</v>
      </c>
      <c r="Q116" s="157">
        <v>102250</v>
      </c>
    </row>
    <row r="118" spans="3:17">
      <c r="C118" t="s">
        <v>108</v>
      </c>
      <c r="I118" s="157">
        <v>787000</v>
      </c>
      <c r="M118" s="157">
        <v>684750</v>
      </c>
      <c r="Q118" s="157">
        <v>102250</v>
      </c>
    </row>
    <row r="119" spans="3:17">
      <c r="C119" t="s">
        <v>76</v>
      </c>
      <c r="I119" s="157">
        <v>787000</v>
      </c>
      <c r="M119" s="157">
        <v>684750</v>
      </c>
      <c r="Q119" s="157">
        <v>102250</v>
      </c>
    </row>
    <row r="121" spans="3:17">
      <c r="C121" t="s">
        <v>109</v>
      </c>
      <c r="I121" s="157">
        <v>787000</v>
      </c>
      <c r="M121" s="157">
        <v>684750</v>
      </c>
      <c r="Q121" s="157">
        <v>102250</v>
      </c>
    </row>
    <row r="122" spans="3:17">
      <c r="C122" t="s">
        <v>76</v>
      </c>
      <c r="I122" s="157">
        <v>787000</v>
      </c>
      <c r="M122" s="157">
        <v>684750</v>
      </c>
      <c r="Q122" s="157">
        <v>102250</v>
      </c>
    </row>
    <row r="124" spans="3:17">
      <c r="C124" t="s">
        <v>110</v>
      </c>
      <c r="I124" s="157">
        <v>787000</v>
      </c>
      <c r="M124" s="157">
        <v>684750</v>
      </c>
      <c r="Q124" s="157">
        <v>102250</v>
      </c>
    </row>
    <row r="125" spans="3:17">
      <c r="C125" t="s">
        <v>76</v>
      </c>
      <c r="I125" s="157">
        <v>787000</v>
      </c>
      <c r="M125" s="157">
        <v>684750</v>
      </c>
      <c r="Q125" s="157">
        <v>102250</v>
      </c>
    </row>
    <row r="127" spans="3:17">
      <c r="C127" t="s">
        <v>111</v>
      </c>
      <c r="I127" s="157">
        <v>787000</v>
      </c>
      <c r="M127" s="157">
        <v>684750</v>
      </c>
      <c r="Q127" s="157">
        <v>102250</v>
      </c>
    </row>
    <row r="128" spans="3:17">
      <c r="C128" t="s">
        <v>76</v>
      </c>
      <c r="I128" s="157">
        <v>787000</v>
      </c>
      <c r="M128" s="157">
        <v>684750</v>
      </c>
      <c r="Q128" s="157">
        <v>102250</v>
      </c>
    </row>
    <row r="130" spans="3:17">
      <c r="C130" t="s">
        <v>112</v>
      </c>
      <c r="I130" s="157">
        <v>787000</v>
      </c>
      <c r="M130" s="157">
        <v>684750</v>
      </c>
      <c r="Q130" s="157">
        <v>102250</v>
      </c>
    </row>
    <row r="131" spans="3:17">
      <c r="C131" t="s">
        <v>76</v>
      </c>
      <c r="I131" s="157">
        <v>787000</v>
      </c>
      <c r="M131" s="157">
        <v>684750</v>
      </c>
      <c r="Q131" s="157">
        <v>102250</v>
      </c>
    </row>
    <row r="133" spans="3:17">
      <c r="C133" t="s">
        <v>113</v>
      </c>
      <c r="I133" s="157">
        <v>787000</v>
      </c>
      <c r="M133" s="157">
        <v>684750</v>
      </c>
      <c r="Q133" s="157">
        <v>102250</v>
      </c>
    </row>
    <row r="134" spans="3:17">
      <c r="C134" t="s">
        <v>76</v>
      </c>
      <c r="I134" s="157">
        <v>787000</v>
      </c>
      <c r="M134" s="157">
        <v>684750</v>
      </c>
      <c r="Q134" s="157">
        <v>102250</v>
      </c>
    </row>
    <row r="136" spans="3:17">
      <c r="C136" t="s">
        <v>114</v>
      </c>
      <c r="I136" s="157">
        <v>787000</v>
      </c>
      <c r="M136" s="157">
        <v>684750</v>
      </c>
      <c r="Q136" s="157">
        <v>102250</v>
      </c>
    </row>
    <row r="137" spans="3:17">
      <c r="C137" t="s">
        <v>76</v>
      </c>
      <c r="I137" s="157">
        <v>787000</v>
      </c>
      <c r="M137" s="157">
        <v>684750</v>
      </c>
      <c r="Q137" s="157">
        <v>102250</v>
      </c>
    </row>
    <row r="139" spans="3:17">
      <c r="C139" t="s">
        <v>115</v>
      </c>
      <c r="I139" s="157">
        <v>787000</v>
      </c>
      <c r="M139" s="157">
        <v>684750</v>
      </c>
      <c r="Q139" s="157">
        <v>102250</v>
      </c>
    </row>
    <row r="140" spans="3:17">
      <c r="C140" t="s">
        <v>76</v>
      </c>
      <c r="I140" s="157">
        <v>787000</v>
      </c>
      <c r="M140" s="157">
        <v>684750</v>
      </c>
      <c r="Q140" s="157">
        <v>102250</v>
      </c>
    </row>
    <row r="142" spans="3:17">
      <c r="C142" t="s">
        <v>116</v>
      </c>
      <c r="I142" s="157">
        <v>787000</v>
      </c>
      <c r="M142" s="157">
        <v>684750</v>
      </c>
      <c r="Q142" s="157">
        <v>102250</v>
      </c>
    </row>
    <row r="143" spans="3:17">
      <c r="C143" t="s">
        <v>76</v>
      </c>
      <c r="I143" s="157">
        <v>787000</v>
      </c>
      <c r="M143" s="157">
        <v>684750</v>
      </c>
      <c r="Q143" s="157">
        <v>102250</v>
      </c>
    </row>
    <row r="145" spans="3:17">
      <c r="C145" t="s">
        <v>117</v>
      </c>
      <c r="I145" s="157">
        <v>787000</v>
      </c>
      <c r="M145" s="157">
        <v>684750</v>
      </c>
      <c r="Q145" s="157">
        <v>102250</v>
      </c>
    </row>
    <row r="146" spans="3:17">
      <c r="C146" t="s">
        <v>76</v>
      </c>
      <c r="I146" s="157">
        <v>787000</v>
      </c>
      <c r="M146" s="157">
        <v>684750</v>
      </c>
      <c r="Q146" s="157">
        <v>102250</v>
      </c>
    </row>
    <row r="148" spans="3:17">
      <c r="C148" t="s">
        <v>118</v>
      </c>
      <c r="I148" s="157">
        <v>787000</v>
      </c>
      <c r="M148" s="157">
        <v>684750</v>
      </c>
      <c r="Q148" s="157">
        <v>102250</v>
      </c>
    </row>
    <row r="149" spans="3:17">
      <c r="C149" t="s">
        <v>76</v>
      </c>
      <c r="I149" s="157">
        <v>787000</v>
      </c>
      <c r="M149" s="157">
        <v>684750</v>
      </c>
      <c r="Q149" s="157">
        <v>102250</v>
      </c>
    </row>
    <row r="151" spans="3:17">
      <c r="C151" t="s">
        <v>119</v>
      </c>
      <c r="I151" s="157">
        <v>787000</v>
      </c>
      <c r="M151" s="157">
        <v>684750</v>
      </c>
      <c r="Q151" s="157">
        <v>102250</v>
      </c>
    </row>
    <row r="152" spans="3:17">
      <c r="C152" t="s">
        <v>76</v>
      </c>
      <c r="I152" s="157">
        <v>787000</v>
      </c>
      <c r="M152" s="157">
        <v>684750</v>
      </c>
      <c r="Q152" s="157">
        <v>102250</v>
      </c>
    </row>
    <row r="154" spans="3:17">
      <c r="C154" t="s">
        <v>120</v>
      </c>
      <c r="I154" s="157">
        <v>787000</v>
      </c>
      <c r="M154" s="157">
        <v>684750</v>
      </c>
      <c r="Q154" s="157">
        <v>102250</v>
      </c>
    </row>
    <row r="155" spans="3:17">
      <c r="C155" t="s">
        <v>76</v>
      </c>
      <c r="I155" s="157">
        <v>787000</v>
      </c>
      <c r="M155" s="157">
        <v>684750</v>
      </c>
      <c r="Q155" s="157">
        <v>102250</v>
      </c>
    </row>
    <row r="157" spans="3:17">
      <c r="C157" t="s">
        <v>121</v>
      </c>
      <c r="I157" s="157">
        <v>787000</v>
      </c>
      <c r="M157" s="157">
        <v>684750</v>
      </c>
      <c r="Q157" s="157">
        <v>102250</v>
      </c>
    </row>
    <row r="158" spans="3:17">
      <c r="C158" t="s">
        <v>76</v>
      </c>
      <c r="I158" s="157">
        <v>787000</v>
      </c>
      <c r="M158" s="157">
        <v>684750</v>
      </c>
      <c r="Q158" s="157">
        <v>102250</v>
      </c>
    </row>
    <row r="160" spans="3:17">
      <c r="C160" t="s">
        <v>122</v>
      </c>
      <c r="I160" s="157">
        <v>787000</v>
      </c>
      <c r="M160" s="157">
        <v>684750</v>
      </c>
      <c r="Q160" s="157">
        <v>102250</v>
      </c>
    </row>
    <row r="161" spans="3:17">
      <c r="C161" t="s">
        <v>76</v>
      </c>
      <c r="I161" s="157">
        <v>787000</v>
      </c>
      <c r="M161" s="157">
        <v>684750</v>
      </c>
      <c r="Q161" s="157">
        <v>102250</v>
      </c>
    </row>
    <row r="163" spans="3:17">
      <c r="C163" t="s">
        <v>123</v>
      </c>
      <c r="I163" s="157">
        <v>787000</v>
      </c>
      <c r="M163" s="157">
        <v>684750</v>
      </c>
      <c r="Q163" s="157">
        <v>102250</v>
      </c>
    </row>
    <row r="164" spans="3:17">
      <c r="C164" t="s">
        <v>76</v>
      </c>
      <c r="I164" s="157">
        <v>787000</v>
      </c>
      <c r="M164" s="157">
        <v>684750</v>
      </c>
      <c r="Q164" s="157">
        <v>102250</v>
      </c>
    </row>
    <row r="166" spans="3:17">
      <c r="C166" t="s">
        <v>124</v>
      </c>
      <c r="I166" s="157">
        <v>787000</v>
      </c>
      <c r="M166" s="157">
        <v>684750</v>
      </c>
      <c r="Q166" s="157">
        <v>102250</v>
      </c>
    </row>
    <row r="167" spans="3:17">
      <c r="C167" t="s">
        <v>76</v>
      </c>
      <c r="I167" s="157">
        <v>787000</v>
      </c>
      <c r="M167" s="157">
        <v>684750</v>
      </c>
      <c r="Q167" s="157">
        <v>102250</v>
      </c>
    </row>
    <row r="169" spans="3:17">
      <c r="C169" t="s">
        <v>125</v>
      </c>
      <c r="I169" s="157">
        <v>787000</v>
      </c>
      <c r="M169" s="157">
        <v>684750</v>
      </c>
      <c r="Q169" s="157">
        <v>102250</v>
      </c>
    </row>
    <row r="170" spans="3:17">
      <c r="C170" t="s">
        <v>76</v>
      </c>
      <c r="I170" s="157">
        <v>787000</v>
      </c>
      <c r="M170" s="157">
        <v>684750</v>
      </c>
      <c r="Q170" s="157">
        <v>102250</v>
      </c>
    </row>
    <row r="172" spans="3:17">
      <c r="C172" t="s">
        <v>126</v>
      </c>
      <c r="I172" s="157">
        <v>787000</v>
      </c>
      <c r="M172" s="157">
        <v>684750</v>
      </c>
      <c r="Q172" s="157">
        <v>102250</v>
      </c>
    </row>
    <row r="173" spans="3:17">
      <c r="C173" t="s">
        <v>76</v>
      </c>
      <c r="I173" s="157">
        <v>787000</v>
      </c>
      <c r="M173" s="157">
        <v>684750</v>
      </c>
      <c r="Q173" s="157">
        <v>102250</v>
      </c>
    </row>
    <row r="175" spans="3:17">
      <c r="C175" t="s">
        <v>127</v>
      </c>
      <c r="I175" s="157">
        <v>787000</v>
      </c>
      <c r="M175" s="157">
        <v>684750</v>
      </c>
      <c r="Q175" s="157">
        <v>102250</v>
      </c>
    </row>
    <row r="176" spans="3:17">
      <c r="C176" t="s">
        <v>76</v>
      </c>
      <c r="I176" s="157">
        <v>787000</v>
      </c>
      <c r="M176" s="157">
        <v>684750</v>
      </c>
      <c r="Q176" s="157">
        <v>102250</v>
      </c>
    </row>
    <row r="178" spans="3:17">
      <c r="C178" t="s">
        <v>128</v>
      </c>
      <c r="I178" s="157">
        <v>787000</v>
      </c>
      <c r="M178" s="157">
        <v>684750</v>
      </c>
      <c r="Q178" s="157">
        <v>102250</v>
      </c>
    </row>
    <row r="179" spans="3:17">
      <c r="C179" t="s">
        <v>76</v>
      </c>
      <c r="I179" s="157">
        <v>787000</v>
      </c>
      <c r="M179" s="157">
        <v>684750</v>
      </c>
      <c r="Q179" s="157">
        <v>102250</v>
      </c>
    </row>
    <row r="181" spans="3:17">
      <c r="C181" t="s">
        <v>129</v>
      </c>
      <c r="I181" s="157">
        <v>787000</v>
      </c>
      <c r="M181" s="157">
        <v>684750</v>
      </c>
      <c r="Q181" s="157">
        <v>102250</v>
      </c>
    </row>
    <row r="182" spans="3:17">
      <c r="C182" t="s">
        <v>76</v>
      </c>
      <c r="I182" s="157">
        <v>787000</v>
      </c>
      <c r="M182" s="157">
        <v>684750</v>
      </c>
      <c r="Q182" s="157">
        <v>102250</v>
      </c>
    </row>
    <row r="184" spans="3:17">
      <c r="C184" t="s">
        <v>130</v>
      </c>
      <c r="I184" s="157">
        <v>787000</v>
      </c>
      <c r="M184" s="157">
        <v>684750</v>
      </c>
      <c r="Q184" s="157">
        <v>102250</v>
      </c>
    </row>
    <row r="185" spans="3:17">
      <c r="C185" t="s">
        <v>76</v>
      </c>
      <c r="I185" s="157">
        <v>787000</v>
      </c>
      <c r="M185" s="157">
        <v>684750</v>
      </c>
      <c r="Q185" s="157">
        <v>102250</v>
      </c>
    </row>
    <row r="187" spans="3:17">
      <c r="C187" t="s">
        <v>131</v>
      </c>
      <c r="I187" s="157">
        <v>787000</v>
      </c>
      <c r="M187" s="157">
        <v>684750</v>
      </c>
      <c r="Q187" s="157">
        <v>102250</v>
      </c>
    </row>
    <row r="188" spans="3:17">
      <c r="C188" t="s">
        <v>76</v>
      </c>
      <c r="I188" s="157">
        <v>787000</v>
      </c>
      <c r="M188" s="157">
        <v>684750</v>
      </c>
      <c r="Q188" s="157">
        <v>102250</v>
      </c>
    </row>
    <row r="190" spans="3:17">
      <c r="C190" t="s">
        <v>132</v>
      </c>
      <c r="I190" s="157">
        <v>787000</v>
      </c>
      <c r="M190" s="157">
        <v>684750</v>
      </c>
      <c r="Q190" s="157">
        <v>102250</v>
      </c>
    </row>
    <row r="191" spans="3:17">
      <c r="C191" t="s">
        <v>76</v>
      </c>
      <c r="I191" s="157">
        <v>787000</v>
      </c>
      <c r="M191" s="157">
        <v>684750</v>
      </c>
      <c r="Q191" s="157">
        <v>102250</v>
      </c>
    </row>
    <row r="193" spans="3:17">
      <c r="C193" t="s">
        <v>133</v>
      </c>
      <c r="I193" s="157">
        <v>787000</v>
      </c>
      <c r="M193" s="157">
        <v>684750</v>
      </c>
      <c r="Q193" s="157">
        <v>102250</v>
      </c>
    </row>
    <row r="194" spans="3:17">
      <c r="C194" t="s">
        <v>76</v>
      </c>
      <c r="I194" s="157">
        <v>787000</v>
      </c>
      <c r="M194" s="157">
        <v>684750</v>
      </c>
      <c r="Q194" s="157">
        <v>102250</v>
      </c>
    </row>
    <row r="196" spans="3:17">
      <c r="C196" t="s">
        <v>134</v>
      </c>
      <c r="I196" s="157">
        <v>787000</v>
      </c>
      <c r="M196" s="157">
        <v>684750</v>
      </c>
      <c r="Q196" s="157">
        <v>102250</v>
      </c>
    </row>
    <row r="197" spans="3:17">
      <c r="C197" t="s">
        <v>76</v>
      </c>
      <c r="I197" s="157">
        <v>787000</v>
      </c>
      <c r="M197" s="157">
        <v>684750</v>
      </c>
      <c r="Q197" s="157">
        <v>102250</v>
      </c>
    </row>
    <row r="199" spans="3:17">
      <c r="C199" t="s">
        <v>135</v>
      </c>
      <c r="I199" s="157">
        <v>787000</v>
      </c>
      <c r="M199" s="157">
        <v>684750</v>
      </c>
      <c r="Q199" s="157">
        <v>102250</v>
      </c>
    </row>
    <row r="200" spans="3:17">
      <c r="C200" t="s">
        <v>76</v>
      </c>
      <c r="I200" s="157">
        <v>787000</v>
      </c>
      <c r="M200" s="157">
        <v>684750</v>
      </c>
      <c r="Q200" s="157">
        <v>102250</v>
      </c>
    </row>
    <row r="202" spans="3:17">
      <c r="C202" t="s">
        <v>136</v>
      </c>
      <c r="I202" s="157">
        <v>787000</v>
      </c>
      <c r="M202" s="157">
        <v>684750</v>
      </c>
      <c r="Q202" s="157">
        <v>102250</v>
      </c>
    </row>
    <row r="203" spans="3:17">
      <c r="C203" t="s">
        <v>76</v>
      </c>
      <c r="I203" s="157">
        <v>787000</v>
      </c>
      <c r="M203" s="157">
        <v>684750</v>
      </c>
      <c r="Q203" s="157">
        <v>102250</v>
      </c>
    </row>
    <row r="205" spans="3:17">
      <c r="C205" t="s">
        <v>137</v>
      </c>
      <c r="I205" s="157">
        <v>787000</v>
      </c>
      <c r="M205" s="157">
        <v>684750</v>
      </c>
      <c r="Q205" s="157">
        <v>102250</v>
      </c>
    </row>
    <row r="206" spans="3:17">
      <c r="C206" t="s">
        <v>76</v>
      </c>
      <c r="I206" s="157">
        <v>787000</v>
      </c>
      <c r="M206" s="157">
        <v>684750</v>
      </c>
      <c r="Q206" s="157">
        <v>102250</v>
      </c>
    </row>
    <row r="208" spans="3:17">
      <c r="C208" t="s">
        <v>138</v>
      </c>
      <c r="I208" s="157">
        <v>787000</v>
      </c>
      <c r="M208" s="157">
        <v>684750</v>
      </c>
      <c r="Q208" s="157">
        <v>102250</v>
      </c>
    </row>
    <row r="209" spans="3:17">
      <c r="C209" t="s">
        <v>76</v>
      </c>
      <c r="I209" s="157">
        <v>787000</v>
      </c>
      <c r="M209" s="157">
        <v>684750</v>
      </c>
      <c r="Q209" s="157">
        <v>102250</v>
      </c>
    </row>
    <row r="211" spans="3:17">
      <c r="C211" t="s">
        <v>139</v>
      </c>
      <c r="I211" s="157">
        <v>787000</v>
      </c>
      <c r="M211" s="157">
        <v>684750</v>
      </c>
      <c r="Q211" s="157">
        <v>102250</v>
      </c>
    </row>
    <row r="212" spans="3:17">
      <c r="C212" t="s">
        <v>76</v>
      </c>
      <c r="I212" s="157">
        <v>787000</v>
      </c>
      <c r="M212" s="157">
        <v>684750</v>
      </c>
      <c r="Q212" s="157">
        <v>102250</v>
      </c>
    </row>
    <row r="214" spans="3:17">
      <c r="C214" t="s">
        <v>140</v>
      </c>
      <c r="I214" s="157">
        <v>787000</v>
      </c>
      <c r="M214" s="157">
        <v>684750</v>
      </c>
      <c r="Q214" s="157">
        <v>102250</v>
      </c>
    </row>
    <row r="215" spans="3:17">
      <c r="C215" t="s">
        <v>76</v>
      </c>
      <c r="I215" s="157">
        <v>787000</v>
      </c>
      <c r="M215" s="157">
        <v>684750</v>
      </c>
      <c r="Q215" s="157">
        <v>102250</v>
      </c>
    </row>
    <row r="217" spans="3:17">
      <c r="C217" t="s">
        <v>141</v>
      </c>
      <c r="I217" s="157">
        <v>787000</v>
      </c>
      <c r="M217" s="157">
        <v>684750</v>
      </c>
      <c r="Q217" s="157">
        <v>102250</v>
      </c>
    </row>
    <row r="218" spans="3:17">
      <c r="C218" t="s">
        <v>76</v>
      </c>
      <c r="I218" s="157">
        <v>787000</v>
      </c>
      <c r="M218" s="157">
        <v>684750</v>
      </c>
      <c r="Q218" s="157">
        <v>102250</v>
      </c>
    </row>
    <row r="220" spans="3:17">
      <c r="C220" t="s">
        <v>142</v>
      </c>
      <c r="I220" s="157">
        <v>787000</v>
      </c>
      <c r="M220" s="157">
        <v>684750</v>
      </c>
      <c r="Q220" s="157">
        <v>102250</v>
      </c>
    </row>
    <row r="221" spans="3:17">
      <c r="C221" t="s">
        <v>76</v>
      </c>
      <c r="I221" s="157">
        <v>787000</v>
      </c>
      <c r="M221" s="157">
        <v>684750</v>
      </c>
      <c r="Q221" s="157">
        <v>102250</v>
      </c>
    </row>
    <row r="223" spans="3:17">
      <c r="C223" t="s">
        <v>143</v>
      </c>
      <c r="I223" s="157">
        <v>787000</v>
      </c>
      <c r="M223" s="157">
        <v>684750</v>
      </c>
      <c r="Q223" s="157">
        <v>102250</v>
      </c>
    </row>
    <row r="224" spans="3:17">
      <c r="C224" t="s">
        <v>76</v>
      </c>
      <c r="I224" s="157">
        <v>787000</v>
      </c>
      <c r="M224" s="157">
        <v>684750</v>
      </c>
      <c r="Q224" s="157">
        <v>102250</v>
      </c>
    </row>
    <row r="226" spans="3:17">
      <c r="C226" t="s">
        <v>144</v>
      </c>
      <c r="I226" s="157">
        <v>787000</v>
      </c>
      <c r="M226" s="157">
        <v>684750</v>
      </c>
      <c r="Q226" s="157">
        <v>102250</v>
      </c>
    </row>
    <row r="227" spans="3:17">
      <c r="C227" t="s">
        <v>76</v>
      </c>
      <c r="I227" s="157">
        <v>787000</v>
      </c>
      <c r="M227" s="157">
        <v>684750</v>
      </c>
      <c r="Q227" s="157">
        <v>102250</v>
      </c>
    </row>
    <row r="229" spans="3:17">
      <c r="C229" t="s">
        <v>145</v>
      </c>
      <c r="I229" s="157">
        <v>787000</v>
      </c>
      <c r="M229" s="157">
        <v>684750</v>
      </c>
      <c r="Q229" s="157">
        <v>102250</v>
      </c>
    </row>
    <row r="230" spans="3:17">
      <c r="C230" t="s">
        <v>76</v>
      </c>
      <c r="I230" s="157">
        <v>787000</v>
      </c>
      <c r="M230" s="157">
        <v>684750</v>
      </c>
      <c r="Q230" s="157">
        <v>102250</v>
      </c>
    </row>
    <row r="232" spans="3:17">
      <c r="C232" t="s">
        <v>146</v>
      </c>
      <c r="I232" s="157">
        <v>787000</v>
      </c>
      <c r="M232" s="157">
        <v>684750</v>
      </c>
      <c r="Q232" s="157">
        <v>102250</v>
      </c>
    </row>
    <row r="233" spans="3:17">
      <c r="C233" t="s">
        <v>76</v>
      </c>
      <c r="I233" s="157">
        <v>787000</v>
      </c>
      <c r="M233" s="157">
        <v>684750</v>
      </c>
      <c r="Q233" s="157">
        <v>102250</v>
      </c>
    </row>
    <row r="235" spans="3:17">
      <c r="C235" t="s">
        <v>147</v>
      </c>
      <c r="I235" s="157">
        <v>787000</v>
      </c>
      <c r="M235" s="157">
        <v>684750</v>
      </c>
      <c r="Q235" s="157">
        <v>102250</v>
      </c>
    </row>
    <row r="236" spans="3:17">
      <c r="C236" t="s">
        <v>76</v>
      </c>
      <c r="I236" s="157">
        <v>787000</v>
      </c>
      <c r="M236" s="157">
        <v>684750</v>
      </c>
      <c r="Q236" s="157">
        <v>102250</v>
      </c>
    </row>
    <row r="238" spans="3:17">
      <c r="C238" t="s">
        <v>148</v>
      </c>
      <c r="I238" s="157">
        <v>787000</v>
      </c>
      <c r="M238" s="157">
        <v>684750</v>
      </c>
      <c r="Q238" s="157">
        <v>102250</v>
      </c>
    </row>
    <row r="239" spans="3:17">
      <c r="C239" t="s">
        <v>76</v>
      </c>
      <c r="I239" s="157">
        <v>787000</v>
      </c>
      <c r="M239" s="157">
        <v>684750</v>
      </c>
      <c r="Q239" s="157">
        <v>102250</v>
      </c>
    </row>
    <row r="241" spans="3:17">
      <c r="C241" t="s">
        <v>149</v>
      </c>
      <c r="I241" s="157">
        <v>787000</v>
      </c>
      <c r="M241" s="157">
        <v>684750</v>
      </c>
      <c r="Q241" s="157">
        <v>102250</v>
      </c>
    </row>
    <row r="242" spans="3:17">
      <c r="C242" t="s">
        <v>76</v>
      </c>
      <c r="I242" s="157">
        <v>787000</v>
      </c>
      <c r="M242" s="157">
        <v>684750</v>
      </c>
      <c r="Q242" s="157">
        <v>102250</v>
      </c>
    </row>
    <row r="244" spans="3:17">
      <c r="C244" t="s">
        <v>150</v>
      </c>
      <c r="I244" s="157">
        <v>787000</v>
      </c>
      <c r="M244" s="157">
        <v>684750</v>
      </c>
      <c r="Q244" s="157">
        <v>102250</v>
      </c>
    </row>
    <row r="245" spans="3:17">
      <c r="C245" t="s">
        <v>76</v>
      </c>
      <c r="I245" s="157">
        <v>787000</v>
      </c>
      <c r="M245" s="157">
        <v>684750</v>
      </c>
      <c r="Q245" s="157">
        <v>102250</v>
      </c>
    </row>
    <row r="247" spans="3:17">
      <c r="C247" t="s">
        <v>151</v>
      </c>
      <c r="I247" s="157">
        <v>787000</v>
      </c>
      <c r="M247" s="157">
        <v>684750</v>
      </c>
      <c r="Q247" s="157">
        <v>102250</v>
      </c>
    </row>
    <row r="248" spans="3:17">
      <c r="C248" t="s">
        <v>76</v>
      </c>
      <c r="I248" s="157">
        <v>787000</v>
      </c>
      <c r="M248" s="157">
        <v>684750</v>
      </c>
      <c r="Q248" s="157">
        <v>102250</v>
      </c>
    </row>
    <row r="250" spans="3:17">
      <c r="C250" t="s">
        <v>152</v>
      </c>
      <c r="I250" s="157">
        <v>787000</v>
      </c>
      <c r="M250" s="157">
        <v>684750</v>
      </c>
      <c r="Q250" s="157">
        <v>102250</v>
      </c>
    </row>
    <row r="251" spans="3:17">
      <c r="C251" t="s">
        <v>76</v>
      </c>
      <c r="I251" s="157">
        <v>787000</v>
      </c>
      <c r="M251" s="157">
        <v>684750</v>
      </c>
      <c r="Q251" s="157">
        <v>102250</v>
      </c>
    </row>
    <row r="253" spans="3:17">
      <c r="C253" t="s">
        <v>153</v>
      </c>
      <c r="I253" s="157">
        <v>787000</v>
      </c>
      <c r="M253" s="157">
        <v>684750</v>
      </c>
      <c r="Q253" s="157">
        <v>102250</v>
      </c>
    </row>
    <row r="254" spans="3:17">
      <c r="C254" t="s">
        <v>76</v>
      </c>
      <c r="I254" s="157">
        <v>787000</v>
      </c>
      <c r="M254" s="157">
        <v>684750</v>
      </c>
      <c r="Q254" s="157">
        <v>102250</v>
      </c>
    </row>
    <row r="256" spans="3:17">
      <c r="C256" t="s">
        <v>285</v>
      </c>
      <c r="I256" s="157">
        <v>1631300</v>
      </c>
      <c r="M256" s="157">
        <v>1630618.83</v>
      </c>
      <c r="Q256">
        <v>681.17</v>
      </c>
    </row>
    <row r="257" spans="3:17">
      <c r="C257" t="s">
        <v>76</v>
      </c>
      <c r="I257" s="157">
        <v>1631300</v>
      </c>
      <c r="M257" s="157">
        <v>1630618.83</v>
      </c>
      <c r="Q257">
        <v>681.17</v>
      </c>
    </row>
    <row r="259" spans="3:17">
      <c r="C259" t="s">
        <v>286</v>
      </c>
      <c r="I259" s="157">
        <v>69000</v>
      </c>
      <c r="M259" s="157">
        <v>68181.17</v>
      </c>
      <c r="Q259">
        <v>818.83</v>
      </c>
    </row>
    <row r="260" spans="3:17">
      <c r="C260" t="s">
        <v>76</v>
      </c>
      <c r="I260" s="157">
        <v>69000</v>
      </c>
      <c r="M260" s="157">
        <v>68181.17</v>
      </c>
      <c r="Q260">
        <v>818.83</v>
      </c>
    </row>
    <row r="262" spans="3:17">
      <c r="C262" t="s">
        <v>287</v>
      </c>
      <c r="I262" s="157">
        <v>37900</v>
      </c>
      <c r="M262" s="157">
        <v>37900</v>
      </c>
    </row>
    <row r="263" spans="3:17">
      <c r="C263" t="s">
        <v>76</v>
      </c>
      <c r="I263" s="157">
        <v>37900</v>
      </c>
      <c r="M263" s="157">
        <v>37900</v>
      </c>
    </row>
    <row r="265" spans="3:17">
      <c r="C265" t="s">
        <v>154</v>
      </c>
      <c r="I265" s="157">
        <v>1705400</v>
      </c>
      <c r="K265" s="157">
        <v>1322400</v>
      </c>
      <c r="M265" s="157">
        <v>330600</v>
      </c>
      <c r="Q265" s="157">
        <v>52400</v>
      </c>
    </row>
    <row r="266" spans="3:17">
      <c r="C266" t="s">
        <v>76</v>
      </c>
      <c r="I266" s="157">
        <v>1705400</v>
      </c>
      <c r="K266" s="157">
        <v>1322400</v>
      </c>
      <c r="M266" s="157">
        <v>330600</v>
      </c>
      <c r="Q266" s="157">
        <v>52400</v>
      </c>
    </row>
    <row r="268" spans="3:17">
      <c r="C268" t="s">
        <v>155</v>
      </c>
      <c r="I268" s="157">
        <v>1705400</v>
      </c>
      <c r="K268" s="157">
        <v>1322400</v>
      </c>
      <c r="M268" s="157">
        <v>330600</v>
      </c>
      <c r="Q268" s="157">
        <v>52400</v>
      </c>
    </row>
    <row r="269" spans="3:17">
      <c r="C269" t="s">
        <v>76</v>
      </c>
      <c r="I269" s="157">
        <v>1705400</v>
      </c>
      <c r="K269" s="157">
        <v>1322400</v>
      </c>
      <c r="M269" s="157">
        <v>330600</v>
      </c>
      <c r="Q269" s="157">
        <v>52400</v>
      </c>
    </row>
    <row r="271" spans="3:17">
      <c r="C271" t="s">
        <v>156</v>
      </c>
      <c r="I271" s="157">
        <v>1705200</v>
      </c>
      <c r="K271" s="157">
        <v>1339200</v>
      </c>
      <c r="M271" s="157">
        <v>334800</v>
      </c>
      <c r="Q271" s="157">
        <v>31200</v>
      </c>
    </row>
    <row r="272" spans="3:17">
      <c r="C272" t="s">
        <v>76</v>
      </c>
      <c r="I272" s="157">
        <v>1705200</v>
      </c>
      <c r="K272" s="157">
        <v>1339200</v>
      </c>
      <c r="M272" s="157">
        <v>334800</v>
      </c>
      <c r="Q272" s="157">
        <v>31200</v>
      </c>
    </row>
    <row r="274" spans="3:17">
      <c r="C274" t="s">
        <v>157</v>
      </c>
      <c r="I274" s="157">
        <v>7764000</v>
      </c>
      <c r="M274" s="157">
        <v>7332324</v>
      </c>
      <c r="Q274" s="157">
        <v>431676</v>
      </c>
    </row>
    <row r="275" spans="3:17">
      <c r="C275" t="s">
        <v>76</v>
      </c>
      <c r="I275" s="157">
        <v>7764000</v>
      </c>
      <c r="M275" s="157">
        <v>7332324</v>
      </c>
      <c r="Q275" s="157">
        <v>431676</v>
      </c>
    </row>
    <row r="277" spans="3:17">
      <c r="C277" t="s">
        <v>158</v>
      </c>
      <c r="I277" s="157">
        <v>1294000</v>
      </c>
      <c r="M277" s="157">
        <v>1222054</v>
      </c>
      <c r="Q277" s="157">
        <v>71946</v>
      </c>
    </row>
    <row r="278" spans="3:17">
      <c r="C278" t="s">
        <v>76</v>
      </c>
      <c r="I278" s="157">
        <v>1294000</v>
      </c>
      <c r="M278" s="157">
        <v>1222054</v>
      </c>
      <c r="Q278" s="157">
        <v>71946</v>
      </c>
    </row>
    <row r="280" spans="3:17">
      <c r="C280" t="s">
        <v>159</v>
      </c>
      <c r="I280" s="157">
        <v>1294000</v>
      </c>
      <c r="M280" s="157">
        <v>1222054</v>
      </c>
      <c r="Q280" s="157">
        <v>71946</v>
      </c>
    </row>
    <row r="281" spans="3:17">
      <c r="C281" t="s">
        <v>76</v>
      </c>
      <c r="I281" s="157">
        <v>1294000</v>
      </c>
      <c r="M281" s="157">
        <v>1222054</v>
      </c>
      <c r="Q281" s="157">
        <v>71946</v>
      </c>
    </row>
    <row r="283" spans="3:17">
      <c r="C283" t="s">
        <v>160</v>
      </c>
      <c r="I283" s="157">
        <v>1294000</v>
      </c>
      <c r="M283" s="157">
        <v>1222054</v>
      </c>
      <c r="Q283" s="157">
        <v>71946</v>
      </c>
    </row>
    <row r="284" spans="3:17">
      <c r="C284" t="s">
        <v>76</v>
      </c>
      <c r="I284" s="157">
        <v>1294000</v>
      </c>
      <c r="M284" s="157">
        <v>1222054</v>
      </c>
      <c r="Q284" s="157">
        <v>71946</v>
      </c>
    </row>
    <row r="286" spans="3:17">
      <c r="C286" t="s">
        <v>161</v>
      </c>
      <c r="I286" s="157">
        <v>1294000</v>
      </c>
      <c r="M286" s="157">
        <v>1222054</v>
      </c>
      <c r="Q286" s="157">
        <v>71946</v>
      </c>
    </row>
    <row r="287" spans="3:17">
      <c r="C287" t="s">
        <v>76</v>
      </c>
      <c r="I287" s="157">
        <v>1294000</v>
      </c>
      <c r="M287" s="157">
        <v>1222054</v>
      </c>
      <c r="Q287" s="157">
        <v>71946</v>
      </c>
    </row>
    <row r="289" spans="3:17">
      <c r="C289" t="s">
        <v>162</v>
      </c>
      <c r="I289" s="157">
        <v>1294000</v>
      </c>
      <c r="M289" s="157">
        <v>1222054</v>
      </c>
      <c r="Q289" s="157">
        <v>71946</v>
      </c>
    </row>
    <row r="290" spans="3:17">
      <c r="C290" t="s">
        <v>76</v>
      </c>
      <c r="I290" s="157">
        <v>1294000</v>
      </c>
      <c r="M290" s="157">
        <v>1222054</v>
      </c>
      <c r="Q290" s="157">
        <v>71946</v>
      </c>
    </row>
    <row r="292" spans="3:17">
      <c r="C292" t="s">
        <v>163</v>
      </c>
      <c r="I292" s="157">
        <v>1294000</v>
      </c>
      <c r="M292" s="157">
        <v>1222054</v>
      </c>
      <c r="Q292" s="157">
        <v>71946</v>
      </c>
    </row>
    <row r="293" spans="3:17">
      <c r="C293" t="s">
        <v>76</v>
      </c>
      <c r="I293" s="157">
        <v>1294000</v>
      </c>
      <c r="M293" s="157">
        <v>1222054</v>
      </c>
      <c r="Q293" s="157">
        <v>71946</v>
      </c>
    </row>
    <row r="295" spans="3:17">
      <c r="C295" t="s">
        <v>164</v>
      </c>
      <c r="I295" s="157">
        <v>1294000</v>
      </c>
      <c r="M295" s="157">
        <v>1222054</v>
      </c>
      <c r="Q295" s="157">
        <v>71946</v>
      </c>
    </row>
    <row r="296" spans="3:17">
      <c r="C296" t="s">
        <v>76</v>
      </c>
      <c r="I296" s="157">
        <v>1294000</v>
      </c>
      <c r="M296" s="157">
        <v>1222054</v>
      </c>
      <c r="Q296" s="157">
        <v>71946</v>
      </c>
    </row>
    <row r="298" spans="3:17">
      <c r="C298" t="s">
        <v>165</v>
      </c>
      <c r="I298" s="157">
        <v>1294000</v>
      </c>
      <c r="M298" s="157">
        <v>1222054</v>
      </c>
      <c r="Q298" s="157">
        <v>71946</v>
      </c>
    </row>
    <row r="299" spans="3:17">
      <c r="C299" t="s">
        <v>76</v>
      </c>
      <c r="I299" s="157">
        <v>1294000</v>
      </c>
      <c r="M299" s="157">
        <v>1222054</v>
      </c>
      <c r="Q299" s="157">
        <v>71946</v>
      </c>
    </row>
    <row r="301" spans="3:17">
      <c r="C301" t="s">
        <v>166</v>
      </c>
      <c r="I301" s="157">
        <v>1294000</v>
      </c>
      <c r="M301" s="157">
        <v>1222054</v>
      </c>
      <c r="Q301" s="157">
        <v>71946</v>
      </c>
    </row>
    <row r="302" spans="3:17">
      <c r="C302" t="s">
        <v>76</v>
      </c>
      <c r="I302" s="157">
        <v>1294000</v>
      </c>
      <c r="M302" s="157">
        <v>1222054</v>
      </c>
      <c r="Q302" s="157">
        <v>71946</v>
      </c>
    </row>
    <row r="304" spans="3:17">
      <c r="C304" t="s">
        <v>167</v>
      </c>
      <c r="I304" s="157">
        <v>1294000</v>
      </c>
      <c r="M304" s="157">
        <v>1222054</v>
      </c>
      <c r="Q304" s="157">
        <v>71946</v>
      </c>
    </row>
    <row r="305" spans="3:17">
      <c r="C305" t="s">
        <v>76</v>
      </c>
      <c r="I305" s="157">
        <v>1294000</v>
      </c>
      <c r="M305" s="157">
        <v>1222054</v>
      </c>
      <c r="Q305" s="157">
        <v>71946</v>
      </c>
    </row>
    <row r="307" spans="3:17">
      <c r="C307" t="s">
        <v>168</v>
      </c>
      <c r="I307" s="157">
        <v>1294000</v>
      </c>
      <c r="M307" s="157">
        <v>1222054</v>
      </c>
      <c r="Q307" s="157">
        <v>71946</v>
      </c>
    </row>
    <row r="308" spans="3:17">
      <c r="C308" t="s">
        <v>76</v>
      </c>
      <c r="I308" s="157">
        <v>1294000</v>
      </c>
      <c r="M308" s="157">
        <v>1222054</v>
      </c>
      <c r="Q308" s="157">
        <v>71946</v>
      </c>
    </row>
    <row r="310" spans="3:17">
      <c r="C310" t="s">
        <v>169</v>
      </c>
      <c r="I310" s="157">
        <v>1294000</v>
      </c>
      <c r="M310" s="157">
        <v>1222054</v>
      </c>
      <c r="Q310" s="157">
        <v>71946</v>
      </c>
    </row>
    <row r="311" spans="3:17">
      <c r="C311" t="s">
        <v>76</v>
      </c>
      <c r="I311" s="157">
        <v>1294000</v>
      </c>
      <c r="M311" s="157">
        <v>1222054</v>
      </c>
      <c r="Q311" s="157">
        <v>71946</v>
      </c>
    </row>
    <row r="313" spans="3:17">
      <c r="C313" t="s">
        <v>170</v>
      </c>
      <c r="I313" s="157">
        <v>1294000</v>
      </c>
      <c r="M313" s="157">
        <v>1222054</v>
      </c>
      <c r="Q313" s="157">
        <v>71946</v>
      </c>
    </row>
    <row r="314" spans="3:17">
      <c r="C314" t="s">
        <v>76</v>
      </c>
      <c r="I314" s="157">
        <v>1294000</v>
      </c>
      <c r="M314" s="157">
        <v>1222054</v>
      </c>
      <c r="Q314" s="157">
        <v>71946</v>
      </c>
    </row>
    <row r="316" spans="3:17">
      <c r="C316" t="s">
        <v>171</v>
      </c>
      <c r="I316" s="157">
        <v>1294000</v>
      </c>
      <c r="M316" s="157">
        <v>1222054</v>
      </c>
      <c r="Q316" s="157">
        <v>71946</v>
      </c>
    </row>
    <row r="317" spans="3:17">
      <c r="C317" t="s">
        <v>76</v>
      </c>
      <c r="I317" s="157">
        <v>1294000</v>
      </c>
      <c r="M317" s="157">
        <v>1222054</v>
      </c>
      <c r="Q317" s="157">
        <v>71946</v>
      </c>
    </row>
    <row r="319" spans="3:17">
      <c r="C319" t="s">
        <v>172</v>
      </c>
      <c r="I319" s="157">
        <v>1294000</v>
      </c>
      <c r="M319" s="157">
        <v>1222054</v>
      </c>
      <c r="Q319" s="157">
        <v>71946</v>
      </c>
    </row>
    <row r="320" spans="3:17">
      <c r="C320" t="s">
        <v>76</v>
      </c>
      <c r="I320" s="157">
        <v>1294000</v>
      </c>
      <c r="M320" s="157">
        <v>1222054</v>
      </c>
      <c r="Q320" s="157">
        <v>71946</v>
      </c>
    </row>
    <row r="322" spans="3:17">
      <c r="C322" t="s">
        <v>173</v>
      </c>
      <c r="I322" s="157">
        <v>1294000</v>
      </c>
      <c r="M322" s="157">
        <v>1222054</v>
      </c>
      <c r="Q322" s="157">
        <v>71946</v>
      </c>
    </row>
    <row r="323" spans="3:17">
      <c r="C323" t="s">
        <v>76</v>
      </c>
      <c r="I323" s="157">
        <v>1294000</v>
      </c>
      <c r="M323" s="157">
        <v>1222054</v>
      </c>
      <c r="Q323" s="157">
        <v>71946</v>
      </c>
    </row>
    <row r="325" spans="3:17">
      <c r="C325" t="s">
        <v>174</v>
      </c>
      <c r="I325" s="157">
        <v>1294000</v>
      </c>
      <c r="M325" s="157">
        <v>1222054</v>
      </c>
      <c r="Q325" s="157">
        <v>71946</v>
      </c>
    </row>
    <row r="326" spans="3:17">
      <c r="C326" t="s">
        <v>76</v>
      </c>
      <c r="I326" s="157">
        <v>1294000</v>
      </c>
      <c r="M326" s="157">
        <v>1222054</v>
      </c>
      <c r="Q326" s="157">
        <v>71946</v>
      </c>
    </row>
    <row r="328" spans="3:17">
      <c r="C328" t="s">
        <v>175</v>
      </c>
      <c r="I328" s="157">
        <v>1294000</v>
      </c>
      <c r="M328" s="157">
        <v>1222054</v>
      </c>
      <c r="Q328" s="157">
        <v>71946</v>
      </c>
    </row>
    <row r="329" spans="3:17">
      <c r="C329" t="s">
        <v>76</v>
      </c>
      <c r="I329" s="157">
        <v>1294000</v>
      </c>
      <c r="M329" s="157">
        <v>1222054</v>
      </c>
      <c r="Q329" s="157">
        <v>71946</v>
      </c>
    </row>
    <row r="331" spans="3:17">
      <c r="C331" t="s">
        <v>176</v>
      </c>
      <c r="I331" s="157">
        <v>1294000</v>
      </c>
      <c r="M331" s="157">
        <v>1222054</v>
      </c>
      <c r="Q331" s="157">
        <v>71946</v>
      </c>
    </row>
    <row r="332" spans="3:17">
      <c r="C332" t="s">
        <v>76</v>
      </c>
      <c r="I332" s="157">
        <v>1294000</v>
      </c>
      <c r="M332" s="157">
        <v>1222054</v>
      </c>
      <c r="Q332" s="157">
        <v>71946</v>
      </c>
    </row>
    <row r="334" spans="3:17">
      <c r="C334" t="s">
        <v>177</v>
      </c>
      <c r="I334" s="157">
        <v>1294000</v>
      </c>
      <c r="M334" s="157">
        <v>1222054</v>
      </c>
      <c r="Q334" s="157">
        <v>71946</v>
      </c>
    </row>
    <row r="335" spans="3:17">
      <c r="C335" t="s">
        <v>76</v>
      </c>
      <c r="I335" s="157">
        <v>1294000</v>
      </c>
      <c r="M335" s="157">
        <v>1222054</v>
      </c>
      <c r="Q335" s="157">
        <v>71946</v>
      </c>
    </row>
    <row r="337" spans="3:17">
      <c r="C337" t="s">
        <v>178</v>
      </c>
      <c r="I337" s="157">
        <v>1294000</v>
      </c>
      <c r="M337" s="157">
        <v>1222054</v>
      </c>
      <c r="Q337" s="157">
        <v>71946</v>
      </c>
    </row>
    <row r="338" spans="3:17">
      <c r="C338" t="s">
        <v>76</v>
      </c>
      <c r="I338" s="157">
        <v>1294000</v>
      </c>
      <c r="M338" s="157">
        <v>1222054</v>
      </c>
      <c r="Q338" s="157">
        <v>71946</v>
      </c>
    </row>
    <row r="340" spans="3:17">
      <c r="C340" t="s">
        <v>179</v>
      </c>
      <c r="I340" s="157">
        <v>1294000</v>
      </c>
      <c r="M340" s="157">
        <v>1222054</v>
      </c>
      <c r="Q340" s="157">
        <v>71946</v>
      </c>
    </row>
    <row r="341" spans="3:17">
      <c r="C341" t="s">
        <v>76</v>
      </c>
      <c r="I341" s="157">
        <v>1294000</v>
      </c>
      <c r="M341" s="157">
        <v>1222054</v>
      </c>
      <c r="Q341" s="157">
        <v>71946</v>
      </c>
    </row>
    <row r="343" spans="3:17">
      <c r="C343" t="s">
        <v>180</v>
      </c>
      <c r="I343" s="157">
        <v>1294000</v>
      </c>
      <c r="M343" s="157">
        <v>1222054</v>
      </c>
      <c r="Q343" s="157">
        <v>71946</v>
      </c>
    </row>
    <row r="344" spans="3:17">
      <c r="C344" t="s">
        <v>76</v>
      </c>
      <c r="I344" s="157">
        <v>1294000</v>
      </c>
      <c r="M344" s="157">
        <v>1222054</v>
      </c>
      <c r="Q344" s="157">
        <v>71946</v>
      </c>
    </row>
    <row r="346" spans="3:17">
      <c r="C346" t="s">
        <v>181</v>
      </c>
      <c r="I346" s="157">
        <v>1294000</v>
      </c>
      <c r="M346" s="157">
        <v>1222054</v>
      </c>
      <c r="Q346" s="157">
        <v>71946</v>
      </c>
    </row>
    <row r="347" spans="3:17">
      <c r="C347" t="s">
        <v>76</v>
      </c>
      <c r="I347" s="157">
        <v>1294000</v>
      </c>
      <c r="M347" s="157">
        <v>1222054</v>
      </c>
      <c r="Q347" s="157">
        <v>71946</v>
      </c>
    </row>
    <row r="349" spans="3:17">
      <c r="C349" t="s">
        <v>182</v>
      </c>
      <c r="I349" s="157">
        <v>1294000</v>
      </c>
      <c r="M349" s="157">
        <v>1222054</v>
      </c>
      <c r="Q349" s="157">
        <v>71946</v>
      </c>
    </row>
    <row r="350" spans="3:17">
      <c r="C350" t="s">
        <v>76</v>
      </c>
      <c r="I350" s="157">
        <v>1294000</v>
      </c>
      <c r="M350" s="157">
        <v>1222054</v>
      </c>
      <c r="Q350" s="157">
        <v>71946</v>
      </c>
    </row>
    <row r="352" spans="3:17">
      <c r="C352" t="s">
        <v>183</v>
      </c>
      <c r="I352" s="157">
        <v>1294000</v>
      </c>
      <c r="M352" s="157">
        <v>1222054</v>
      </c>
      <c r="Q352" s="157">
        <v>71946</v>
      </c>
    </row>
    <row r="353" spans="3:17">
      <c r="C353" t="s">
        <v>76</v>
      </c>
      <c r="I353" s="157">
        <v>1294000</v>
      </c>
      <c r="M353" s="157">
        <v>1222054</v>
      </c>
      <c r="Q353" s="157">
        <v>71946</v>
      </c>
    </row>
    <row r="355" spans="3:17">
      <c r="C355" t="s">
        <v>184</v>
      </c>
      <c r="I355" s="157">
        <v>1294000</v>
      </c>
      <c r="M355" s="157">
        <v>1222054</v>
      </c>
      <c r="Q355" s="157">
        <v>71946</v>
      </c>
    </row>
    <row r="356" spans="3:17">
      <c r="C356" t="s">
        <v>76</v>
      </c>
      <c r="I356" s="157">
        <v>1294000</v>
      </c>
      <c r="M356" s="157">
        <v>1222054</v>
      </c>
      <c r="Q356" s="157">
        <v>71946</v>
      </c>
    </row>
    <row r="358" spans="3:17">
      <c r="C358" t="s">
        <v>185</v>
      </c>
      <c r="I358" s="157">
        <v>1294000</v>
      </c>
      <c r="M358" s="157">
        <v>1222054</v>
      </c>
      <c r="Q358" s="157">
        <v>71946</v>
      </c>
    </row>
    <row r="359" spans="3:17">
      <c r="C359" t="s">
        <v>76</v>
      </c>
      <c r="I359" s="157">
        <v>1294000</v>
      </c>
      <c r="M359" s="157">
        <v>1222054</v>
      </c>
      <c r="Q359" s="157">
        <v>71946</v>
      </c>
    </row>
    <row r="361" spans="3:17">
      <c r="C361" t="s">
        <v>186</v>
      </c>
      <c r="I361" s="157">
        <v>1294000</v>
      </c>
      <c r="M361" s="157">
        <v>1222054</v>
      </c>
      <c r="Q361" s="157">
        <v>71946</v>
      </c>
    </row>
    <row r="362" spans="3:17">
      <c r="C362" t="s">
        <v>76</v>
      </c>
      <c r="I362" s="157">
        <v>1294000</v>
      </c>
      <c r="M362" s="157">
        <v>1222054</v>
      </c>
      <c r="Q362" s="157">
        <v>71946</v>
      </c>
    </row>
    <row r="364" spans="3:17">
      <c r="C364" t="s">
        <v>187</v>
      </c>
      <c r="I364" s="157">
        <v>1294000</v>
      </c>
      <c r="M364" s="157">
        <v>1222054</v>
      </c>
      <c r="Q364" s="157">
        <v>71946</v>
      </c>
    </row>
    <row r="365" spans="3:17">
      <c r="C365" t="s">
        <v>76</v>
      </c>
      <c r="I365" s="157">
        <v>1294000</v>
      </c>
      <c r="M365" s="157">
        <v>1222054</v>
      </c>
      <c r="Q365" s="157">
        <v>71946</v>
      </c>
    </row>
    <row r="367" spans="3:17">
      <c r="C367" t="s">
        <v>188</v>
      </c>
      <c r="I367" s="157">
        <v>1294000</v>
      </c>
      <c r="M367" s="157">
        <v>1222054</v>
      </c>
      <c r="Q367" s="157">
        <v>71946</v>
      </c>
    </row>
    <row r="368" spans="3:17">
      <c r="C368" t="s">
        <v>76</v>
      </c>
      <c r="I368" s="157">
        <v>1294000</v>
      </c>
      <c r="M368" s="157">
        <v>1222054</v>
      </c>
      <c r="Q368" s="157">
        <v>71946</v>
      </c>
    </row>
    <row r="370" spans="3:17">
      <c r="C370" t="s">
        <v>189</v>
      </c>
      <c r="I370" s="157">
        <v>1294000</v>
      </c>
      <c r="M370" s="157">
        <v>1222054</v>
      </c>
      <c r="Q370" s="157">
        <v>71946</v>
      </c>
    </row>
    <row r="371" spans="3:17">
      <c r="C371" t="s">
        <v>76</v>
      </c>
      <c r="I371" s="157">
        <v>1294000</v>
      </c>
      <c r="M371" s="157">
        <v>1222054</v>
      </c>
      <c r="Q371" s="157">
        <v>71946</v>
      </c>
    </row>
    <row r="373" spans="3:17">
      <c r="C373" t="s">
        <v>190</v>
      </c>
      <c r="I373" s="157">
        <v>1294000</v>
      </c>
      <c r="M373" s="157">
        <v>1222054</v>
      </c>
      <c r="Q373" s="157">
        <v>71946</v>
      </c>
    </row>
    <row r="374" spans="3:17">
      <c r="C374" t="s">
        <v>76</v>
      </c>
      <c r="I374" s="157">
        <v>1294000</v>
      </c>
      <c r="M374" s="157">
        <v>1222054</v>
      </c>
      <c r="Q374" s="157">
        <v>71946</v>
      </c>
    </row>
    <row r="376" spans="3:17">
      <c r="C376" t="s">
        <v>191</v>
      </c>
      <c r="I376" s="157">
        <v>1294000</v>
      </c>
      <c r="M376" s="157">
        <v>1222054</v>
      </c>
      <c r="Q376" s="157">
        <v>71946</v>
      </c>
    </row>
    <row r="377" spans="3:17">
      <c r="C377" t="s">
        <v>76</v>
      </c>
      <c r="I377" s="157">
        <v>1294000</v>
      </c>
      <c r="M377" s="157">
        <v>1222054</v>
      </c>
      <c r="Q377" s="157">
        <v>71946</v>
      </c>
    </row>
    <row r="379" spans="3:17">
      <c r="C379" t="s">
        <v>192</v>
      </c>
      <c r="I379" s="157">
        <v>1294000</v>
      </c>
      <c r="M379" s="157">
        <v>1222054</v>
      </c>
      <c r="Q379" s="157">
        <v>71946</v>
      </c>
    </row>
    <row r="380" spans="3:17">
      <c r="C380" t="s">
        <v>76</v>
      </c>
      <c r="I380" s="157">
        <v>1294000</v>
      </c>
      <c r="M380" s="157">
        <v>1222054</v>
      </c>
      <c r="Q380" s="157">
        <v>71946</v>
      </c>
    </row>
    <row r="382" spans="3:17">
      <c r="C382" t="s">
        <v>193</v>
      </c>
      <c r="I382" s="157">
        <v>1294000</v>
      </c>
      <c r="M382" s="157">
        <v>1222054</v>
      </c>
      <c r="Q382" s="157">
        <v>71946</v>
      </c>
    </row>
    <row r="383" spans="3:17">
      <c r="C383" t="s">
        <v>76</v>
      </c>
      <c r="I383" s="157">
        <v>1294000</v>
      </c>
      <c r="M383" s="157">
        <v>1222054</v>
      </c>
      <c r="Q383" s="157">
        <v>71946</v>
      </c>
    </row>
    <row r="385" spans="3:17">
      <c r="C385" t="s">
        <v>194</v>
      </c>
      <c r="I385" s="157">
        <v>1294000</v>
      </c>
      <c r="M385" s="157">
        <v>1222054</v>
      </c>
      <c r="Q385" s="157">
        <v>71946</v>
      </c>
    </row>
    <row r="386" spans="3:17">
      <c r="C386" t="s">
        <v>76</v>
      </c>
      <c r="I386" s="157">
        <v>1294000</v>
      </c>
      <c r="M386" s="157">
        <v>1222054</v>
      </c>
      <c r="Q386" s="157">
        <v>71946</v>
      </c>
    </row>
    <row r="388" spans="3:17">
      <c r="C388" t="s">
        <v>195</v>
      </c>
      <c r="I388" s="157">
        <v>1294000</v>
      </c>
      <c r="M388" s="157">
        <v>1222054</v>
      </c>
      <c r="Q388" s="157">
        <v>71946</v>
      </c>
    </row>
    <row r="389" spans="3:17">
      <c r="C389" t="s">
        <v>76</v>
      </c>
      <c r="I389" s="157">
        <v>1294000</v>
      </c>
      <c r="M389" s="157">
        <v>1222054</v>
      </c>
      <c r="Q389" s="157">
        <v>71946</v>
      </c>
    </row>
    <row r="391" spans="3:17">
      <c r="C391" t="s">
        <v>196</v>
      </c>
      <c r="I391" s="157">
        <v>1294000</v>
      </c>
      <c r="M391" s="157">
        <v>1222054</v>
      </c>
      <c r="Q391" s="157">
        <v>71946</v>
      </c>
    </row>
    <row r="392" spans="3:17">
      <c r="C392" t="s">
        <v>76</v>
      </c>
      <c r="I392" s="157">
        <v>1294000</v>
      </c>
      <c r="M392" s="157">
        <v>1222054</v>
      </c>
      <c r="Q392" s="157">
        <v>71946</v>
      </c>
    </row>
    <row r="394" spans="3:17">
      <c r="C394" t="s">
        <v>197</v>
      </c>
      <c r="I394" s="157">
        <v>1294000</v>
      </c>
      <c r="M394" s="157">
        <v>1222054</v>
      </c>
      <c r="Q394" s="157">
        <v>71946</v>
      </c>
    </row>
    <row r="395" spans="3:17">
      <c r="C395" t="s">
        <v>76</v>
      </c>
      <c r="I395" s="157">
        <v>1294000</v>
      </c>
      <c r="M395" s="157">
        <v>1222054</v>
      </c>
      <c r="Q395" s="157">
        <v>71946</v>
      </c>
    </row>
    <row r="397" spans="3:17">
      <c r="C397" t="s">
        <v>198</v>
      </c>
      <c r="I397" s="157">
        <v>1294000</v>
      </c>
      <c r="M397" s="157">
        <v>1222054</v>
      </c>
      <c r="Q397" s="157">
        <v>71946</v>
      </c>
    </row>
    <row r="398" spans="3:17">
      <c r="C398" t="s">
        <v>76</v>
      </c>
      <c r="I398" s="157">
        <v>1294000</v>
      </c>
      <c r="M398" s="157">
        <v>1222054</v>
      </c>
      <c r="Q398" s="157">
        <v>71946</v>
      </c>
    </row>
    <row r="400" spans="3:17">
      <c r="C400" t="s">
        <v>199</v>
      </c>
      <c r="I400" s="157">
        <v>1294000</v>
      </c>
      <c r="M400" s="157">
        <v>1222054</v>
      </c>
      <c r="Q400" s="157">
        <v>71946</v>
      </c>
    </row>
    <row r="401" spans="3:17">
      <c r="C401" t="s">
        <v>76</v>
      </c>
      <c r="I401" s="157">
        <v>1294000</v>
      </c>
      <c r="M401" s="157">
        <v>1222054</v>
      </c>
      <c r="Q401" s="157">
        <v>71946</v>
      </c>
    </row>
    <row r="403" spans="3:17">
      <c r="C403" t="s">
        <v>200</v>
      </c>
      <c r="I403" s="157">
        <v>1294000</v>
      </c>
      <c r="M403" s="157">
        <v>1222054</v>
      </c>
      <c r="Q403" s="157">
        <v>71946</v>
      </c>
    </row>
    <row r="404" spans="3:17">
      <c r="C404" t="s">
        <v>76</v>
      </c>
      <c r="I404" s="157">
        <v>1294000</v>
      </c>
      <c r="M404" s="157">
        <v>1222054</v>
      </c>
      <c r="Q404" s="157">
        <v>71946</v>
      </c>
    </row>
    <row r="406" spans="3:17">
      <c r="C406" t="s">
        <v>201</v>
      </c>
      <c r="I406" s="157">
        <v>1294000</v>
      </c>
      <c r="M406" s="157">
        <v>1222054</v>
      </c>
      <c r="Q406" s="157">
        <v>71946</v>
      </c>
    </row>
    <row r="407" spans="3:17">
      <c r="C407" t="s">
        <v>76</v>
      </c>
      <c r="I407" s="157">
        <v>1294000</v>
      </c>
      <c r="M407" s="157">
        <v>1222054</v>
      </c>
      <c r="Q407" s="157">
        <v>71946</v>
      </c>
    </row>
    <row r="409" spans="3:17">
      <c r="C409" t="s">
        <v>202</v>
      </c>
      <c r="I409" s="157">
        <v>1294000</v>
      </c>
      <c r="M409" s="157">
        <v>1222054</v>
      </c>
      <c r="Q409" s="157">
        <v>71946</v>
      </c>
    </row>
    <row r="410" spans="3:17">
      <c r="C410" t="s">
        <v>76</v>
      </c>
      <c r="I410" s="157">
        <v>1294000</v>
      </c>
      <c r="M410" s="157">
        <v>1222054</v>
      </c>
      <c r="Q410" s="157">
        <v>71946</v>
      </c>
    </row>
    <row r="412" spans="3:17">
      <c r="C412" t="s">
        <v>203</v>
      </c>
      <c r="I412" s="157">
        <v>1294000</v>
      </c>
      <c r="M412" s="157">
        <v>1222054</v>
      </c>
      <c r="Q412" s="157">
        <v>71946</v>
      </c>
    </row>
    <row r="413" spans="3:17">
      <c r="C413" t="s">
        <v>76</v>
      </c>
      <c r="I413" s="157">
        <v>1294000</v>
      </c>
      <c r="M413" s="157">
        <v>1222054</v>
      </c>
      <c r="Q413" s="157">
        <v>71946</v>
      </c>
    </row>
    <row r="415" spans="3:17">
      <c r="C415" t="s">
        <v>204</v>
      </c>
      <c r="I415" s="157">
        <v>1294000</v>
      </c>
      <c r="M415" s="157">
        <v>1222054</v>
      </c>
      <c r="Q415" s="157">
        <v>71946</v>
      </c>
    </row>
    <row r="416" spans="3:17">
      <c r="C416" t="s">
        <v>76</v>
      </c>
      <c r="I416" s="157">
        <v>1294000</v>
      </c>
      <c r="M416" s="157">
        <v>1222054</v>
      </c>
      <c r="Q416" s="157">
        <v>71946</v>
      </c>
    </row>
    <row r="418" spans="3:17">
      <c r="C418" t="s">
        <v>205</v>
      </c>
      <c r="I418" s="157">
        <v>1294000</v>
      </c>
      <c r="M418" s="157">
        <v>1222054</v>
      </c>
      <c r="Q418" s="157">
        <v>71946</v>
      </c>
    </row>
    <row r="419" spans="3:17">
      <c r="C419" t="s">
        <v>76</v>
      </c>
      <c r="I419" s="157">
        <v>1294000</v>
      </c>
      <c r="M419" s="157">
        <v>1222054</v>
      </c>
      <c r="Q419" s="157">
        <v>71946</v>
      </c>
    </row>
    <row r="421" spans="3:17">
      <c r="C421" t="s">
        <v>206</v>
      </c>
      <c r="I421" s="157">
        <v>1294000</v>
      </c>
      <c r="M421" s="157">
        <v>1222054</v>
      </c>
      <c r="Q421" s="157">
        <v>71946</v>
      </c>
    </row>
    <row r="422" spans="3:17">
      <c r="C422" t="s">
        <v>76</v>
      </c>
      <c r="I422" s="157">
        <v>1294000</v>
      </c>
      <c r="M422" s="157">
        <v>1222054</v>
      </c>
      <c r="Q422" s="157">
        <v>71946</v>
      </c>
    </row>
    <row r="424" spans="3:17">
      <c r="C424" t="s">
        <v>207</v>
      </c>
      <c r="I424" s="157">
        <v>1294000</v>
      </c>
      <c r="M424" s="157">
        <v>1222054</v>
      </c>
      <c r="Q424" s="157">
        <v>71946</v>
      </c>
    </row>
    <row r="425" spans="3:17">
      <c r="C425" t="s">
        <v>76</v>
      </c>
      <c r="I425" s="157">
        <v>1294000</v>
      </c>
      <c r="M425" s="157">
        <v>1222054</v>
      </c>
      <c r="Q425" s="157">
        <v>71946</v>
      </c>
    </row>
    <row r="427" spans="3:17">
      <c r="C427" t="s">
        <v>208</v>
      </c>
      <c r="I427" s="157">
        <v>1294000</v>
      </c>
      <c r="M427" s="157">
        <v>1222054</v>
      </c>
      <c r="Q427" s="157">
        <v>71946</v>
      </c>
    </row>
    <row r="428" spans="3:17">
      <c r="C428" t="s">
        <v>76</v>
      </c>
      <c r="I428" s="157">
        <v>1294000</v>
      </c>
      <c r="M428" s="157">
        <v>1222054</v>
      </c>
      <c r="Q428" s="157">
        <v>71946</v>
      </c>
    </row>
    <row r="430" spans="3:17">
      <c r="C430" t="s">
        <v>209</v>
      </c>
      <c r="I430" s="157">
        <v>3932000</v>
      </c>
      <c r="K430" s="157">
        <v>3528000</v>
      </c>
      <c r="Q430" s="157">
        <v>404000</v>
      </c>
    </row>
    <row r="431" spans="3:17">
      <c r="C431" t="s">
        <v>210</v>
      </c>
      <c r="I431" s="157">
        <v>3932000</v>
      </c>
      <c r="K431" s="157">
        <v>3528000</v>
      </c>
      <c r="Q431" s="157">
        <v>404000</v>
      </c>
    </row>
    <row r="433" spans="3:17">
      <c r="C433" t="s">
        <v>211</v>
      </c>
      <c r="I433" s="157">
        <v>3932000</v>
      </c>
      <c r="K433" s="157">
        <v>3880000</v>
      </c>
      <c r="Q433" s="157">
        <v>52000</v>
      </c>
    </row>
    <row r="434" spans="3:17">
      <c r="C434" t="s">
        <v>210</v>
      </c>
      <c r="I434" s="157">
        <v>3932000</v>
      </c>
      <c r="K434" s="157">
        <v>3880000</v>
      </c>
      <c r="Q434" s="157">
        <v>52000</v>
      </c>
    </row>
    <row r="436" spans="3:17">
      <c r="C436" t="s">
        <v>212</v>
      </c>
      <c r="I436" s="157">
        <v>3932000</v>
      </c>
      <c r="K436" s="157">
        <v>3270000</v>
      </c>
      <c r="Q436" s="157">
        <v>662000</v>
      </c>
    </row>
    <row r="437" spans="3:17">
      <c r="C437" t="s">
        <v>210</v>
      </c>
      <c r="I437" s="157">
        <v>3932000</v>
      </c>
      <c r="K437" s="157">
        <v>3270000</v>
      </c>
      <c r="Q437" s="157">
        <v>662000</v>
      </c>
    </row>
    <row r="439" spans="3:17">
      <c r="C439" t="s">
        <v>213</v>
      </c>
      <c r="I439" s="157">
        <v>3932000</v>
      </c>
      <c r="K439" s="157">
        <v>3660000</v>
      </c>
      <c r="Q439" s="157">
        <v>272000</v>
      </c>
    </row>
    <row r="440" spans="3:17">
      <c r="C440" t="s">
        <v>210</v>
      </c>
      <c r="I440" s="157">
        <v>3932000</v>
      </c>
      <c r="K440" s="157">
        <v>3660000</v>
      </c>
      <c r="Q440" s="157">
        <v>272000</v>
      </c>
    </row>
    <row r="442" spans="3:17">
      <c r="C442" t="s">
        <v>55</v>
      </c>
      <c r="I442" s="157">
        <v>66800</v>
      </c>
      <c r="M442" s="157">
        <v>33000</v>
      </c>
      <c r="Q442" s="157">
        <v>33800</v>
      </c>
    </row>
    <row r="443" spans="3:17">
      <c r="C443" t="s">
        <v>210</v>
      </c>
      <c r="I443" s="157">
        <v>66800</v>
      </c>
      <c r="M443" s="157">
        <v>33000</v>
      </c>
      <c r="Q443" s="157">
        <v>33800</v>
      </c>
    </row>
    <row r="445" spans="3:17">
      <c r="C445" t="s">
        <v>214</v>
      </c>
      <c r="I445" s="157">
        <v>216200</v>
      </c>
      <c r="M445" s="157">
        <v>216200</v>
      </c>
    </row>
    <row r="446" spans="3:17">
      <c r="C446" t="s">
        <v>210</v>
      </c>
      <c r="I446" s="157">
        <v>216200</v>
      </c>
      <c r="M446" s="157">
        <v>216200</v>
      </c>
    </row>
    <row r="448" spans="3:17">
      <c r="C448" t="s">
        <v>215</v>
      </c>
      <c r="I448" s="157">
        <v>136300</v>
      </c>
      <c r="M448" s="157">
        <v>136300</v>
      </c>
    </row>
    <row r="449" spans="3:17">
      <c r="C449" t="s">
        <v>210</v>
      </c>
      <c r="I449" s="157">
        <v>136300</v>
      </c>
      <c r="M449" s="157">
        <v>136300</v>
      </c>
    </row>
    <row r="451" spans="3:17">
      <c r="C451" t="s">
        <v>216</v>
      </c>
      <c r="I451" s="157">
        <v>92400</v>
      </c>
      <c r="M451" s="157">
        <v>92400</v>
      </c>
    </row>
    <row r="452" spans="3:17">
      <c r="C452" t="s">
        <v>210</v>
      </c>
      <c r="I452" s="157">
        <v>92400</v>
      </c>
      <c r="M452" s="157">
        <v>92400</v>
      </c>
    </row>
    <row r="454" spans="3:17">
      <c r="C454" t="s">
        <v>217</v>
      </c>
      <c r="I454" s="157">
        <v>214200</v>
      </c>
      <c r="M454" s="157">
        <v>214200</v>
      </c>
    </row>
    <row r="455" spans="3:17">
      <c r="C455" t="s">
        <v>210</v>
      </c>
      <c r="I455" s="157">
        <v>214200</v>
      </c>
      <c r="M455" s="157">
        <v>214200</v>
      </c>
    </row>
    <row r="457" spans="3:17">
      <c r="C457" t="s">
        <v>218</v>
      </c>
      <c r="I457" s="157">
        <v>105100</v>
      </c>
      <c r="M457" s="157">
        <v>105000</v>
      </c>
      <c r="Q457">
        <v>100</v>
      </c>
    </row>
    <row r="458" spans="3:17">
      <c r="C458" t="s">
        <v>210</v>
      </c>
      <c r="I458" s="157">
        <v>105100</v>
      </c>
      <c r="M458" s="157">
        <v>105000</v>
      </c>
      <c r="Q458">
        <v>100</v>
      </c>
    </row>
    <row r="460" spans="3:17">
      <c r="C460" t="s">
        <v>219</v>
      </c>
      <c r="I460" s="157">
        <v>82300</v>
      </c>
      <c r="M460" s="157">
        <v>81800</v>
      </c>
      <c r="Q460">
        <v>500</v>
      </c>
    </row>
    <row r="461" spans="3:17">
      <c r="C461" t="s">
        <v>210</v>
      </c>
      <c r="I461" s="157">
        <v>82300</v>
      </c>
      <c r="M461" s="157">
        <v>81800</v>
      </c>
      <c r="Q461">
        <v>500</v>
      </c>
    </row>
    <row r="463" spans="3:17">
      <c r="C463" t="s">
        <v>220</v>
      </c>
      <c r="I463" s="157">
        <v>60900</v>
      </c>
      <c r="M463" s="157">
        <v>60900</v>
      </c>
    </row>
    <row r="464" spans="3:17">
      <c r="C464" t="s">
        <v>210</v>
      </c>
      <c r="I464" s="157">
        <v>60900</v>
      </c>
      <c r="M464" s="157">
        <v>60900</v>
      </c>
    </row>
    <row r="466" spans="3:17">
      <c r="C466" t="s">
        <v>56</v>
      </c>
      <c r="I466" s="157">
        <v>613800</v>
      </c>
      <c r="M466" s="157">
        <v>575595</v>
      </c>
      <c r="Q466" s="157">
        <v>38205</v>
      </c>
    </row>
    <row r="467" spans="3:17">
      <c r="C467" t="s">
        <v>210</v>
      </c>
      <c r="I467" s="157">
        <v>613800</v>
      </c>
      <c r="M467" s="157">
        <v>575595</v>
      </c>
      <c r="Q467" s="157">
        <v>38205</v>
      </c>
    </row>
    <row r="469" spans="3:17">
      <c r="C469" t="s">
        <v>57</v>
      </c>
      <c r="I469" s="157">
        <v>97300</v>
      </c>
      <c r="M469" s="157">
        <v>97300</v>
      </c>
    </row>
    <row r="470" spans="3:17">
      <c r="C470" t="s">
        <v>210</v>
      </c>
      <c r="I470" s="157">
        <v>97300</v>
      </c>
      <c r="M470" s="157">
        <v>97300</v>
      </c>
    </row>
    <row r="472" spans="3:17">
      <c r="C472" t="s">
        <v>221</v>
      </c>
      <c r="I472" s="157">
        <v>94300</v>
      </c>
      <c r="M472" s="157">
        <v>94300</v>
      </c>
    </row>
    <row r="473" spans="3:17">
      <c r="C473" t="s">
        <v>210</v>
      </c>
      <c r="I473" s="157">
        <v>94300</v>
      </c>
      <c r="M473" s="157">
        <v>94300</v>
      </c>
    </row>
    <row r="475" spans="3:17">
      <c r="C475" t="s">
        <v>222</v>
      </c>
      <c r="I475" s="157">
        <v>167100</v>
      </c>
      <c r="M475" s="157">
        <v>167100</v>
      </c>
    </row>
    <row r="476" spans="3:17">
      <c r="C476" t="s">
        <v>210</v>
      </c>
      <c r="I476" s="157">
        <v>167100</v>
      </c>
      <c r="M476" s="157">
        <v>167100</v>
      </c>
    </row>
    <row r="478" spans="3:17">
      <c r="C478" t="s">
        <v>58</v>
      </c>
      <c r="I478" s="157">
        <v>95000</v>
      </c>
      <c r="M478" s="157">
        <v>95000</v>
      </c>
    </row>
    <row r="479" spans="3:17">
      <c r="C479" t="s">
        <v>210</v>
      </c>
      <c r="I479" s="157">
        <v>95000</v>
      </c>
      <c r="M479" s="157">
        <v>95000</v>
      </c>
    </row>
    <row r="481" spans="3:17">
      <c r="C481" t="s">
        <v>223</v>
      </c>
      <c r="I481" s="157">
        <v>52000</v>
      </c>
      <c r="M481" s="157">
        <v>52000</v>
      </c>
    </row>
    <row r="482" spans="3:17">
      <c r="C482" t="s">
        <v>210</v>
      </c>
      <c r="I482" s="157">
        <v>52000</v>
      </c>
      <c r="M482" s="157">
        <v>52000</v>
      </c>
    </row>
    <row r="484" spans="3:17">
      <c r="C484" t="s">
        <v>224</v>
      </c>
      <c r="I484" s="157">
        <v>72700</v>
      </c>
      <c r="M484" s="157">
        <v>67100</v>
      </c>
      <c r="Q484" s="157">
        <v>5600</v>
      </c>
    </row>
    <row r="485" spans="3:17">
      <c r="C485" t="s">
        <v>210</v>
      </c>
      <c r="I485" s="157">
        <v>72700</v>
      </c>
      <c r="M485" s="157">
        <v>67100</v>
      </c>
      <c r="Q485" s="157">
        <v>5600</v>
      </c>
    </row>
    <row r="487" spans="3:17">
      <c r="C487" t="s">
        <v>225</v>
      </c>
      <c r="I487" s="157">
        <v>61900</v>
      </c>
      <c r="M487" s="157">
        <v>57500</v>
      </c>
      <c r="Q487" s="157">
        <v>4400</v>
      </c>
    </row>
    <row r="488" spans="3:17">
      <c r="C488" t="s">
        <v>210</v>
      </c>
      <c r="I488" s="157">
        <v>61900</v>
      </c>
      <c r="M488" s="157">
        <v>57500</v>
      </c>
      <c r="Q488" s="157">
        <v>4400</v>
      </c>
    </row>
    <row r="490" spans="3:17">
      <c r="C490" t="s">
        <v>59</v>
      </c>
      <c r="I490" s="157">
        <v>65800</v>
      </c>
      <c r="M490" s="157">
        <v>65000</v>
      </c>
      <c r="Q490">
        <v>800</v>
      </c>
    </row>
    <row r="491" spans="3:17">
      <c r="C491" t="s">
        <v>210</v>
      </c>
      <c r="I491" s="157">
        <v>65800</v>
      </c>
      <c r="M491" s="157">
        <v>65000</v>
      </c>
      <c r="Q491">
        <v>800</v>
      </c>
    </row>
    <row r="493" spans="3:17">
      <c r="C493" t="s">
        <v>226</v>
      </c>
      <c r="I493" s="157">
        <v>256500</v>
      </c>
      <c r="M493" s="157">
        <v>256500</v>
      </c>
    </row>
    <row r="494" spans="3:17">
      <c r="C494" t="s">
        <v>210</v>
      </c>
      <c r="I494" s="157">
        <v>256500</v>
      </c>
      <c r="M494" s="157">
        <v>256500</v>
      </c>
    </row>
    <row r="496" spans="3:17">
      <c r="C496" t="s">
        <v>227</v>
      </c>
      <c r="I496" s="157">
        <v>113200</v>
      </c>
      <c r="M496" s="157">
        <v>113200</v>
      </c>
    </row>
    <row r="497" spans="3:17">
      <c r="C497" t="s">
        <v>210</v>
      </c>
      <c r="I497" s="157">
        <v>113200</v>
      </c>
      <c r="M497" s="157">
        <v>113200</v>
      </c>
    </row>
    <row r="499" spans="3:17">
      <c r="C499" t="s">
        <v>228</v>
      </c>
      <c r="I499" s="157">
        <v>347900</v>
      </c>
      <c r="M499" s="157">
        <v>347000</v>
      </c>
      <c r="Q499">
        <v>900</v>
      </c>
    </row>
    <row r="500" spans="3:17">
      <c r="C500" t="s">
        <v>210</v>
      </c>
      <c r="I500" s="157">
        <v>347900</v>
      </c>
      <c r="M500" s="157">
        <v>347000</v>
      </c>
      <c r="Q500">
        <v>900</v>
      </c>
    </row>
    <row r="502" spans="3:17">
      <c r="C502" t="s">
        <v>60</v>
      </c>
      <c r="I502" s="157">
        <v>94300</v>
      </c>
      <c r="M502" s="157">
        <v>94000</v>
      </c>
      <c r="Q502">
        <v>300</v>
      </c>
    </row>
    <row r="503" spans="3:17">
      <c r="C503" t="s">
        <v>210</v>
      </c>
      <c r="I503" s="157">
        <v>94300</v>
      </c>
      <c r="M503" s="157">
        <v>94000</v>
      </c>
      <c r="Q503">
        <v>300</v>
      </c>
    </row>
    <row r="505" spans="3:17">
      <c r="C505" t="s">
        <v>229</v>
      </c>
      <c r="I505" s="157">
        <v>101200</v>
      </c>
      <c r="M505" s="157">
        <v>101200</v>
      </c>
    </row>
    <row r="506" spans="3:17">
      <c r="C506" t="s">
        <v>210</v>
      </c>
      <c r="I506" s="157">
        <v>101200</v>
      </c>
      <c r="M506" s="157">
        <v>101200</v>
      </c>
    </row>
    <row r="508" spans="3:17">
      <c r="C508" t="s">
        <v>230</v>
      </c>
      <c r="I508" s="157">
        <v>138600</v>
      </c>
      <c r="M508" s="157">
        <v>138500</v>
      </c>
      <c r="Q508">
        <v>100</v>
      </c>
    </row>
    <row r="509" spans="3:17">
      <c r="C509" t="s">
        <v>210</v>
      </c>
      <c r="I509" s="157">
        <v>138600</v>
      </c>
      <c r="M509" s="157">
        <v>138500</v>
      </c>
      <c r="Q509">
        <v>100</v>
      </c>
    </row>
    <row r="511" spans="3:17">
      <c r="C511" t="s">
        <v>231</v>
      </c>
      <c r="I511" s="157">
        <v>101200</v>
      </c>
      <c r="M511" s="157">
        <v>101200</v>
      </c>
    </row>
    <row r="512" spans="3:17">
      <c r="C512" t="s">
        <v>210</v>
      </c>
      <c r="I512" s="157">
        <v>101200</v>
      </c>
      <c r="M512" s="157">
        <v>101200</v>
      </c>
    </row>
    <row r="514" spans="3:17">
      <c r="C514" t="s">
        <v>61</v>
      </c>
      <c r="I514" s="157">
        <v>244700</v>
      </c>
      <c r="M514" s="157">
        <v>244000</v>
      </c>
      <c r="Q514">
        <v>700</v>
      </c>
    </row>
    <row r="515" spans="3:17">
      <c r="C515" t="s">
        <v>210</v>
      </c>
      <c r="I515" s="157">
        <v>244700</v>
      </c>
      <c r="M515" s="157">
        <v>244000</v>
      </c>
      <c r="Q515">
        <v>700</v>
      </c>
    </row>
    <row r="517" spans="3:17">
      <c r="C517" t="s">
        <v>232</v>
      </c>
      <c r="I517" s="157">
        <v>208300</v>
      </c>
      <c r="M517" s="157">
        <v>208000</v>
      </c>
      <c r="Q517">
        <v>300</v>
      </c>
    </row>
    <row r="518" spans="3:17">
      <c r="C518" t="s">
        <v>210</v>
      </c>
      <c r="I518" s="157">
        <v>208300</v>
      </c>
      <c r="M518" s="157">
        <v>208000</v>
      </c>
      <c r="Q518">
        <v>300</v>
      </c>
    </row>
    <row r="520" spans="3:17">
      <c r="C520" t="s">
        <v>62</v>
      </c>
      <c r="I520" s="157">
        <v>192600</v>
      </c>
      <c r="M520" s="157">
        <v>192500</v>
      </c>
      <c r="Q520">
        <v>100</v>
      </c>
    </row>
    <row r="521" spans="3:17">
      <c r="C521" t="s">
        <v>210</v>
      </c>
      <c r="I521" s="157">
        <v>192600</v>
      </c>
      <c r="M521" s="157">
        <v>192500</v>
      </c>
      <c r="Q521">
        <v>100</v>
      </c>
    </row>
    <row r="523" spans="3:17">
      <c r="C523" t="s">
        <v>233</v>
      </c>
      <c r="I523" s="157">
        <v>57000</v>
      </c>
      <c r="M523" s="157">
        <v>57000</v>
      </c>
    </row>
    <row r="524" spans="3:17">
      <c r="C524" t="s">
        <v>210</v>
      </c>
      <c r="I524" s="157">
        <v>57000</v>
      </c>
      <c r="M524" s="157">
        <v>57000</v>
      </c>
    </row>
    <row r="526" spans="3:17">
      <c r="C526" t="s">
        <v>234</v>
      </c>
      <c r="I526" s="157">
        <v>187700</v>
      </c>
      <c r="M526" s="157">
        <v>187700</v>
      </c>
    </row>
    <row r="527" spans="3:17">
      <c r="C527" t="s">
        <v>210</v>
      </c>
      <c r="I527" s="157">
        <v>187700</v>
      </c>
      <c r="M527" s="157">
        <v>187700</v>
      </c>
    </row>
    <row r="529" spans="3:17">
      <c r="C529" t="s">
        <v>235</v>
      </c>
      <c r="I529" s="157">
        <v>442300</v>
      </c>
      <c r="M529" s="157">
        <v>442300</v>
      </c>
    </row>
    <row r="530" spans="3:17">
      <c r="C530" t="s">
        <v>210</v>
      </c>
      <c r="I530" s="157">
        <v>442300</v>
      </c>
      <c r="M530" s="157">
        <v>442300</v>
      </c>
    </row>
    <row r="532" spans="3:17">
      <c r="C532" t="s">
        <v>236</v>
      </c>
      <c r="I532" s="157">
        <v>162100</v>
      </c>
      <c r="M532" s="157">
        <v>162100</v>
      </c>
    </row>
    <row r="533" spans="3:17">
      <c r="C533" t="s">
        <v>210</v>
      </c>
      <c r="I533" s="157">
        <v>162100</v>
      </c>
      <c r="M533" s="157">
        <v>162100</v>
      </c>
    </row>
    <row r="535" spans="3:17">
      <c r="C535" t="s">
        <v>237</v>
      </c>
      <c r="I535" s="157">
        <v>57000</v>
      </c>
      <c r="M535" s="157">
        <v>57000</v>
      </c>
    </row>
    <row r="536" spans="3:17">
      <c r="C536" t="s">
        <v>210</v>
      </c>
      <c r="I536" s="157">
        <v>57000</v>
      </c>
      <c r="M536" s="157">
        <v>57000</v>
      </c>
    </row>
    <row r="538" spans="3:17">
      <c r="C538" t="s">
        <v>238</v>
      </c>
      <c r="I538" s="157">
        <v>358700</v>
      </c>
      <c r="M538" s="157">
        <v>358700</v>
      </c>
    </row>
    <row r="539" spans="3:17">
      <c r="C539" t="s">
        <v>210</v>
      </c>
      <c r="I539" s="157">
        <v>358700</v>
      </c>
      <c r="M539" s="157">
        <v>358700</v>
      </c>
    </row>
    <row r="541" spans="3:17">
      <c r="C541" t="s">
        <v>239</v>
      </c>
      <c r="I541" s="157">
        <v>75000</v>
      </c>
      <c r="M541" s="157">
        <v>74000</v>
      </c>
      <c r="Q541" s="157">
        <v>1000</v>
      </c>
    </row>
    <row r="542" spans="3:17">
      <c r="C542" t="s">
        <v>210</v>
      </c>
      <c r="I542" s="157">
        <v>75000</v>
      </c>
      <c r="M542" s="157">
        <v>74000</v>
      </c>
      <c r="Q542" s="157">
        <v>1000</v>
      </c>
    </row>
    <row r="544" spans="3:17">
      <c r="C544" t="s">
        <v>240</v>
      </c>
      <c r="I544" s="157">
        <v>502300</v>
      </c>
      <c r="M544" s="157">
        <v>502000</v>
      </c>
      <c r="Q544">
        <v>300</v>
      </c>
    </row>
    <row r="545" spans="3:17">
      <c r="C545" t="s">
        <v>210</v>
      </c>
      <c r="I545" s="157">
        <v>502300</v>
      </c>
      <c r="M545" s="157">
        <v>502000</v>
      </c>
      <c r="Q545">
        <v>300</v>
      </c>
    </row>
    <row r="547" spans="3:17">
      <c r="C547" t="s">
        <v>241</v>
      </c>
      <c r="I547" s="157">
        <v>258500</v>
      </c>
      <c r="M547" s="157">
        <v>256500</v>
      </c>
      <c r="Q547" s="157">
        <v>2000</v>
      </c>
    </row>
    <row r="548" spans="3:17">
      <c r="C548" t="s">
        <v>210</v>
      </c>
      <c r="I548" s="157">
        <v>258500</v>
      </c>
      <c r="M548" s="157">
        <v>256500</v>
      </c>
      <c r="Q548" s="157">
        <v>2000</v>
      </c>
    </row>
    <row r="550" spans="3:17">
      <c r="C550" t="s">
        <v>242</v>
      </c>
      <c r="I550" s="157">
        <v>367000</v>
      </c>
      <c r="M550" s="157">
        <v>367000</v>
      </c>
    </row>
    <row r="551" spans="3:17">
      <c r="C551" t="s">
        <v>210</v>
      </c>
      <c r="I551" s="157">
        <v>367000</v>
      </c>
      <c r="M551" s="157">
        <v>367000</v>
      </c>
    </row>
    <row r="553" spans="3:17">
      <c r="C553" t="s">
        <v>243</v>
      </c>
      <c r="I553" s="157">
        <v>223100</v>
      </c>
      <c r="M553" s="157">
        <v>223100</v>
      </c>
    </row>
    <row r="554" spans="3:17">
      <c r="C554" t="s">
        <v>210</v>
      </c>
      <c r="I554" s="157">
        <v>223100</v>
      </c>
      <c r="M554" s="157">
        <v>223100</v>
      </c>
    </row>
    <row r="556" spans="3:17">
      <c r="C556" t="s">
        <v>244</v>
      </c>
      <c r="I556" s="157">
        <v>170000</v>
      </c>
      <c r="M556" s="157">
        <v>170000</v>
      </c>
    </row>
    <row r="557" spans="3:17">
      <c r="C557" t="s">
        <v>210</v>
      </c>
      <c r="I557" s="157">
        <v>170000</v>
      </c>
      <c r="M557" s="157">
        <v>170000</v>
      </c>
    </row>
    <row r="559" spans="3:17">
      <c r="C559" t="s">
        <v>245</v>
      </c>
      <c r="I559" s="157">
        <v>142500</v>
      </c>
      <c r="M559" s="157">
        <v>142500</v>
      </c>
    </row>
    <row r="560" spans="3:17">
      <c r="C560" t="s">
        <v>210</v>
      </c>
      <c r="I560" s="157">
        <v>142500</v>
      </c>
      <c r="M560" s="157">
        <v>142500</v>
      </c>
    </row>
    <row r="562" spans="3:17">
      <c r="C562" t="s">
        <v>246</v>
      </c>
      <c r="I562" s="157">
        <v>724400</v>
      </c>
      <c r="M562" s="157">
        <v>614400</v>
      </c>
      <c r="Q562" s="157">
        <v>110000</v>
      </c>
    </row>
    <row r="563" spans="3:17">
      <c r="C563" t="s">
        <v>210</v>
      </c>
      <c r="I563" s="157">
        <v>724400</v>
      </c>
      <c r="M563" s="157">
        <v>614400</v>
      </c>
      <c r="Q563" s="157">
        <v>110000</v>
      </c>
    </row>
    <row r="565" spans="3:17">
      <c r="C565" t="s">
        <v>63</v>
      </c>
      <c r="I565" s="157">
        <v>285000</v>
      </c>
      <c r="M565" s="157">
        <v>285000</v>
      </c>
    </row>
    <row r="566" spans="3:17">
      <c r="C566" t="s">
        <v>210</v>
      </c>
      <c r="I566" s="157">
        <v>285000</v>
      </c>
      <c r="M566" s="157">
        <v>285000</v>
      </c>
    </row>
    <row r="568" spans="3:17">
      <c r="C568" t="s">
        <v>247</v>
      </c>
      <c r="I568" s="157">
        <v>93300</v>
      </c>
      <c r="M568" s="157">
        <v>93300</v>
      </c>
    </row>
    <row r="569" spans="3:17">
      <c r="C569" t="s">
        <v>210</v>
      </c>
      <c r="I569" s="157">
        <v>93300</v>
      </c>
      <c r="M569" s="157">
        <v>93300</v>
      </c>
    </row>
    <row r="571" spans="3:17">
      <c r="C571" t="s">
        <v>248</v>
      </c>
      <c r="I571" s="157">
        <v>97300</v>
      </c>
      <c r="M571" s="157">
        <v>97300</v>
      </c>
    </row>
    <row r="572" spans="3:17">
      <c r="C572" t="s">
        <v>210</v>
      </c>
      <c r="I572" s="157">
        <v>97300</v>
      </c>
      <c r="M572" s="157">
        <v>97300</v>
      </c>
    </row>
    <row r="574" spans="3:17">
      <c r="C574" t="s">
        <v>249</v>
      </c>
      <c r="I574" s="157">
        <v>2624600</v>
      </c>
      <c r="K574" s="157">
        <v>2380000</v>
      </c>
      <c r="Q574" s="157">
        <v>244600</v>
      </c>
    </row>
    <row r="575" spans="3:17">
      <c r="C575" t="s">
        <v>210</v>
      </c>
      <c r="I575" s="157">
        <v>2624600</v>
      </c>
      <c r="K575" s="157">
        <v>2380000</v>
      </c>
      <c r="Q575" s="157">
        <v>244600</v>
      </c>
    </row>
    <row r="577" spans="3:17">
      <c r="C577" t="s">
        <v>64</v>
      </c>
      <c r="I577" s="157">
        <v>220100</v>
      </c>
      <c r="M577" s="157">
        <v>220100</v>
      </c>
    </row>
    <row r="578" spans="3:17">
      <c r="C578" t="s">
        <v>210</v>
      </c>
      <c r="I578" s="157">
        <v>220100</v>
      </c>
      <c r="M578" s="157">
        <v>220100</v>
      </c>
    </row>
    <row r="580" spans="3:17">
      <c r="C580" t="s">
        <v>250</v>
      </c>
      <c r="I580" s="157">
        <v>145400</v>
      </c>
      <c r="M580" s="157">
        <v>145400</v>
      </c>
    </row>
    <row r="581" spans="3:17">
      <c r="C581" t="s">
        <v>210</v>
      </c>
      <c r="I581" s="157">
        <v>145400</v>
      </c>
      <c r="M581" s="157">
        <v>145400</v>
      </c>
    </row>
    <row r="583" spans="3:17">
      <c r="C583" t="s">
        <v>65</v>
      </c>
      <c r="I583" s="157">
        <v>388200</v>
      </c>
      <c r="M583" s="157">
        <v>388200</v>
      </c>
    </row>
    <row r="584" spans="3:17">
      <c r="C584" t="s">
        <v>210</v>
      </c>
      <c r="I584" s="157">
        <v>388200</v>
      </c>
      <c r="M584" s="157">
        <v>388200</v>
      </c>
    </row>
    <row r="586" spans="3:17">
      <c r="C586" t="s">
        <v>251</v>
      </c>
      <c r="I586" s="157">
        <v>1639600</v>
      </c>
      <c r="M586" s="157">
        <v>820750</v>
      </c>
      <c r="Q586" s="157">
        <v>818850</v>
      </c>
    </row>
    <row r="587" spans="3:17">
      <c r="C587" t="s">
        <v>210</v>
      </c>
      <c r="I587" s="157">
        <v>1639600</v>
      </c>
      <c r="M587" s="157">
        <v>820750</v>
      </c>
      <c r="Q587" s="157">
        <v>818850</v>
      </c>
    </row>
    <row r="589" spans="3:17">
      <c r="C589" t="s">
        <v>252</v>
      </c>
      <c r="I589" s="157">
        <v>2945000</v>
      </c>
      <c r="M589" s="157">
        <v>2673800</v>
      </c>
      <c r="Q589" s="157">
        <v>271200</v>
      </c>
    </row>
    <row r="590" spans="3:17">
      <c r="C590" t="s">
        <v>210</v>
      </c>
      <c r="I590" s="157">
        <v>2945000</v>
      </c>
      <c r="M590" s="157">
        <v>2673800</v>
      </c>
      <c r="Q590" s="157">
        <v>271200</v>
      </c>
    </row>
    <row r="592" spans="3:17">
      <c r="C592" t="s">
        <v>253</v>
      </c>
      <c r="I592" s="157">
        <v>690000</v>
      </c>
      <c r="M592" s="157">
        <v>687000</v>
      </c>
      <c r="Q592" s="157">
        <v>3000</v>
      </c>
    </row>
    <row r="593" spans="3:17">
      <c r="C593" t="s">
        <v>210</v>
      </c>
      <c r="I593" s="157">
        <v>690000</v>
      </c>
      <c r="M593" s="157">
        <v>687000</v>
      </c>
      <c r="Q593" s="157">
        <v>3000</v>
      </c>
    </row>
    <row r="595" spans="3:17">
      <c r="C595" t="s">
        <v>254</v>
      </c>
      <c r="I595" s="157">
        <v>108100</v>
      </c>
      <c r="M595" s="157">
        <v>108100</v>
      </c>
    </row>
    <row r="596" spans="3:17">
      <c r="C596" t="s">
        <v>210</v>
      </c>
      <c r="I596" s="157">
        <v>108100</v>
      </c>
      <c r="M596" s="157">
        <v>108100</v>
      </c>
    </row>
    <row r="598" spans="3:17">
      <c r="C598" t="s">
        <v>255</v>
      </c>
      <c r="I598" s="157">
        <v>862000</v>
      </c>
      <c r="M598" s="157">
        <v>793071</v>
      </c>
      <c r="Q598" s="157">
        <v>68929</v>
      </c>
    </row>
    <row r="599" spans="3:17">
      <c r="C599" t="s">
        <v>210</v>
      </c>
      <c r="I599" s="157">
        <v>862000</v>
      </c>
      <c r="M599" s="157">
        <v>793071</v>
      </c>
      <c r="Q599" s="157">
        <v>68929</v>
      </c>
    </row>
    <row r="601" spans="3:17">
      <c r="C601" t="s">
        <v>66</v>
      </c>
      <c r="I601" s="157">
        <v>24575000</v>
      </c>
      <c r="K601" s="157">
        <v>20151500</v>
      </c>
      <c r="M601" s="157">
        <v>4423500</v>
      </c>
    </row>
    <row r="602" spans="3:17">
      <c r="C602" t="s">
        <v>210</v>
      </c>
      <c r="I602" s="157">
        <v>24575000</v>
      </c>
      <c r="K602" s="157">
        <v>20151500</v>
      </c>
      <c r="M602" s="157">
        <v>4423500</v>
      </c>
    </row>
    <row r="604" spans="3:17">
      <c r="C604" t="s">
        <v>67</v>
      </c>
      <c r="I604" s="157">
        <v>24575000</v>
      </c>
      <c r="K604" s="157">
        <v>23147700</v>
      </c>
      <c r="Q604" s="157">
        <v>1427300</v>
      </c>
    </row>
    <row r="605" spans="3:17">
      <c r="C605" t="s">
        <v>210</v>
      </c>
      <c r="I605" s="157">
        <v>24575000</v>
      </c>
      <c r="K605" s="157">
        <v>23147700</v>
      </c>
      <c r="Q605" s="157">
        <v>1427300</v>
      </c>
    </row>
    <row r="607" spans="3:17">
      <c r="C607" t="s">
        <v>68</v>
      </c>
      <c r="I607" s="157">
        <v>24575000</v>
      </c>
      <c r="K607" s="157">
        <v>19946950</v>
      </c>
      <c r="M607" s="157">
        <v>3520050</v>
      </c>
      <c r="Q607" s="157">
        <v>1108000</v>
      </c>
    </row>
    <row r="608" spans="3:17">
      <c r="C608" t="s">
        <v>210</v>
      </c>
      <c r="I608" s="157">
        <v>24575000</v>
      </c>
      <c r="K608" s="157">
        <v>19946950</v>
      </c>
      <c r="M608" s="157">
        <v>3520050</v>
      </c>
      <c r="Q608" s="157">
        <v>1108000</v>
      </c>
    </row>
    <row r="610" spans="3:17">
      <c r="C610" t="s">
        <v>69</v>
      </c>
      <c r="I610" s="157">
        <v>24575000</v>
      </c>
      <c r="K610" s="157">
        <v>24250000</v>
      </c>
      <c r="Q610" s="157">
        <v>325000</v>
      </c>
    </row>
    <row r="611" spans="3:17">
      <c r="C611" t="s">
        <v>210</v>
      </c>
      <c r="I611" s="157">
        <v>24575000</v>
      </c>
      <c r="K611" s="157">
        <v>24250000</v>
      </c>
      <c r="Q611" s="157">
        <v>325000</v>
      </c>
    </row>
    <row r="613" spans="3:17">
      <c r="C613" t="s">
        <v>70</v>
      </c>
      <c r="I613" s="157">
        <v>11796000</v>
      </c>
      <c r="K613" s="157">
        <v>11070000</v>
      </c>
      <c r="Q613" s="157">
        <v>726000</v>
      </c>
    </row>
    <row r="614" spans="3:17">
      <c r="C614" t="s">
        <v>210</v>
      </c>
      <c r="I614" s="157">
        <v>11796000</v>
      </c>
      <c r="K614" s="157">
        <v>11070000</v>
      </c>
      <c r="Q614" s="157">
        <v>726000</v>
      </c>
    </row>
    <row r="616" spans="3:17">
      <c r="C616" t="s">
        <v>256</v>
      </c>
      <c r="I616" s="157">
        <v>11796000</v>
      </c>
      <c r="K616" s="157">
        <v>11796000</v>
      </c>
    </row>
    <row r="617" spans="3:17">
      <c r="C617" t="s">
        <v>210</v>
      </c>
      <c r="I617" s="157">
        <v>11796000</v>
      </c>
      <c r="K617" s="157">
        <v>11796000</v>
      </c>
    </row>
    <row r="619" spans="3:17">
      <c r="C619" t="s">
        <v>257</v>
      </c>
      <c r="I619" s="157">
        <v>11796000</v>
      </c>
      <c r="K619" s="157">
        <v>10438000</v>
      </c>
      <c r="Q619" s="157">
        <v>1358000</v>
      </c>
    </row>
    <row r="620" spans="3:17">
      <c r="C620" t="s">
        <v>210</v>
      </c>
      <c r="I620" s="157">
        <v>11796000</v>
      </c>
      <c r="K620" s="157">
        <v>10438000</v>
      </c>
      <c r="Q620" s="157">
        <v>1358000</v>
      </c>
    </row>
    <row r="622" spans="3:17">
      <c r="C622" t="s">
        <v>258</v>
      </c>
      <c r="I622" s="157">
        <v>11796000</v>
      </c>
      <c r="K622" s="157">
        <v>10680000</v>
      </c>
      <c r="Q622" s="157">
        <v>1116000</v>
      </c>
    </row>
    <row r="623" spans="3:17">
      <c r="C623" t="s">
        <v>210</v>
      </c>
      <c r="I623" s="157">
        <v>11796000</v>
      </c>
      <c r="K623" s="157">
        <v>10680000</v>
      </c>
      <c r="Q623" s="157">
        <v>1116000</v>
      </c>
    </row>
    <row r="625" spans="3:17">
      <c r="C625" t="s">
        <v>259</v>
      </c>
      <c r="I625" s="157">
        <v>11796000</v>
      </c>
      <c r="K625" s="157">
        <v>11770000</v>
      </c>
      <c r="Q625" s="157">
        <v>26000</v>
      </c>
    </row>
    <row r="626" spans="3:17">
      <c r="C626" t="s">
        <v>210</v>
      </c>
      <c r="I626" s="157">
        <v>11796000</v>
      </c>
      <c r="K626" s="157">
        <v>11770000</v>
      </c>
      <c r="Q626" s="157">
        <v>26000</v>
      </c>
    </row>
    <row r="628" spans="3:17">
      <c r="C628" t="s">
        <v>260</v>
      </c>
      <c r="I628" s="157">
        <v>24575000</v>
      </c>
      <c r="K628" s="157">
        <v>21990000</v>
      </c>
      <c r="Q628" s="157">
        <v>2585000</v>
      </c>
    </row>
    <row r="629" spans="3:17">
      <c r="C629" t="s">
        <v>210</v>
      </c>
      <c r="I629" s="157">
        <v>24575000</v>
      </c>
      <c r="K629" s="157">
        <v>21990000</v>
      </c>
      <c r="Q629" s="157">
        <v>2585000</v>
      </c>
    </row>
    <row r="631" spans="3:17">
      <c r="C631" t="s">
        <v>71</v>
      </c>
      <c r="I631" s="157">
        <v>721847100</v>
      </c>
      <c r="K631" s="157">
        <v>20388153.199999999</v>
      </c>
      <c r="M631" s="157">
        <v>249964172.40000001</v>
      </c>
      <c r="Q631" s="157">
        <v>451494774.39999998</v>
      </c>
    </row>
    <row r="632" spans="3:17">
      <c r="C632" t="s">
        <v>74</v>
      </c>
      <c r="I632" s="157">
        <v>721847100</v>
      </c>
      <c r="Q632" s="157">
        <v>721847100</v>
      </c>
    </row>
    <row r="633" spans="3:17">
      <c r="C633" t="s">
        <v>281</v>
      </c>
      <c r="M633" s="157">
        <v>4316013.33</v>
      </c>
      <c r="Q633" s="157">
        <v>-4316013.33</v>
      </c>
    </row>
    <row r="634" spans="3:17">
      <c r="C634" t="s">
        <v>282</v>
      </c>
      <c r="K634" s="157">
        <v>19438688.199999999</v>
      </c>
      <c r="M634" s="157">
        <v>214317316.56999999</v>
      </c>
      <c r="Q634" s="157">
        <v>-233756004.77000001</v>
      </c>
    </row>
    <row r="635" spans="3:17">
      <c r="C635" t="s">
        <v>283</v>
      </c>
      <c r="K635" s="157">
        <v>949465</v>
      </c>
      <c r="M635" s="157">
        <v>31330842.5</v>
      </c>
      <c r="Q635" s="157">
        <v>-32280307.5</v>
      </c>
    </row>
    <row r="637" spans="3:17">
      <c r="C637" t="s">
        <v>288</v>
      </c>
      <c r="I637" s="157">
        <v>850000</v>
      </c>
      <c r="Q637" s="157">
        <v>850000</v>
      </c>
    </row>
    <row r="638" spans="3:17">
      <c r="C638" t="s">
        <v>277</v>
      </c>
      <c r="I638" s="157">
        <v>850000</v>
      </c>
      <c r="Q638" s="157">
        <v>850000</v>
      </c>
    </row>
  </sheetData>
  <pageMargins left="0.25" right="0.16" top="0.3" bottom="0.28999999999999998" header="0.3" footer="0.3"/>
  <pageSetup paperSize="9" scale="75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>
    <tabColor rgb="FF00B0F0"/>
  </sheetPr>
  <dimension ref="A1:L129"/>
  <sheetViews>
    <sheetView topLeftCell="A27" zoomScale="72" zoomScaleNormal="72" workbookViewId="0">
      <selection activeCell="F43" sqref="F43"/>
    </sheetView>
  </sheetViews>
  <sheetFormatPr defaultRowHeight="21.75"/>
  <cols>
    <col min="1" max="1" width="105.5703125" style="19" customWidth="1"/>
    <col min="2" max="2" width="18.42578125" style="19" customWidth="1"/>
    <col min="3" max="3" width="22" style="18" hidden="1" customWidth="1"/>
    <col min="4" max="4" width="22" style="18" customWidth="1"/>
    <col min="5" max="6" width="21.28515625" style="33" customWidth="1"/>
    <col min="7" max="7" width="22.140625" style="18" customWidth="1"/>
    <col min="8" max="8" width="12.42578125" style="33" customWidth="1"/>
    <col min="9" max="9" width="22" style="33" bestFit="1" customWidth="1"/>
    <col min="10" max="10" width="14.85546875" style="18" customWidth="1"/>
    <col min="11" max="11" width="25" style="19" bestFit="1" customWidth="1"/>
    <col min="12" max="12" width="11.5703125" style="19" bestFit="1" customWidth="1"/>
    <col min="13" max="16384" width="9.140625" style="19"/>
  </cols>
  <sheetData>
    <row r="1" spans="1:12" ht="5.25" customHeight="1"/>
    <row r="2" spans="1:12" ht="36">
      <c r="A2" s="2393" t="s">
        <v>405</v>
      </c>
      <c r="B2" s="2393"/>
      <c r="C2" s="2393"/>
      <c r="D2" s="2393"/>
      <c r="E2" s="2393"/>
      <c r="F2" s="2393"/>
      <c r="G2" s="2393"/>
      <c r="H2" s="2393"/>
      <c r="I2" s="2393"/>
      <c r="J2" s="2393"/>
    </row>
    <row r="3" spans="1:12" s="2" customFormat="1" ht="36" hidden="1">
      <c r="A3" s="2394" t="s">
        <v>313</v>
      </c>
      <c r="B3" s="2394"/>
      <c r="C3" s="2394"/>
      <c r="D3" s="2394"/>
      <c r="E3" s="2394"/>
      <c r="F3" s="2394"/>
      <c r="G3" s="2394"/>
      <c r="H3" s="2394"/>
      <c r="I3" s="2394"/>
      <c r="J3" s="2394"/>
    </row>
    <row r="4" spans="1:12" s="2" customFormat="1" ht="36.75" thickBot="1">
      <c r="A4" s="2394" t="str">
        <f>+ราละเอียดโครงการงบเพิ่มเติม!A4</f>
        <v>ข้อมูลสะสมตั้งแต่วันที่ 1 ตุลาคม 2560   ถึงวันที่ 14 พฤศจิกายน 2560</v>
      </c>
      <c r="B4" s="2394"/>
      <c r="C4" s="2394"/>
      <c r="D4" s="2394"/>
      <c r="E4" s="2394"/>
      <c r="F4" s="2394"/>
      <c r="G4" s="2394"/>
      <c r="H4" s="2394"/>
      <c r="I4" s="2394"/>
      <c r="J4" s="2394"/>
    </row>
    <row r="5" spans="1:12" s="201" customFormat="1" ht="23.25" customHeight="1">
      <c r="A5" s="2395" t="s">
        <v>3</v>
      </c>
      <c r="B5" s="2397" t="s">
        <v>338</v>
      </c>
      <c r="C5" s="2401" t="s">
        <v>352</v>
      </c>
      <c r="D5" s="2403" t="s">
        <v>316</v>
      </c>
      <c r="E5" s="2404"/>
      <c r="F5" s="2405"/>
      <c r="G5" s="2399" t="s">
        <v>22</v>
      </c>
      <c r="H5" s="227" t="s">
        <v>11</v>
      </c>
      <c r="I5" s="2399" t="s">
        <v>4</v>
      </c>
      <c r="J5" s="2399" t="s">
        <v>348</v>
      </c>
    </row>
    <row r="6" spans="1:12" s="201" customFormat="1" ht="31.5" thickBot="1">
      <c r="A6" s="2396"/>
      <c r="B6" s="2398"/>
      <c r="C6" s="2402"/>
      <c r="D6" s="463" t="s">
        <v>395</v>
      </c>
      <c r="E6" s="462" t="s">
        <v>35</v>
      </c>
      <c r="F6" s="461" t="s">
        <v>2</v>
      </c>
      <c r="G6" s="2400"/>
      <c r="H6" s="228" t="s">
        <v>12</v>
      </c>
      <c r="I6" s="2400"/>
      <c r="J6" s="2400"/>
    </row>
    <row r="7" spans="1:12" s="202" customFormat="1" ht="31.5" thickBot="1">
      <c r="A7" s="229" t="s">
        <v>23</v>
      </c>
      <c r="B7" s="230"/>
      <c r="C7" s="231">
        <f>+C15+C26+C33+C41</f>
        <v>208043400</v>
      </c>
      <c r="D7" s="231">
        <f>+D15+D26+D33+D41</f>
        <v>165499529.43000001</v>
      </c>
      <c r="E7" s="231">
        <f>+E15+E26+E33+E41</f>
        <v>1158050</v>
      </c>
      <c r="F7" s="231">
        <f>+D7+E7</f>
        <v>166657579.43000001</v>
      </c>
      <c r="G7" s="231">
        <f>+G15+G26+G33+G41</f>
        <v>176050</v>
      </c>
      <c r="H7" s="231">
        <f>+G7*100/C7</f>
        <v>8.4621766419891234E-2</v>
      </c>
      <c r="I7" s="232">
        <f>+D7+E7-G7</f>
        <v>166481529.43000001</v>
      </c>
      <c r="J7" s="232"/>
    </row>
    <row r="8" spans="1:12" ht="30.75" hidden="1">
      <c r="A8" s="198" t="s">
        <v>13</v>
      </c>
      <c r="B8" s="243"/>
      <c r="C8" s="244"/>
      <c r="D8" s="240"/>
      <c r="E8" s="241"/>
      <c r="F8" s="241"/>
      <c r="G8" s="240"/>
      <c r="H8" s="241"/>
      <c r="I8" s="241"/>
      <c r="J8" s="241"/>
    </row>
    <row r="9" spans="1:12" ht="30.75" hidden="1">
      <c r="A9" s="198" t="s">
        <v>24</v>
      </c>
      <c r="B9" s="243"/>
      <c r="C9" s="244"/>
      <c r="D9" s="240"/>
      <c r="E9" s="241"/>
      <c r="F9" s="241"/>
      <c r="G9" s="240"/>
      <c r="H9" s="241"/>
      <c r="I9" s="241"/>
      <c r="J9" s="241"/>
    </row>
    <row r="10" spans="1:12" ht="30.75" hidden="1">
      <c r="A10" s="198" t="s">
        <v>7</v>
      </c>
      <c r="B10" s="243"/>
      <c r="C10" s="244"/>
      <c r="D10" s="240"/>
      <c r="E10" s="241"/>
      <c r="F10" s="241"/>
      <c r="G10" s="240"/>
      <c r="H10" s="241"/>
      <c r="I10" s="241"/>
      <c r="J10" s="241"/>
    </row>
    <row r="11" spans="1:12" ht="30.75" hidden="1">
      <c r="A11" s="198" t="s">
        <v>15</v>
      </c>
      <c r="B11" s="243"/>
      <c r="C11" s="244"/>
      <c r="D11" s="240"/>
      <c r="E11" s="241"/>
      <c r="F11" s="241"/>
      <c r="G11" s="240"/>
      <c r="H11" s="241"/>
      <c r="I11" s="241"/>
      <c r="J11" s="241"/>
    </row>
    <row r="12" spans="1:12" ht="30.75" hidden="1">
      <c r="A12" s="198" t="s">
        <v>16</v>
      </c>
      <c r="B12" s="243"/>
      <c r="C12" s="244"/>
      <c r="D12" s="240"/>
      <c r="E12" s="241"/>
      <c r="F12" s="241"/>
      <c r="G12" s="240"/>
      <c r="H12" s="241"/>
      <c r="I12" s="241"/>
      <c r="J12" s="241"/>
    </row>
    <row r="13" spans="1:12" ht="30.75" hidden="1">
      <c r="A13" s="209" t="s">
        <v>5</v>
      </c>
      <c r="B13" s="243"/>
      <c r="C13" s="244"/>
      <c r="D13" s="240"/>
      <c r="E13" s="241"/>
      <c r="F13" s="241"/>
      <c r="G13" s="240"/>
      <c r="H13" s="241"/>
      <c r="I13" s="241"/>
      <c r="J13" s="241"/>
    </row>
    <row r="14" spans="1:12" s="9" customFormat="1" ht="30.75" hidden="1">
      <c r="A14" s="245"/>
      <c r="B14" s="246"/>
      <c r="C14" s="247"/>
      <c r="D14" s="247"/>
      <c r="E14" s="248"/>
      <c r="F14" s="248"/>
      <c r="G14" s="247"/>
      <c r="H14" s="248"/>
      <c r="I14" s="247"/>
      <c r="J14" s="248"/>
    </row>
    <row r="15" spans="1:12" s="9" customFormat="1" ht="28.5" customHeight="1">
      <c r="A15" s="295" t="s">
        <v>2</v>
      </c>
      <c r="B15" s="281"/>
      <c r="C15" s="281">
        <f>SUM(C18:C25)</f>
        <v>110345000</v>
      </c>
      <c r="D15" s="281">
        <f>SUM(D18:D24)</f>
        <v>108217946.43000001</v>
      </c>
      <c r="E15" s="282">
        <f>SUM(E18:E25)</f>
        <v>982000</v>
      </c>
      <c r="F15" s="282">
        <f>+D15+E15</f>
        <v>109199946.43000001</v>
      </c>
      <c r="G15" s="281">
        <f>SUM(G18:G25)</f>
        <v>0</v>
      </c>
      <c r="H15" s="282">
        <f>+G15*100/C15</f>
        <v>0</v>
      </c>
      <c r="I15" s="284">
        <f>+D15+E15-G15</f>
        <v>109199946.43000001</v>
      </c>
      <c r="J15" s="282"/>
      <c r="L15" s="296"/>
    </row>
    <row r="16" spans="1:12" s="9" customFormat="1" ht="30.75">
      <c r="A16" s="287" t="s">
        <v>362</v>
      </c>
      <c r="B16" s="239"/>
      <c r="C16" s="239"/>
      <c r="D16" s="239"/>
      <c r="E16" s="241"/>
      <c r="F16" s="241"/>
      <c r="G16" s="240"/>
      <c r="H16" s="250"/>
      <c r="I16" s="251"/>
      <c r="J16" s="241"/>
    </row>
    <row r="17" spans="1:11" s="9" customFormat="1" ht="30.75" hidden="1">
      <c r="A17" s="252"/>
      <c r="B17" s="243"/>
      <c r="C17" s="243"/>
      <c r="D17" s="243"/>
      <c r="E17" s="253"/>
      <c r="F17" s="253"/>
      <c r="G17" s="243"/>
      <c r="H17" s="250"/>
      <c r="I17" s="251"/>
      <c r="J17" s="241"/>
    </row>
    <row r="18" spans="1:11" s="9" customFormat="1" ht="30.75">
      <c r="A18" s="273" t="s">
        <v>361</v>
      </c>
      <c r="B18" s="243" t="s">
        <v>347</v>
      </c>
      <c r="C18" s="244">
        <v>18390000</v>
      </c>
      <c r="D18" s="240">
        <v>18390000</v>
      </c>
      <c r="E18" s="241"/>
      <c r="F18" s="241">
        <f>+D18+E18</f>
        <v>18390000</v>
      </c>
      <c r="G18" s="240"/>
      <c r="H18" s="241">
        <f>+G18*100/C18</f>
        <v>0</v>
      </c>
      <c r="I18" s="271">
        <f>+D18+E18-G18</f>
        <v>18390000</v>
      </c>
      <c r="J18" s="241"/>
    </row>
    <row r="19" spans="1:11" s="9" customFormat="1" ht="30.75">
      <c r="A19" s="240" t="s">
        <v>1</v>
      </c>
      <c r="B19" s="243" t="s">
        <v>357</v>
      </c>
      <c r="C19" s="244">
        <f>21505000-1758960-750000</f>
        <v>18996040</v>
      </c>
      <c r="D19" s="240">
        <v>18996040</v>
      </c>
      <c r="E19" s="241"/>
      <c r="F19" s="241">
        <f t="shared" ref="F19:F24" si="0">+D19+E19</f>
        <v>18996040</v>
      </c>
      <c r="G19" s="240"/>
      <c r="H19" s="241">
        <f>+G19*100/C19</f>
        <v>0</v>
      </c>
      <c r="I19" s="271">
        <f t="shared" ref="I19:I24" si="1">+D19+E19-G19</f>
        <v>18996040</v>
      </c>
      <c r="J19" s="241"/>
    </row>
    <row r="20" spans="1:11" s="9" customFormat="1" ht="30.75">
      <c r="A20" s="288" t="s">
        <v>363</v>
      </c>
      <c r="B20" s="243" t="s">
        <v>358</v>
      </c>
      <c r="C20" s="244">
        <v>27585000</v>
      </c>
      <c r="D20" s="240">
        <v>27585000</v>
      </c>
      <c r="E20" s="241"/>
      <c r="F20" s="241">
        <f t="shared" si="0"/>
        <v>27585000</v>
      </c>
      <c r="G20" s="240"/>
      <c r="H20" s="241">
        <f>+G20*100/C20</f>
        <v>0</v>
      </c>
      <c r="I20" s="271">
        <f t="shared" si="1"/>
        <v>27585000</v>
      </c>
      <c r="J20" s="241"/>
    </row>
    <row r="21" spans="1:11" s="9" customFormat="1" ht="30.75">
      <c r="A21" s="288" t="s">
        <v>363</v>
      </c>
      <c r="B21" s="246" t="s">
        <v>359</v>
      </c>
      <c r="C21" s="247">
        <v>21455000</v>
      </c>
      <c r="D21" s="279">
        <f>20920000+260093</f>
        <v>21180093</v>
      </c>
      <c r="E21" s="278"/>
      <c r="F21" s="241">
        <f t="shared" si="0"/>
        <v>21180093</v>
      </c>
      <c r="G21" s="279"/>
      <c r="H21" s="278">
        <f>+G21*100/C21</f>
        <v>0</v>
      </c>
      <c r="I21" s="271">
        <f t="shared" si="1"/>
        <v>21180093</v>
      </c>
      <c r="J21" s="278"/>
      <c r="K21" s="223"/>
    </row>
    <row r="22" spans="1:11" s="9" customFormat="1" ht="30.75">
      <c r="A22" s="240" t="s">
        <v>364</v>
      </c>
      <c r="B22" s="243" t="s">
        <v>357</v>
      </c>
      <c r="C22" s="244">
        <f>1785000+1758960+750000</f>
        <v>4293960</v>
      </c>
      <c r="D22" s="244">
        <f>45000+5000+300000+400000+529000+26789.24+197200+300000+35464.19+1158960+600000</f>
        <v>3597413.4299999997</v>
      </c>
      <c r="E22" s="260"/>
      <c r="F22" s="241">
        <f t="shared" si="0"/>
        <v>3597413.4299999997</v>
      </c>
      <c r="G22" s="260"/>
      <c r="H22" s="260"/>
      <c r="I22" s="271">
        <f t="shared" si="1"/>
        <v>3597413.4299999997</v>
      </c>
      <c r="J22" s="260"/>
    </row>
    <row r="23" spans="1:11" s="9" customFormat="1" ht="30.75">
      <c r="A23" s="288" t="s">
        <v>363</v>
      </c>
      <c r="B23" s="243" t="s">
        <v>358</v>
      </c>
      <c r="C23" s="244">
        <v>18335000</v>
      </c>
      <c r="D23" s="244">
        <f>903500+1300000+445400+151100+3140000+7460000+4935000</f>
        <v>18335000</v>
      </c>
      <c r="E23" s="260"/>
      <c r="F23" s="241">
        <f t="shared" si="0"/>
        <v>18335000</v>
      </c>
      <c r="G23" s="244"/>
      <c r="H23" s="260"/>
      <c r="I23" s="271">
        <f t="shared" si="1"/>
        <v>18335000</v>
      </c>
      <c r="J23" s="260"/>
    </row>
    <row r="24" spans="1:11" s="9" customFormat="1" ht="30.75">
      <c r="A24" s="288" t="s">
        <v>363</v>
      </c>
      <c r="B24" s="243" t="s">
        <v>359</v>
      </c>
      <c r="C24" s="244">
        <v>1290000</v>
      </c>
      <c r="D24" s="244">
        <f>38400+96000</f>
        <v>134400</v>
      </c>
      <c r="E24" s="260">
        <f>300000+278000+404000</f>
        <v>982000</v>
      </c>
      <c r="F24" s="241">
        <f t="shared" si="0"/>
        <v>1116400</v>
      </c>
      <c r="G24" s="244"/>
      <c r="H24" s="260"/>
      <c r="I24" s="271">
        <f t="shared" si="1"/>
        <v>1116400</v>
      </c>
      <c r="J24" s="260"/>
    </row>
    <row r="25" spans="1:11" s="9" customFormat="1" ht="30.75">
      <c r="A25" s="288"/>
      <c r="B25" s="277"/>
      <c r="C25" s="279"/>
      <c r="D25" s="279"/>
      <c r="E25" s="278"/>
      <c r="F25" s="278"/>
      <c r="G25" s="279"/>
      <c r="H25" s="278"/>
      <c r="I25" s="280"/>
      <c r="J25" s="278"/>
      <c r="K25" s="285"/>
    </row>
    <row r="26" spans="1:11" s="9" customFormat="1" ht="30.75">
      <c r="A26" s="286" t="s">
        <v>2</v>
      </c>
      <c r="B26" s="281"/>
      <c r="C26" s="281">
        <f>SUM(C28:C31)</f>
        <v>41212000</v>
      </c>
      <c r="D26" s="281">
        <f>SUM(D28:D31)</f>
        <v>41212000</v>
      </c>
      <c r="E26" s="281">
        <f>SUM(E28:E31)</f>
        <v>0</v>
      </c>
      <c r="F26" s="281">
        <f>+D26+E26</f>
        <v>41212000</v>
      </c>
      <c r="G26" s="281">
        <f>SUM(G28:G31)</f>
        <v>0</v>
      </c>
      <c r="H26" s="282"/>
      <c r="I26" s="283">
        <f>+D26+E26-G26</f>
        <v>41212000</v>
      </c>
      <c r="J26" s="282"/>
    </row>
    <row r="27" spans="1:11" s="9" customFormat="1" ht="30.75">
      <c r="A27" s="289" t="s">
        <v>365</v>
      </c>
      <c r="B27" s="290"/>
      <c r="C27" s="290"/>
      <c r="D27" s="290"/>
      <c r="E27" s="290"/>
      <c r="F27" s="290"/>
      <c r="G27" s="290"/>
      <c r="H27" s="291"/>
      <c r="I27" s="292"/>
      <c r="J27" s="291"/>
    </row>
    <row r="28" spans="1:11" s="9" customFormat="1" ht="30.75">
      <c r="A28" s="240" t="s">
        <v>1</v>
      </c>
      <c r="B28" s="243" t="s">
        <v>347</v>
      </c>
      <c r="C28" s="243">
        <v>21052000</v>
      </c>
      <c r="D28" s="243">
        <v>21052000</v>
      </c>
      <c r="E28" s="260"/>
      <c r="F28" s="260">
        <f>+D28+E28</f>
        <v>21052000</v>
      </c>
      <c r="G28" s="243"/>
      <c r="H28" s="260">
        <f>+G28*100/C28</f>
        <v>0</v>
      </c>
      <c r="I28" s="293">
        <f>+D28+E28-G28</f>
        <v>21052000</v>
      </c>
      <c r="J28" s="260"/>
    </row>
    <row r="29" spans="1:11" s="9" customFormat="1" ht="30.75">
      <c r="A29" s="288" t="s">
        <v>363</v>
      </c>
      <c r="B29" s="243" t="s">
        <v>357</v>
      </c>
      <c r="C29" s="243">
        <v>4608000</v>
      </c>
      <c r="D29" s="243">
        <v>4608000</v>
      </c>
      <c r="E29" s="241"/>
      <c r="F29" s="260">
        <f>+D29+E29</f>
        <v>4608000</v>
      </c>
      <c r="G29" s="243"/>
      <c r="H29" s="241">
        <f>+G29*100/C29</f>
        <v>0</v>
      </c>
      <c r="I29" s="293">
        <f>+D29+E29-G29</f>
        <v>4608000</v>
      </c>
      <c r="J29" s="241"/>
    </row>
    <row r="30" spans="1:11" s="9" customFormat="1" ht="30.75">
      <c r="A30" s="288" t="s">
        <v>363</v>
      </c>
      <c r="B30" s="243" t="s">
        <v>358</v>
      </c>
      <c r="C30" s="243">
        <v>6144000</v>
      </c>
      <c r="D30" s="243">
        <v>6144000</v>
      </c>
      <c r="E30" s="241"/>
      <c r="F30" s="260">
        <f>+D30+E30</f>
        <v>6144000</v>
      </c>
      <c r="G30" s="243"/>
      <c r="H30" s="241">
        <f>+G30*100/C30</f>
        <v>0</v>
      </c>
      <c r="I30" s="293">
        <f>+D30+E30-G30</f>
        <v>6144000</v>
      </c>
      <c r="J30" s="241"/>
    </row>
    <row r="31" spans="1:11" s="9" customFormat="1" ht="31.5" thickBot="1">
      <c r="A31" s="288" t="s">
        <v>363</v>
      </c>
      <c r="B31" s="243" t="s">
        <v>359</v>
      </c>
      <c r="C31" s="246">
        <v>9408000</v>
      </c>
      <c r="D31" s="246">
        <v>9408000</v>
      </c>
      <c r="E31" s="256"/>
      <c r="F31" s="260">
        <f>+D31+E31</f>
        <v>9408000</v>
      </c>
      <c r="G31" s="246"/>
      <c r="H31" s="241">
        <f>+G31*100/C31</f>
        <v>0</v>
      </c>
      <c r="I31" s="293">
        <f>+D31+E31-G31</f>
        <v>9408000</v>
      </c>
      <c r="J31" s="241"/>
    </row>
    <row r="32" spans="1:11" s="9" customFormat="1" ht="31.5" hidden="1" thickBot="1">
      <c r="A32" s="288"/>
      <c r="B32" s="277"/>
      <c r="C32" s="277"/>
      <c r="D32" s="277"/>
      <c r="E32" s="256"/>
      <c r="F32" s="256"/>
      <c r="G32" s="277"/>
      <c r="H32" s="255"/>
      <c r="I32" s="257"/>
      <c r="J32" s="278"/>
    </row>
    <row r="33" spans="1:11" s="9" customFormat="1" ht="31.5" thickBot="1">
      <c r="A33" s="249"/>
      <c r="B33" s="234"/>
      <c r="C33" s="234">
        <f>SUM(C35:C38)</f>
        <v>38880000</v>
      </c>
      <c r="D33" s="234">
        <f>SUM(D35:D38)</f>
        <v>9776653</v>
      </c>
      <c r="E33" s="237">
        <f>SUM(E35:E38)</f>
        <v>0</v>
      </c>
      <c r="F33" s="237"/>
      <c r="G33" s="234">
        <f>SUM(G35:G38)</f>
        <v>0</v>
      </c>
      <c r="H33" s="236">
        <f>+G33*100/C33</f>
        <v>0</v>
      </c>
      <c r="I33" s="236">
        <f>+C33-G33-E33-D33</f>
        <v>29103347</v>
      </c>
      <c r="J33" s="237"/>
    </row>
    <row r="34" spans="1:11" s="9" customFormat="1" ht="31.5" customHeight="1">
      <c r="A34" s="419" t="s">
        <v>366</v>
      </c>
      <c r="B34" s="259"/>
      <c r="C34" s="251"/>
      <c r="D34" s="251"/>
      <c r="E34" s="250"/>
      <c r="F34" s="250"/>
      <c r="G34" s="251"/>
      <c r="H34" s="250"/>
      <c r="I34" s="251"/>
      <c r="J34" s="250"/>
    </row>
    <row r="35" spans="1:11" s="9" customFormat="1" ht="30.75">
      <c r="A35" s="240" t="s">
        <v>1</v>
      </c>
      <c r="B35" s="239" t="s">
        <v>347</v>
      </c>
      <c r="C35" s="244">
        <v>33720000</v>
      </c>
      <c r="D35" s="244">
        <v>4616653</v>
      </c>
      <c r="E35" s="260"/>
      <c r="F35" s="260"/>
      <c r="G35" s="244"/>
      <c r="H35" s="260">
        <f>+G35*100/C35</f>
        <v>0</v>
      </c>
      <c r="I35" s="244">
        <f>+C35-G35-E35-D35</f>
        <v>29103347</v>
      </c>
      <c r="J35" s="241"/>
      <c r="K35" s="140">
        <v>27898000</v>
      </c>
    </row>
    <row r="36" spans="1:11" s="9" customFormat="1" ht="30.75">
      <c r="A36" s="288" t="s">
        <v>363</v>
      </c>
      <c r="B36" s="243" t="s">
        <v>357</v>
      </c>
      <c r="C36" s="244">
        <v>1720000</v>
      </c>
      <c r="D36" s="244">
        <v>1720000</v>
      </c>
      <c r="E36" s="260"/>
      <c r="F36" s="260"/>
      <c r="G36" s="244"/>
      <c r="H36" s="260">
        <f>+G36*100/C36</f>
        <v>0</v>
      </c>
      <c r="I36" s="244">
        <f>+C36-G36-E36-D36</f>
        <v>0</v>
      </c>
      <c r="J36" s="260"/>
      <c r="K36" s="296">
        <f>+I19+I29+I36</f>
        <v>23604040</v>
      </c>
    </row>
    <row r="37" spans="1:11" s="9" customFormat="1" ht="30.75">
      <c r="A37" s="288" t="s">
        <v>363</v>
      </c>
      <c r="B37" s="243" t="s">
        <v>358</v>
      </c>
      <c r="C37" s="244">
        <v>1720000</v>
      </c>
      <c r="D37" s="244">
        <v>1720000</v>
      </c>
      <c r="E37" s="260"/>
      <c r="F37" s="260"/>
      <c r="G37" s="244"/>
      <c r="H37" s="260">
        <f>+G37*100/C37</f>
        <v>0</v>
      </c>
      <c r="I37" s="244">
        <f>+C37-G37-E37-D37</f>
        <v>0</v>
      </c>
      <c r="J37" s="260"/>
      <c r="K37" s="296">
        <f>+K35-K36</f>
        <v>4293960</v>
      </c>
    </row>
    <row r="38" spans="1:11" s="9" customFormat="1" ht="31.5" thickBot="1">
      <c r="A38" s="288" t="s">
        <v>363</v>
      </c>
      <c r="B38" s="243" t="s">
        <v>359</v>
      </c>
      <c r="C38" s="244">
        <v>1720000</v>
      </c>
      <c r="D38" s="244">
        <v>1720000</v>
      </c>
      <c r="E38" s="260"/>
      <c r="F38" s="260"/>
      <c r="G38" s="244"/>
      <c r="H38" s="260">
        <f>+G38*100/C38</f>
        <v>0</v>
      </c>
      <c r="I38" s="244">
        <f>+C38-G38-E38-D38</f>
        <v>0</v>
      </c>
      <c r="J38" s="260"/>
      <c r="K38" s="296">
        <f>+K36+K37</f>
        <v>27898000</v>
      </c>
    </row>
    <row r="39" spans="1:11" s="9" customFormat="1" ht="31.5" hidden="1" thickBot="1">
      <c r="A39" s="198"/>
      <c r="B39" s="243"/>
      <c r="C39" s="244"/>
      <c r="D39" s="244"/>
      <c r="E39" s="260"/>
      <c r="F39" s="260"/>
      <c r="G39" s="244"/>
      <c r="H39" s="260"/>
      <c r="I39" s="244">
        <f>+C39-G39-E39</f>
        <v>0</v>
      </c>
      <c r="J39" s="260"/>
    </row>
    <row r="40" spans="1:11" s="9" customFormat="1" ht="31.5" hidden="1" thickBot="1">
      <c r="A40" s="288"/>
      <c r="B40" s="243"/>
      <c r="C40" s="244"/>
      <c r="D40" s="244"/>
      <c r="E40" s="260"/>
      <c r="F40" s="260"/>
      <c r="G40" s="244"/>
      <c r="H40" s="260"/>
      <c r="I40" s="244"/>
      <c r="J40" s="260"/>
    </row>
    <row r="41" spans="1:11" s="9" customFormat="1" ht="31.5" thickBot="1">
      <c r="A41" s="294" t="s">
        <v>2</v>
      </c>
      <c r="B41" s="234"/>
      <c r="C41" s="234">
        <f>SUM(C43:C46)</f>
        <v>17606400</v>
      </c>
      <c r="D41" s="234">
        <f>SUM(D43:D46)</f>
        <v>6292930</v>
      </c>
      <c r="E41" s="237">
        <f>SUM(E43:E46)</f>
        <v>176050</v>
      </c>
      <c r="F41" s="237">
        <f>+D41+E41</f>
        <v>6468980</v>
      </c>
      <c r="G41" s="234">
        <f>SUM(G43:G46)</f>
        <v>176050</v>
      </c>
      <c r="H41" s="236">
        <f>+G41*100/C41</f>
        <v>0.99992048346055984</v>
      </c>
      <c r="I41" s="236">
        <f>+F41-G41</f>
        <v>6292930</v>
      </c>
      <c r="J41" s="237"/>
    </row>
    <row r="42" spans="1:11" s="9" customFormat="1" ht="30.75">
      <c r="A42" s="273" t="s">
        <v>367</v>
      </c>
      <c r="B42" s="243"/>
      <c r="C42" s="244"/>
      <c r="D42" s="244"/>
      <c r="E42" s="260"/>
      <c r="F42" s="260"/>
      <c r="G42" s="244"/>
      <c r="H42" s="260"/>
      <c r="I42" s="244">
        <f>+C42-G42-E42</f>
        <v>0</v>
      </c>
      <c r="J42" s="260"/>
    </row>
    <row r="43" spans="1:11" s="9" customFormat="1" ht="30.75">
      <c r="A43" s="240" t="s">
        <v>1</v>
      </c>
      <c r="B43" s="239" t="s">
        <v>347</v>
      </c>
      <c r="C43" s="244">
        <v>5502000</v>
      </c>
      <c r="D43" s="244">
        <v>4660603</v>
      </c>
      <c r="E43" s="260"/>
      <c r="F43" s="260">
        <f>+D43+E43</f>
        <v>4660603</v>
      </c>
      <c r="G43" s="244"/>
      <c r="H43" s="260">
        <f>+G43*100/C43</f>
        <v>0</v>
      </c>
      <c r="I43" s="244">
        <f>+F43-G43</f>
        <v>4660603</v>
      </c>
      <c r="J43" s="260"/>
    </row>
    <row r="44" spans="1:11" s="9" customFormat="1" ht="30.75">
      <c r="A44" s="288" t="s">
        <v>363</v>
      </c>
      <c r="B44" s="243" t="s">
        <v>357</v>
      </c>
      <c r="C44" s="262">
        <v>2200800</v>
      </c>
      <c r="D44" s="262">
        <v>792648</v>
      </c>
      <c r="E44" s="263">
        <v>176050</v>
      </c>
      <c r="F44" s="260">
        <f>+D44+E44</f>
        <v>968698</v>
      </c>
      <c r="G44" s="262">
        <v>176050</v>
      </c>
      <c r="H44" s="260">
        <f>+G44*100/C44</f>
        <v>7.9993638676844787</v>
      </c>
      <c r="I44" s="244">
        <f>+F44-G44</f>
        <v>792648</v>
      </c>
      <c r="J44" s="263"/>
    </row>
    <row r="45" spans="1:11" s="9" customFormat="1" ht="30.75">
      <c r="A45" s="288" t="s">
        <v>363</v>
      </c>
      <c r="B45" s="243" t="s">
        <v>358</v>
      </c>
      <c r="C45" s="244">
        <v>6052200</v>
      </c>
      <c r="D45" s="464"/>
      <c r="E45" s="260"/>
      <c r="F45" s="260">
        <f>+D45+E45</f>
        <v>0</v>
      </c>
      <c r="G45" s="244"/>
      <c r="H45" s="260">
        <f>+G45*100/C45</f>
        <v>0</v>
      </c>
      <c r="I45" s="244">
        <f>+F45-G45</f>
        <v>0</v>
      </c>
      <c r="J45" s="260"/>
    </row>
    <row r="46" spans="1:11" s="9" customFormat="1" ht="30.75">
      <c r="A46" s="288" t="s">
        <v>363</v>
      </c>
      <c r="B46" s="243" t="s">
        <v>359</v>
      </c>
      <c r="C46" s="244">
        <v>3851400</v>
      </c>
      <c r="D46" s="244">
        <v>839679</v>
      </c>
      <c r="E46" s="264"/>
      <c r="F46" s="260">
        <f>+D46+E46</f>
        <v>839679</v>
      </c>
      <c r="G46" s="244"/>
      <c r="H46" s="260">
        <f>+G46*100/C46</f>
        <v>0</v>
      </c>
      <c r="I46" s="244">
        <f>+F46-G46</f>
        <v>839679</v>
      </c>
      <c r="J46" s="260"/>
    </row>
    <row r="47" spans="1:11" ht="30.75">
      <c r="A47" s="266"/>
      <c r="B47" s="267"/>
      <c r="C47" s="268"/>
      <c r="D47" s="268"/>
      <c r="E47" s="270"/>
      <c r="F47" s="270"/>
      <c r="G47" s="268"/>
      <c r="H47" s="269"/>
      <c r="I47" s="268"/>
      <c r="J47" s="269"/>
    </row>
    <row r="48" spans="1:11" ht="22.5" hidden="1" customHeight="1">
      <c r="A48" s="298" t="s">
        <v>13</v>
      </c>
      <c r="B48" s="299"/>
      <c r="C48" s="300"/>
      <c r="D48" s="300"/>
      <c r="E48" s="302"/>
      <c r="F48" s="302"/>
      <c r="G48" s="300"/>
      <c r="H48" s="301"/>
      <c r="I48" s="300"/>
      <c r="J48" s="301"/>
    </row>
    <row r="49" spans="1:11" ht="23.25" hidden="1" customHeight="1">
      <c r="A49" s="298" t="s">
        <v>7</v>
      </c>
      <c r="B49" s="299"/>
      <c r="C49" s="300"/>
      <c r="D49" s="300"/>
      <c r="E49" s="302"/>
      <c r="F49" s="302"/>
      <c r="G49" s="300"/>
      <c r="H49" s="301"/>
      <c r="I49" s="300"/>
      <c r="J49" s="301"/>
    </row>
    <row r="50" spans="1:11" ht="26.25" hidden="1">
      <c r="A50" s="298" t="s">
        <v>15</v>
      </c>
      <c r="B50" s="299"/>
      <c r="C50" s="300"/>
      <c r="D50" s="300"/>
      <c r="E50" s="302"/>
      <c r="F50" s="302"/>
      <c r="G50" s="300"/>
      <c r="H50" s="301"/>
      <c r="I50" s="300"/>
      <c r="J50" s="301"/>
    </row>
    <row r="51" spans="1:11" ht="26.25" hidden="1">
      <c r="A51" s="298" t="s">
        <v>16</v>
      </c>
      <c r="B51" s="299"/>
      <c r="C51" s="300"/>
      <c r="D51" s="300"/>
      <c r="E51" s="302"/>
      <c r="F51" s="302"/>
      <c r="G51" s="300"/>
      <c r="H51" s="301"/>
      <c r="I51" s="300"/>
      <c r="J51" s="301"/>
    </row>
    <row r="52" spans="1:11" ht="26.25" hidden="1">
      <c r="A52" s="298" t="s">
        <v>5</v>
      </c>
      <c r="B52" s="299"/>
      <c r="C52" s="300"/>
      <c r="D52" s="300"/>
      <c r="E52" s="302"/>
      <c r="F52" s="302"/>
      <c r="G52" s="300"/>
      <c r="H52" s="301"/>
      <c r="I52" s="300"/>
      <c r="J52" s="301"/>
    </row>
    <row r="53" spans="1:11" s="307" customFormat="1" ht="21.75" hidden="1" customHeight="1">
      <c r="A53" s="303" t="s">
        <v>310</v>
      </c>
      <c r="B53" s="304"/>
      <c r="C53" s="305"/>
      <c r="D53" s="305"/>
      <c r="E53" s="306"/>
      <c r="F53" s="306"/>
      <c r="G53" s="305"/>
      <c r="H53" s="306"/>
      <c r="I53" s="305"/>
      <c r="J53" s="306"/>
    </row>
    <row r="54" spans="1:11" s="197" customFormat="1" ht="27" hidden="1" customHeight="1">
      <c r="A54" s="297"/>
      <c r="B54" s="308"/>
      <c r="C54" s="309"/>
      <c r="D54" s="309"/>
      <c r="E54" s="310"/>
      <c r="F54" s="310"/>
      <c r="G54" s="308"/>
      <c r="H54" s="310"/>
      <c r="I54" s="310"/>
      <c r="J54" s="310"/>
    </row>
    <row r="55" spans="1:11" s="197" customFormat="1" ht="27" hidden="1" customHeight="1">
      <c r="A55" s="297"/>
      <c r="B55" s="308"/>
      <c r="C55" s="309"/>
      <c r="D55" s="309"/>
      <c r="E55" s="310"/>
      <c r="F55" s="310"/>
      <c r="G55" s="308"/>
      <c r="H55" s="310"/>
      <c r="I55" s="310"/>
      <c r="J55" s="310"/>
    </row>
    <row r="56" spans="1:11" s="197" customFormat="1" ht="30.75" hidden="1">
      <c r="A56" s="297"/>
      <c r="B56" s="308"/>
      <c r="C56" s="309"/>
      <c r="D56" s="309"/>
      <c r="E56" s="310"/>
      <c r="F56" s="310"/>
      <c r="G56" s="308"/>
      <c r="H56" s="310"/>
      <c r="I56" s="310"/>
      <c r="J56" s="310"/>
    </row>
    <row r="57" spans="1:11" s="197" customFormat="1" ht="30.75" hidden="1">
      <c r="A57" s="297"/>
      <c r="B57" s="308"/>
      <c r="C57" s="309"/>
      <c r="D57" s="309"/>
      <c r="E57" s="310"/>
      <c r="F57" s="310"/>
      <c r="G57" s="308"/>
      <c r="H57" s="310"/>
      <c r="I57" s="310"/>
      <c r="J57" s="310"/>
    </row>
    <row r="58" spans="1:11" s="197" customFormat="1" ht="30.75" hidden="1">
      <c r="A58" s="297"/>
      <c r="B58" s="308"/>
      <c r="C58" s="309"/>
      <c r="D58" s="309"/>
      <c r="E58" s="310"/>
      <c r="F58" s="310"/>
      <c r="G58" s="308"/>
      <c r="H58" s="310"/>
      <c r="I58" s="310"/>
      <c r="J58" s="310"/>
    </row>
    <row r="59" spans="1:11" s="197" customFormat="1" ht="26.25" hidden="1" customHeight="1">
      <c r="A59" s="297"/>
      <c r="B59" s="308"/>
      <c r="C59" s="309"/>
      <c r="D59" s="309"/>
      <c r="E59" s="310"/>
      <c r="F59" s="310"/>
      <c r="G59" s="308"/>
      <c r="H59" s="310"/>
      <c r="I59" s="310"/>
      <c r="J59" s="310"/>
    </row>
    <row r="60" spans="1:11" ht="27.75" hidden="1">
      <c r="A60" s="298"/>
      <c r="B60" s="311"/>
      <c r="C60" s="312"/>
      <c r="D60" s="312"/>
      <c r="E60" s="310"/>
      <c r="F60" s="310"/>
      <c r="G60" s="311"/>
      <c r="H60" s="276"/>
      <c r="I60" s="276"/>
      <c r="J60" s="310"/>
    </row>
    <row r="61" spans="1:11" ht="27.75" hidden="1">
      <c r="A61" s="298"/>
      <c r="B61" s="311"/>
      <c r="C61" s="312"/>
      <c r="D61" s="312"/>
      <c r="E61" s="310"/>
      <c r="F61" s="310"/>
      <c r="G61" s="311"/>
      <c r="H61" s="276"/>
      <c r="I61" s="276"/>
      <c r="J61" s="310"/>
    </row>
    <row r="62" spans="1:11" ht="30.75" hidden="1">
      <c r="A62" s="297"/>
      <c r="B62" s="311"/>
      <c r="C62" s="309"/>
      <c r="D62" s="309"/>
      <c r="E62" s="310"/>
      <c r="F62" s="310"/>
      <c r="G62" s="308"/>
      <c r="H62" s="310"/>
      <c r="I62" s="310"/>
      <c r="J62" s="310"/>
      <c r="K62" s="172"/>
    </row>
    <row r="63" spans="1:11" ht="30.75" hidden="1">
      <c r="A63" s="313" t="s">
        <v>315</v>
      </c>
      <c r="B63" s="304">
        <v>5585073900</v>
      </c>
      <c r="C63" s="305">
        <v>0</v>
      </c>
      <c r="D63" s="305"/>
      <c r="E63" s="314">
        <f>+H63*100/G63</f>
        <v>0</v>
      </c>
      <c r="F63" s="314"/>
      <c r="G63" s="304">
        <v>5585073900</v>
      </c>
      <c r="H63" s="306">
        <f>+H54+H55+H62</f>
        <v>0</v>
      </c>
      <c r="I63" s="306">
        <f>+I54+I55+I62</f>
        <v>0</v>
      </c>
      <c r="J63" s="306"/>
      <c r="K63" s="172"/>
    </row>
    <row r="64" spans="1:11" ht="24" hidden="1">
      <c r="A64" s="315" t="s">
        <v>312</v>
      </c>
      <c r="B64" s="315"/>
      <c r="C64" s="275"/>
      <c r="D64" s="275"/>
      <c r="E64" s="316"/>
      <c r="F64" s="316"/>
      <c r="G64" s="160"/>
      <c r="H64" s="316"/>
      <c r="I64" s="160"/>
      <c r="J64" s="316"/>
    </row>
    <row r="65" spans="1:10" ht="24" hidden="1" customHeight="1">
      <c r="A65" s="317" t="s">
        <v>274</v>
      </c>
      <c r="B65" s="315"/>
      <c r="C65" s="275"/>
      <c r="D65" s="275"/>
      <c r="E65" s="316"/>
      <c r="F65" s="316"/>
      <c r="G65" s="160"/>
      <c r="H65" s="316"/>
      <c r="I65" s="160"/>
      <c r="J65" s="316"/>
    </row>
    <row r="66" spans="1:10" ht="24" hidden="1">
      <c r="A66" s="317" t="s">
        <v>314</v>
      </c>
      <c r="B66" s="315"/>
      <c r="C66" s="275"/>
      <c r="D66" s="275"/>
      <c r="E66" s="316"/>
      <c r="F66" s="316"/>
      <c r="G66" s="160"/>
      <c r="H66" s="316"/>
      <c r="I66" s="160"/>
      <c r="J66" s="316"/>
    </row>
    <row r="67" spans="1:10" ht="24" hidden="1">
      <c r="A67" s="317" t="s">
        <v>328</v>
      </c>
      <c r="B67" s="160"/>
      <c r="C67" s="275"/>
      <c r="D67" s="275"/>
      <c r="E67" s="316" t="s">
        <v>311</v>
      </c>
      <c r="F67" s="316"/>
      <c r="G67" s="160"/>
      <c r="H67" s="316"/>
      <c r="I67" s="160"/>
      <c r="J67" s="316"/>
    </row>
    <row r="68" spans="1:10" ht="24">
      <c r="A68" s="160"/>
      <c r="B68" s="160"/>
      <c r="C68" s="275"/>
      <c r="D68" s="275"/>
      <c r="E68" s="275"/>
      <c r="F68" s="275"/>
      <c r="G68" s="275"/>
      <c r="H68" s="275"/>
      <c r="I68" s="275"/>
      <c r="J68" s="275"/>
    </row>
    <row r="69" spans="1:10" ht="24">
      <c r="B69" s="160"/>
      <c r="C69" s="275"/>
      <c r="D69" s="275"/>
      <c r="G69" s="33"/>
      <c r="J69" s="33"/>
    </row>
    <row r="70" spans="1:10" ht="24">
      <c r="B70" s="160"/>
      <c r="C70" s="275"/>
      <c r="D70" s="275"/>
      <c r="G70" s="33"/>
      <c r="J70" s="33"/>
    </row>
    <row r="71" spans="1:10" ht="24">
      <c r="B71" s="275"/>
      <c r="C71" s="275">
        <v>150970072.44999999</v>
      </c>
      <c r="D71" s="275"/>
      <c r="G71" s="33"/>
      <c r="J71" s="33"/>
    </row>
    <row r="72" spans="1:10" ht="24">
      <c r="B72" s="160"/>
      <c r="C72" s="275">
        <v>85252050</v>
      </c>
      <c r="D72" s="275"/>
      <c r="G72" s="33"/>
      <c r="J72" s="33"/>
    </row>
    <row r="73" spans="1:10" ht="24">
      <c r="B73" s="445"/>
      <c r="C73" s="275">
        <f>+C71-C72</f>
        <v>65718022.449999988</v>
      </c>
      <c r="D73" s="275"/>
      <c r="G73" s="33"/>
      <c r="J73" s="33"/>
    </row>
    <row r="74" spans="1:10" ht="24">
      <c r="B74" s="160"/>
      <c r="C74" s="275"/>
      <c r="D74" s="275"/>
      <c r="G74" s="33"/>
      <c r="J74" s="33"/>
    </row>
    <row r="75" spans="1:10" ht="24">
      <c r="B75" s="160"/>
      <c r="C75" s="275"/>
      <c r="D75" s="275"/>
      <c r="G75" s="33"/>
    </row>
    <row r="76" spans="1:10" ht="24">
      <c r="B76" s="160"/>
      <c r="C76" s="275"/>
      <c r="D76" s="275"/>
      <c r="G76" s="33"/>
    </row>
    <row r="77" spans="1:10" ht="24">
      <c r="B77" s="160"/>
      <c r="C77" s="275"/>
      <c r="D77" s="275"/>
      <c r="G77" s="33"/>
    </row>
    <row r="78" spans="1:10" ht="24">
      <c r="B78" s="160"/>
      <c r="C78" s="275"/>
      <c r="D78" s="275"/>
      <c r="G78" s="33"/>
    </row>
    <row r="79" spans="1:10" ht="24">
      <c r="B79" s="160"/>
      <c r="C79" s="275"/>
      <c r="D79" s="275"/>
      <c r="G79" s="33"/>
    </row>
    <row r="80" spans="1:10" ht="24">
      <c r="B80" s="160"/>
      <c r="C80" s="275"/>
      <c r="D80" s="275"/>
      <c r="G80" s="33"/>
    </row>
    <row r="81" spans="2:10" ht="24">
      <c r="B81" s="160"/>
      <c r="C81" s="275"/>
      <c r="D81" s="275"/>
      <c r="G81" s="33"/>
    </row>
    <row r="82" spans="2:10" ht="24">
      <c r="B82" s="160"/>
      <c r="C82" s="275"/>
      <c r="D82" s="275"/>
      <c r="E82" s="19"/>
      <c r="F82" s="19"/>
      <c r="G82" s="19"/>
      <c r="I82" s="19"/>
      <c r="J82" s="19"/>
    </row>
    <row r="83" spans="2:10" ht="24">
      <c r="B83" s="160"/>
      <c r="C83" s="275"/>
      <c r="D83" s="275"/>
      <c r="E83" s="19"/>
      <c r="F83" s="19"/>
      <c r="G83" s="19"/>
      <c r="I83" s="19"/>
      <c r="J83" s="19"/>
    </row>
    <row r="84" spans="2:10" ht="24">
      <c r="B84" s="160"/>
      <c r="C84" s="275"/>
      <c r="D84" s="275"/>
      <c r="E84" s="19"/>
      <c r="F84" s="19"/>
      <c r="G84" s="19"/>
      <c r="I84" s="19"/>
      <c r="J84" s="19"/>
    </row>
    <row r="85" spans="2:10" ht="24">
      <c r="B85" s="160"/>
      <c r="C85" s="275"/>
      <c r="D85" s="275"/>
      <c r="G85" s="33"/>
      <c r="H85" s="18"/>
    </row>
    <row r="86" spans="2:10" ht="24">
      <c r="B86" s="160"/>
      <c r="C86" s="275"/>
      <c r="D86" s="275"/>
      <c r="G86" s="33"/>
      <c r="H86" s="18"/>
    </row>
    <row r="87" spans="2:10" ht="24">
      <c r="B87" s="160"/>
      <c r="C87" s="275"/>
      <c r="D87" s="275"/>
      <c r="G87" s="33"/>
      <c r="H87" s="18"/>
    </row>
    <row r="88" spans="2:10" ht="24">
      <c r="B88" s="160"/>
      <c r="C88" s="275"/>
      <c r="D88" s="275"/>
      <c r="G88" s="33"/>
      <c r="H88" s="18"/>
    </row>
    <row r="89" spans="2:10" ht="24">
      <c r="B89" s="160"/>
      <c r="C89" s="275"/>
      <c r="D89" s="275"/>
      <c r="G89" s="33"/>
      <c r="H89" s="18"/>
    </row>
    <row r="90" spans="2:10" ht="24">
      <c r="B90" s="160"/>
      <c r="C90" s="275"/>
      <c r="D90" s="275"/>
      <c r="G90" s="33"/>
      <c r="H90" s="18"/>
    </row>
    <row r="91" spans="2:10" ht="24">
      <c r="B91" s="160"/>
      <c r="C91" s="275"/>
      <c r="D91" s="275"/>
      <c r="G91" s="33"/>
      <c r="H91" s="18"/>
    </row>
    <row r="92" spans="2:10" ht="24">
      <c r="B92" s="160"/>
      <c r="C92" s="275"/>
      <c r="D92" s="275"/>
      <c r="G92" s="33"/>
      <c r="H92" s="18"/>
    </row>
    <row r="93" spans="2:10" ht="24">
      <c r="B93" s="160"/>
      <c r="C93" s="275"/>
      <c r="D93" s="275"/>
      <c r="G93" s="33"/>
      <c r="H93" s="18"/>
    </row>
    <row r="94" spans="2:10" ht="24">
      <c r="B94" s="160"/>
      <c r="C94" s="275"/>
      <c r="D94" s="275"/>
      <c r="G94" s="33"/>
      <c r="H94" s="18"/>
    </row>
    <row r="95" spans="2:10" ht="24">
      <c r="B95" s="160"/>
      <c r="C95" s="275"/>
      <c r="D95" s="275"/>
      <c r="G95" s="33"/>
      <c r="H95" s="18"/>
    </row>
    <row r="96" spans="2:10" ht="24">
      <c r="B96" s="160"/>
      <c r="C96" s="275"/>
      <c r="D96" s="275"/>
      <c r="G96" s="33"/>
      <c r="H96" s="18"/>
    </row>
    <row r="97" spans="2:8" ht="24">
      <c r="B97" s="160"/>
      <c r="C97" s="275"/>
      <c r="D97" s="275"/>
      <c r="G97" s="33"/>
      <c r="H97" s="18"/>
    </row>
    <row r="98" spans="2:8" ht="24">
      <c r="B98" s="160"/>
      <c r="C98" s="275"/>
      <c r="D98" s="275"/>
      <c r="G98" s="33"/>
      <c r="H98" s="18"/>
    </row>
    <row r="99" spans="2:8" ht="24">
      <c r="B99" s="160"/>
      <c r="C99" s="275"/>
      <c r="D99" s="275"/>
      <c r="G99" s="33"/>
      <c r="H99" s="18"/>
    </row>
    <row r="100" spans="2:8" ht="24">
      <c r="B100" s="160"/>
      <c r="C100" s="275"/>
      <c r="D100" s="275"/>
    </row>
    <row r="101" spans="2:8" ht="24">
      <c r="B101" s="160"/>
      <c r="C101" s="275"/>
      <c r="D101" s="275"/>
    </row>
    <row r="102" spans="2:8" ht="24">
      <c r="B102" s="160"/>
      <c r="C102" s="275"/>
      <c r="D102" s="275"/>
    </row>
    <row r="103" spans="2:8" ht="24">
      <c r="B103" s="160"/>
      <c r="C103" s="275"/>
      <c r="D103" s="275"/>
    </row>
    <row r="104" spans="2:8" ht="24">
      <c r="B104" s="160"/>
      <c r="C104" s="275"/>
      <c r="D104" s="275"/>
    </row>
    <row r="105" spans="2:8" ht="24">
      <c r="B105" s="160"/>
      <c r="C105" s="275"/>
      <c r="D105" s="275"/>
    </row>
    <row r="106" spans="2:8" ht="24">
      <c r="B106" s="160"/>
      <c r="C106" s="275"/>
      <c r="D106" s="275"/>
    </row>
    <row r="107" spans="2:8" ht="24">
      <c r="B107" s="160"/>
      <c r="C107" s="275"/>
      <c r="D107" s="275"/>
    </row>
    <row r="108" spans="2:8" ht="24">
      <c r="B108" s="160"/>
      <c r="C108" s="275"/>
      <c r="D108" s="275"/>
    </row>
    <row r="109" spans="2:8" ht="24">
      <c r="B109" s="160"/>
      <c r="C109" s="275"/>
      <c r="D109" s="275"/>
    </row>
    <row r="110" spans="2:8" ht="24">
      <c r="B110" s="160"/>
      <c r="C110" s="275"/>
      <c r="D110" s="275"/>
    </row>
    <row r="111" spans="2:8" ht="24">
      <c r="B111" s="160"/>
      <c r="C111" s="275"/>
      <c r="D111" s="275"/>
    </row>
    <row r="112" spans="2:8" ht="24">
      <c r="B112" s="160"/>
      <c r="C112" s="275"/>
      <c r="D112" s="275"/>
    </row>
    <row r="113" spans="2:4" ht="24">
      <c r="B113" s="160"/>
      <c r="C113" s="275"/>
      <c r="D113" s="275"/>
    </row>
    <row r="114" spans="2:4" ht="24">
      <c r="B114" s="160"/>
      <c r="C114" s="275"/>
      <c r="D114" s="275"/>
    </row>
    <row r="115" spans="2:4" ht="24">
      <c r="B115" s="160"/>
      <c r="C115" s="275"/>
      <c r="D115" s="275"/>
    </row>
    <row r="116" spans="2:4" ht="24">
      <c r="B116" s="160"/>
      <c r="C116" s="275"/>
      <c r="D116" s="275"/>
    </row>
    <row r="117" spans="2:4" ht="24">
      <c r="B117" s="160"/>
      <c r="C117" s="275"/>
      <c r="D117" s="275"/>
    </row>
    <row r="118" spans="2:4" ht="24">
      <c r="B118" s="160"/>
      <c r="C118" s="275"/>
      <c r="D118" s="275"/>
    </row>
    <row r="119" spans="2:4" ht="24">
      <c r="B119" s="160"/>
      <c r="C119" s="275"/>
      <c r="D119" s="275"/>
    </row>
    <row r="120" spans="2:4" ht="24">
      <c r="B120" s="160"/>
      <c r="C120" s="275"/>
      <c r="D120" s="275"/>
    </row>
    <row r="121" spans="2:4" ht="24">
      <c r="B121" s="160"/>
      <c r="C121" s="275"/>
      <c r="D121" s="275"/>
    </row>
    <row r="129" s="19" customFormat="1"/>
  </sheetData>
  <mergeCells count="10">
    <mergeCell ref="A2:J2"/>
    <mergeCell ref="A3:J3"/>
    <mergeCell ref="A4:J4"/>
    <mergeCell ref="A5:A6"/>
    <mergeCell ref="B5:B6"/>
    <mergeCell ref="C5:C6"/>
    <mergeCell ref="G5:G6"/>
    <mergeCell ref="I5:I6"/>
    <mergeCell ref="J5:J6"/>
    <mergeCell ref="D5:F5"/>
  </mergeCells>
  <printOptions horizontalCentered="1"/>
  <pageMargins left="0.28000000000000003" right="0.2" top="0.75" bottom="0.75" header="0.3" footer="0.3"/>
  <pageSetup scale="55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O84"/>
  <sheetViews>
    <sheetView topLeftCell="A4" zoomScale="80" zoomScaleNormal="80" workbookViewId="0">
      <selection activeCell="H16" sqref="H16"/>
    </sheetView>
  </sheetViews>
  <sheetFormatPr defaultRowHeight="21.75"/>
  <cols>
    <col min="1" max="1" width="5" style="340" customWidth="1"/>
    <col min="2" max="2" width="26.7109375" style="19" customWidth="1"/>
    <col min="3" max="3" width="15.85546875" style="19" customWidth="1"/>
    <col min="4" max="4" width="15.28515625" style="18" customWidth="1"/>
    <col min="5" max="5" width="15.28515625" style="18" bestFit="1" customWidth="1"/>
    <col min="6" max="6" width="14" style="18" bestFit="1" customWidth="1"/>
    <col min="7" max="7" width="13.42578125" style="377" bestFit="1" customWidth="1"/>
    <col min="8" max="8" width="13.42578125" style="33" bestFit="1" customWidth="1"/>
    <col min="9" max="9" width="12.7109375" style="18" bestFit="1" customWidth="1"/>
    <col min="10" max="10" width="13.85546875" style="18" bestFit="1" customWidth="1"/>
    <col min="11" max="11" width="13.42578125" style="18" bestFit="1" customWidth="1"/>
    <col min="12" max="12" width="13.140625" style="399" customWidth="1"/>
    <col min="13" max="13" width="15.28515625" style="33" bestFit="1" customWidth="1"/>
    <col min="14" max="14" width="14.140625" style="18" customWidth="1"/>
    <col min="15" max="15" width="25.42578125" style="19" bestFit="1" customWidth="1"/>
    <col min="16" max="16384" width="9.140625" style="19"/>
  </cols>
  <sheetData>
    <row r="1" spans="1:15" ht="27.75">
      <c r="N1" s="274" t="s">
        <v>379</v>
      </c>
    </row>
    <row r="2" spans="1:15" s="341" customFormat="1" ht="39.75">
      <c r="A2" s="2384" t="s">
        <v>380</v>
      </c>
      <c r="B2" s="2384"/>
      <c r="C2" s="2384"/>
      <c r="D2" s="2384"/>
      <c r="E2" s="2384"/>
      <c r="F2" s="2384"/>
      <c r="G2" s="2384"/>
      <c r="H2" s="2384"/>
      <c r="I2" s="2384"/>
      <c r="J2" s="2384"/>
      <c r="K2" s="2384"/>
      <c r="L2" s="2384"/>
      <c r="M2" s="2384"/>
      <c r="N2" s="2384"/>
    </row>
    <row r="3" spans="1:15" s="342" customFormat="1" ht="39.75" hidden="1">
      <c r="A3" s="2385" t="s">
        <v>313</v>
      </c>
      <c r="B3" s="2385"/>
      <c r="C3" s="2385"/>
      <c r="D3" s="2385"/>
      <c r="E3" s="2385"/>
      <c r="F3" s="2385"/>
      <c r="G3" s="2385"/>
      <c r="H3" s="2385"/>
      <c r="I3" s="2385"/>
      <c r="J3" s="2385"/>
      <c r="K3" s="2385"/>
      <c r="L3" s="2385"/>
      <c r="M3" s="2385"/>
      <c r="N3" s="2385"/>
    </row>
    <row r="4" spans="1:15" s="342" customFormat="1" ht="40.5" thickBot="1">
      <c r="A4" s="2385" t="s">
        <v>391</v>
      </c>
      <c r="B4" s="2385"/>
      <c r="C4" s="2385"/>
      <c r="D4" s="2385"/>
      <c r="E4" s="2385"/>
      <c r="F4" s="2385"/>
      <c r="G4" s="2385"/>
      <c r="H4" s="2385"/>
      <c r="I4" s="2385"/>
      <c r="J4" s="2385"/>
      <c r="K4" s="2385"/>
      <c r="L4" s="2385"/>
      <c r="M4" s="2385"/>
      <c r="N4" s="2385"/>
    </row>
    <row r="5" spans="1:15" s="344" customFormat="1" ht="37.5" customHeight="1">
      <c r="A5" s="2380" t="s">
        <v>376</v>
      </c>
      <c r="B5" s="2414" t="s">
        <v>381</v>
      </c>
      <c r="C5" s="2416" t="s">
        <v>382</v>
      </c>
      <c r="D5" s="2417"/>
      <c r="E5" s="2418"/>
      <c r="F5" s="2419" t="s">
        <v>22</v>
      </c>
      <c r="G5" s="2420"/>
      <c r="H5" s="2421"/>
      <c r="I5" s="343" t="s">
        <v>11</v>
      </c>
      <c r="J5" s="2422" t="s">
        <v>35</v>
      </c>
      <c r="K5" s="2423"/>
      <c r="L5" s="2424"/>
      <c r="M5" s="2425" t="s">
        <v>4</v>
      </c>
      <c r="N5" s="2425" t="s">
        <v>348</v>
      </c>
    </row>
    <row r="6" spans="1:15" s="344" customFormat="1" ht="31.5" customHeight="1" thickBot="1">
      <c r="A6" s="2381"/>
      <c r="B6" s="2415"/>
      <c r="C6" s="376" t="s">
        <v>383</v>
      </c>
      <c r="D6" s="345" t="s">
        <v>7</v>
      </c>
      <c r="E6" s="346" t="s">
        <v>2</v>
      </c>
      <c r="F6" s="376" t="s">
        <v>383</v>
      </c>
      <c r="G6" s="378" t="s">
        <v>7</v>
      </c>
      <c r="H6" s="346" t="s">
        <v>2</v>
      </c>
      <c r="I6" s="347" t="s">
        <v>12</v>
      </c>
      <c r="J6" s="376" t="s">
        <v>383</v>
      </c>
      <c r="K6" s="345" t="s">
        <v>7</v>
      </c>
      <c r="L6" s="400" t="s">
        <v>2</v>
      </c>
      <c r="M6" s="2426"/>
      <c r="N6" s="2426"/>
    </row>
    <row r="7" spans="1:15" s="350" customFormat="1" ht="33" customHeight="1" thickBot="1">
      <c r="A7" s="2412" t="s">
        <v>23</v>
      </c>
      <c r="B7" s="2413"/>
      <c r="C7" s="387">
        <f t="shared" ref="C7:H7" si="0">SUM(C8:C15)</f>
        <v>294.06464</v>
      </c>
      <c r="D7" s="388">
        <f t="shared" si="0"/>
        <v>120.00336</v>
      </c>
      <c r="E7" s="388">
        <f t="shared" si="0"/>
        <v>414.06800000000004</v>
      </c>
      <c r="F7" s="388">
        <f t="shared" si="0"/>
        <v>0.32005</v>
      </c>
      <c r="G7" s="389">
        <f t="shared" si="0"/>
        <v>0</v>
      </c>
      <c r="H7" s="388">
        <f t="shared" si="0"/>
        <v>0.161605</v>
      </c>
      <c r="I7" s="348">
        <f>+H7*100/E7</f>
        <v>3.902861365766009E-2</v>
      </c>
      <c r="J7" s="388">
        <f>SUM(J8:J15)</f>
        <v>19.270049999999998</v>
      </c>
      <c r="K7" s="388">
        <f>SUM(K8:K15)</f>
        <v>65.981999999999999</v>
      </c>
      <c r="L7" s="388">
        <f>SUM(L8:L15)</f>
        <v>85.252050000000011</v>
      </c>
      <c r="M7" s="397">
        <f>SUM(M8:M15)</f>
        <v>328.65434500000003</v>
      </c>
      <c r="N7" s="349"/>
    </row>
    <row r="8" spans="1:15" s="350" customFormat="1" ht="36">
      <c r="A8" s="351">
        <v>1</v>
      </c>
      <c r="B8" s="352" t="s">
        <v>339</v>
      </c>
      <c r="C8" s="390"/>
      <c r="D8" s="391">
        <f>+สรุปเงินกันงบเพิ่มเติม60!E8/1000000</f>
        <v>91.781999999999996</v>
      </c>
      <c r="E8" s="391">
        <f>+สรุปเงินกันงบเพิ่มเติม60!F8/1000000</f>
        <v>91.781999999999996</v>
      </c>
      <c r="F8" s="391">
        <f>+สรุปเงินกันงบเพิ่มเติม60!L8/1000000</f>
        <v>0</v>
      </c>
      <c r="G8" s="392">
        <f>+สรุปเงินกันงบเพิ่มเติม60!M8</f>
        <v>0</v>
      </c>
      <c r="H8" s="393">
        <f>+สรุปเงินกันงบเพิ่มเติม60!N8/1000000</f>
        <v>0</v>
      </c>
      <c r="I8" s="354">
        <f>+H8*100/E8</f>
        <v>0</v>
      </c>
      <c r="J8" s="395">
        <f>+สรุปเงินกันงบเพิ่มเติม60!H8/1000000</f>
        <v>0</v>
      </c>
      <c r="K8" s="395">
        <f>+สรุปเงินกันงบเพิ่มเติม60!I8/1000000</f>
        <v>65</v>
      </c>
      <c r="L8" s="395">
        <f>+สรุปเงินกันงบเพิ่มเติม60!J8/1000000</f>
        <v>65</v>
      </c>
      <c r="M8" s="398">
        <f>+E8-H8-L8</f>
        <v>26.781999999999996</v>
      </c>
      <c r="N8" s="354"/>
      <c r="O8" s="355">
        <v>108000000</v>
      </c>
    </row>
    <row r="9" spans="1:15" s="350" customFormat="1" ht="36">
      <c r="A9" s="351">
        <v>2</v>
      </c>
      <c r="B9" s="352" t="s">
        <v>342</v>
      </c>
      <c r="C9" s="390">
        <f>+สรุปเงินกันงบเพิ่มเติม60!D9/1000000</f>
        <v>84.940200000000004</v>
      </c>
      <c r="D9" s="391">
        <f>+สรุปเงินกันงบเพิ่มเติม60!E9/1000000</f>
        <v>0</v>
      </c>
      <c r="E9" s="391">
        <f>+สรุปเงินกันงบเพิ่มเติม60!F9/1000000</f>
        <v>84.940200000000004</v>
      </c>
      <c r="F9" s="391">
        <f>+สรุปเงินกันงบเพิ่มเติม60!L9/1000000</f>
        <v>0.14399999999999999</v>
      </c>
      <c r="G9" s="392">
        <f>+สรุปเงินกันงบเพิ่มเติม60!M9</f>
        <v>0</v>
      </c>
      <c r="H9" s="393">
        <f>+สรุปเงินกันงบเพิ่มเติม60!N9/1000000</f>
        <v>0.14399999999999999</v>
      </c>
      <c r="I9" s="354">
        <f t="shared" ref="I9:I15" si="1">+H9*100/E9</f>
        <v>0.16953103477505349</v>
      </c>
      <c r="J9" s="395">
        <f>+สรุปเงินกันงบเพิ่มเติม60!H9/1000000</f>
        <v>0.14399999999999999</v>
      </c>
      <c r="K9" s="395">
        <f>+สรุปเงินกันงบเพิ่มเติม60!I9/1000000</f>
        <v>0</v>
      </c>
      <c r="L9" s="395">
        <f>+สรุปเงินกันงบเพิ่มเติม60!J9/1000000</f>
        <v>0.14399999999999999</v>
      </c>
      <c r="M9" s="398">
        <f t="shared" ref="M9:M15" si="2">+E9-H9-L9</f>
        <v>84.652199999999993</v>
      </c>
      <c r="N9" s="354"/>
      <c r="O9" s="356"/>
    </row>
    <row r="10" spans="1:15" s="350" customFormat="1" ht="36">
      <c r="A10" s="351">
        <v>3</v>
      </c>
      <c r="B10" s="357" t="s">
        <v>343</v>
      </c>
      <c r="C10" s="390">
        <f>+สรุปเงินกันงบเพิ่มเติม60!D10/1000000</f>
        <v>5</v>
      </c>
      <c r="D10" s="391">
        <f>+สรุปเงินกันงบเพิ่มเติม60!E10/1000000</f>
        <v>4.3023999999999996</v>
      </c>
      <c r="E10" s="391">
        <f>+สรุปเงินกันงบเพิ่มเติม60!F10/1000000</f>
        <v>9.3024000000000004</v>
      </c>
      <c r="F10" s="391">
        <f>+สรุปเงินกันงบเพิ่มเติม60!L10/1000000</f>
        <v>0</v>
      </c>
      <c r="G10" s="392">
        <f>+สรุปเงินกันงบเพิ่มเติม60!M10</f>
        <v>0</v>
      </c>
      <c r="H10" s="393">
        <f>+สรุปเงินกันงบเพิ่มเติม60!N10/1000000</f>
        <v>0</v>
      </c>
      <c r="I10" s="354">
        <f t="shared" si="1"/>
        <v>0</v>
      </c>
      <c r="J10" s="395">
        <f>+สรุปเงินกันงบเพิ่มเติม60!H10/1000000</f>
        <v>0</v>
      </c>
      <c r="K10" s="395">
        <f>+สรุปเงินกันงบเพิ่มเติม60!I10/1000000</f>
        <v>0</v>
      </c>
      <c r="L10" s="395">
        <f>+สรุปเงินกันงบเพิ่มเติม60!J10/1000000</f>
        <v>0</v>
      </c>
      <c r="M10" s="398">
        <f t="shared" si="2"/>
        <v>9.3024000000000004</v>
      </c>
      <c r="N10" s="354"/>
      <c r="O10" s="356"/>
    </row>
    <row r="11" spans="1:15" s="350" customFormat="1" ht="36">
      <c r="A11" s="351">
        <v>4</v>
      </c>
      <c r="B11" s="357" t="s">
        <v>344</v>
      </c>
      <c r="C11" s="390">
        <f>+สรุปเงินกันงบเพิ่มเติม60!D11/1000000</f>
        <v>20</v>
      </c>
      <c r="D11" s="391">
        <f>+สรุปเงินกันงบเพิ่มเติม60!E11/1000000</f>
        <v>0</v>
      </c>
      <c r="E11" s="391">
        <f>+สรุปเงินกันงบเพิ่มเติม60!F11/1000000</f>
        <v>20</v>
      </c>
      <c r="F11" s="391">
        <f>+สรุปเงินกันงบเพิ่มเติม60!L11/1000000</f>
        <v>0</v>
      </c>
      <c r="G11" s="392">
        <f>+สรุปเงินกันงบเพิ่มเติม60!M11</f>
        <v>0</v>
      </c>
      <c r="H11" s="393">
        <f>+สรุปเงินกันงบเพิ่มเติม60!N11/1000000</f>
        <v>0</v>
      </c>
      <c r="I11" s="354">
        <f t="shared" si="1"/>
        <v>0</v>
      </c>
      <c r="J11" s="395">
        <f>+สรุปเงินกันงบเพิ่มเติม60!H11/1000000</f>
        <v>18.95</v>
      </c>
      <c r="K11" s="395">
        <f>+สรุปเงินกันงบเพิ่มเติม60!I11/1000000</f>
        <v>0</v>
      </c>
      <c r="L11" s="395">
        <f>+สรุปเงินกันงบเพิ่มเติม60!J11/1000000</f>
        <v>18.95</v>
      </c>
      <c r="M11" s="398">
        <f t="shared" si="2"/>
        <v>1.0500000000000007</v>
      </c>
      <c r="N11" s="354"/>
      <c r="O11" s="356"/>
    </row>
    <row r="12" spans="1:15" s="350" customFormat="1" ht="36">
      <c r="A12" s="351">
        <v>5</v>
      </c>
      <c r="B12" s="357" t="s">
        <v>347</v>
      </c>
      <c r="C12" s="390">
        <f>+สรุปเงินกันงบเพิ่มเติม60!D12/1000000</f>
        <v>78.664000000000001</v>
      </c>
      <c r="D12" s="391">
        <f>+สรุปเงินกันงบเพิ่มเติม60!E12/1000000</f>
        <v>0</v>
      </c>
      <c r="E12" s="391">
        <f>+สรุปเงินกันงบเพิ่มเติม60!F12/1000000</f>
        <v>78.664000000000001</v>
      </c>
      <c r="F12" s="391">
        <f>+สรุปเงินกันงบเพิ่มเติม60!L12/1000000</f>
        <v>0</v>
      </c>
      <c r="G12" s="392">
        <f>+สรุปเงินกันงบเพิ่มเติม60!M12</f>
        <v>0</v>
      </c>
      <c r="H12" s="393">
        <f>+สรุปเงินกันงบเพิ่มเติม60!N12/1000000</f>
        <v>0</v>
      </c>
      <c r="I12" s="354">
        <f t="shared" si="1"/>
        <v>0</v>
      </c>
      <c r="J12" s="395">
        <f>+สรุปเงินกันงบเพิ่มเติม60!H12/1000000</f>
        <v>0</v>
      </c>
      <c r="K12" s="395">
        <f>+สรุปเงินกันงบเพิ่มเติม60!I12/1000000</f>
        <v>0</v>
      </c>
      <c r="L12" s="395">
        <f>+สรุปเงินกันงบเพิ่มเติม60!J12/1000000</f>
        <v>0</v>
      </c>
      <c r="M12" s="398">
        <f t="shared" si="2"/>
        <v>78.664000000000001</v>
      </c>
      <c r="N12" s="354"/>
      <c r="O12" s="356"/>
    </row>
    <row r="13" spans="1:15" s="212" customFormat="1" ht="31.5" customHeight="1">
      <c r="A13" s="351">
        <v>6</v>
      </c>
      <c r="B13" s="357" t="s">
        <v>357</v>
      </c>
      <c r="C13" s="390">
        <f>+สรุปเงินกันงบเพิ่มเติม60!D13/1000000</f>
        <v>27.524840000000001</v>
      </c>
      <c r="D13" s="391">
        <f>+สรุปเงินกันงบเพิ่มเติม60!E13/1000000</f>
        <v>4.2939600000000002</v>
      </c>
      <c r="E13" s="391">
        <f>+สรุปเงินกันงบเพิ่มเติม60!F13/1000000</f>
        <v>31.8188</v>
      </c>
      <c r="F13" s="391">
        <f>+สรุปเงินกันงบเพิ่มเติม60!L13/1000000</f>
        <v>0.17605000000000001</v>
      </c>
      <c r="G13" s="392">
        <f>+สรุปเงินกันงบเพิ่มเติม60!M13/1000000</f>
        <v>0</v>
      </c>
      <c r="H13" s="393">
        <f>+สรุปเงินกันงบเพิ่มเติม60!N13/10000000</f>
        <v>1.7604999999999999E-2</v>
      </c>
      <c r="I13" s="354">
        <f t="shared" si="1"/>
        <v>5.5328925038027832E-2</v>
      </c>
      <c r="J13" s="395">
        <f>+สรุปเงินกันงบเพิ่มเติม60!H13/1000000</f>
        <v>0.17605000000000001</v>
      </c>
      <c r="K13" s="395">
        <f>+สรุปเงินกันงบเพิ่มเติม60!I13/1000000</f>
        <v>0</v>
      </c>
      <c r="L13" s="395">
        <f>+สรุปเงินกันงบเพิ่มเติม60!J13/1000000</f>
        <v>0.17605000000000001</v>
      </c>
      <c r="M13" s="398">
        <f t="shared" si="2"/>
        <v>31.625145</v>
      </c>
      <c r="N13" s="360"/>
    </row>
    <row r="14" spans="1:15" s="212" customFormat="1" ht="36">
      <c r="A14" s="351">
        <v>7</v>
      </c>
      <c r="B14" s="357" t="s">
        <v>358</v>
      </c>
      <c r="C14" s="390">
        <f>+สรุปเงินกันงบเพิ่มเติม60!D14/1000000</f>
        <v>41.501199999999997</v>
      </c>
      <c r="D14" s="391">
        <f>+สรุปเงินกันงบเพิ่มเติม60!E14/1000000</f>
        <v>18.335000000000001</v>
      </c>
      <c r="E14" s="391">
        <f>+สรุปเงินกันงบเพิ่มเติม60!F14/1000000</f>
        <v>59.836199999999998</v>
      </c>
      <c r="F14" s="391">
        <f>+สรุปเงินกันงบเพิ่มเติม60!L14/1000000</f>
        <v>0</v>
      </c>
      <c r="G14" s="392">
        <f>+สรุปเงินกันงบเพิ่มเติม60!M14</f>
        <v>0</v>
      </c>
      <c r="H14" s="393">
        <f>+สรุปเงินกันงบเพิ่มเติม60!N14/1000000</f>
        <v>0</v>
      </c>
      <c r="I14" s="354">
        <f t="shared" si="1"/>
        <v>0</v>
      </c>
      <c r="J14" s="395">
        <f>+สรุปเงินกันงบเพิ่มเติม60!H14/1000000</f>
        <v>0</v>
      </c>
      <c r="K14" s="395">
        <f>+สรุปเงินกันงบเพิ่มเติม60!I14/1000000</f>
        <v>0</v>
      </c>
      <c r="L14" s="395">
        <f>+สรุปเงินกันงบเพิ่มเติม60!J14/1000000</f>
        <v>0</v>
      </c>
      <c r="M14" s="398">
        <f t="shared" si="2"/>
        <v>59.836199999999998</v>
      </c>
      <c r="N14" s="360"/>
    </row>
    <row r="15" spans="1:15" s="212" customFormat="1" ht="36">
      <c r="A15" s="351">
        <v>8</v>
      </c>
      <c r="B15" s="361" t="s">
        <v>359</v>
      </c>
      <c r="C15" s="390">
        <f>+สรุปเงินกันงบเพิ่มเติม60!D15/1000000</f>
        <v>36.434399999999997</v>
      </c>
      <c r="D15" s="391">
        <f>+สรุปเงินกันงบเพิ่มเติม60!E15/1000000</f>
        <v>1.29</v>
      </c>
      <c r="E15" s="391">
        <f>+สรุปเงินกันงบเพิ่มเติม60!F15/1000000</f>
        <v>37.724400000000003</v>
      </c>
      <c r="F15" s="391">
        <f>+สรุปเงินกันงบเพิ่มเติม60!L15/1000000</f>
        <v>0</v>
      </c>
      <c r="G15" s="392">
        <f>+สรุปเงินกันงบเพิ่มเติม60!M15/1000000</f>
        <v>0</v>
      </c>
      <c r="H15" s="393">
        <f>+สรุปเงินกันงบเพิ่มเติม60!N15/1000000</f>
        <v>0</v>
      </c>
      <c r="I15" s="354">
        <f t="shared" si="1"/>
        <v>0</v>
      </c>
      <c r="J15" s="395">
        <f>+สรุปเงินกันงบเพิ่มเติม60!H15/1000000</f>
        <v>0</v>
      </c>
      <c r="K15" s="395">
        <f>+สรุปเงินกันงบเพิ่มเติม60!I15/1000000</f>
        <v>0.98199999999999998</v>
      </c>
      <c r="L15" s="395">
        <f>+สรุปเงินกันงบเพิ่มเติม60!J15/1000000</f>
        <v>0.98199999999999998</v>
      </c>
      <c r="M15" s="398">
        <f t="shared" si="2"/>
        <v>36.742400000000004</v>
      </c>
      <c r="N15" s="360"/>
    </row>
    <row r="16" spans="1:15" s="212" customFormat="1" ht="36">
      <c r="A16" s="362"/>
      <c r="B16" s="363"/>
      <c r="C16" s="363"/>
      <c r="D16" s="364"/>
      <c r="E16" s="365"/>
      <c r="F16" s="364"/>
      <c r="G16" s="379"/>
      <c r="H16" s="394">
        <f>+F16+G16</f>
        <v>0</v>
      </c>
      <c r="I16" s="366"/>
      <c r="J16" s="396"/>
      <c r="K16" s="396"/>
      <c r="L16" s="396"/>
      <c r="M16" s="396"/>
      <c r="N16" s="366"/>
    </row>
    <row r="17" spans="1:14" ht="30.75" hidden="1">
      <c r="A17" s="367" t="s">
        <v>13</v>
      </c>
      <c r="B17" s="239" t="s">
        <v>358</v>
      </c>
      <c r="C17" s="239"/>
      <c r="D17" s="240"/>
      <c r="E17" s="240"/>
      <c r="F17" s="240"/>
      <c r="G17" s="380"/>
      <c r="H17" s="240"/>
      <c r="I17" s="241"/>
      <c r="J17" s="241"/>
      <c r="K17" s="241"/>
      <c r="L17" s="401"/>
      <c r="M17" s="241"/>
      <c r="N17" s="241"/>
    </row>
    <row r="18" spans="1:14" ht="30.75" hidden="1">
      <c r="A18" s="368" t="s">
        <v>24</v>
      </c>
      <c r="B18" s="243" t="s">
        <v>359</v>
      </c>
      <c r="C18" s="243"/>
      <c r="D18" s="244"/>
      <c r="E18" s="240"/>
      <c r="F18" s="240"/>
      <c r="G18" s="380"/>
      <c r="H18" s="240"/>
      <c r="I18" s="241"/>
      <c r="J18" s="241"/>
      <c r="K18" s="241"/>
      <c r="L18" s="401"/>
      <c r="M18" s="241"/>
      <c r="N18" s="241"/>
    </row>
    <row r="19" spans="1:14" ht="30.75" hidden="1">
      <c r="A19" s="368" t="s">
        <v>7</v>
      </c>
      <c r="B19" s="243"/>
      <c r="C19" s="243"/>
      <c r="D19" s="244"/>
      <c r="E19" s="240"/>
      <c r="F19" s="240"/>
      <c r="G19" s="380"/>
      <c r="H19" s="240"/>
      <c r="I19" s="241"/>
      <c r="J19" s="241"/>
      <c r="K19" s="241"/>
      <c r="L19" s="401"/>
      <c r="M19" s="241"/>
      <c r="N19" s="241"/>
    </row>
    <row r="20" spans="1:14" ht="30.75" hidden="1">
      <c r="A20" s="368" t="s">
        <v>15</v>
      </c>
      <c r="B20" s="243"/>
      <c r="C20" s="243"/>
      <c r="D20" s="244"/>
      <c r="E20" s="240"/>
      <c r="F20" s="240"/>
      <c r="G20" s="380"/>
      <c r="H20" s="240"/>
      <c r="I20" s="241"/>
      <c r="J20" s="241"/>
      <c r="K20" s="241"/>
      <c r="L20" s="401"/>
      <c r="M20" s="241"/>
      <c r="N20" s="241"/>
    </row>
    <row r="21" spans="1:14" ht="30.75" hidden="1">
      <c r="A21" s="368" t="s">
        <v>16</v>
      </c>
      <c r="B21" s="243"/>
      <c r="C21" s="243"/>
      <c r="D21" s="244"/>
      <c r="E21" s="240"/>
      <c r="F21" s="240"/>
      <c r="G21" s="380"/>
      <c r="H21" s="240"/>
      <c r="I21" s="241"/>
      <c r="J21" s="241"/>
      <c r="K21" s="241"/>
      <c r="L21" s="401"/>
      <c r="M21" s="241"/>
      <c r="N21" s="241"/>
    </row>
    <row r="22" spans="1:14" ht="30.75" hidden="1">
      <c r="A22" s="369" t="s">
        <v>5</v>
      </c>
      <c r="B22" s="243"/>
      <c r="C22" s="243"/>
      <c r="D22" s="244"/>
      <c r="E22" s="240"/>
      <c r="F22" s="240"/>
      <c r="G22" s="380"/>
      <c r="H22" s="240"/>
      <c r="I22" s="241"/>
      <c r="J22" s="241"/>
      <c r="K22" s="241"/>
      <c r="L22" s="401"/>
      <c r="M22" s="241"/>
      <c r="N22" s="241"/>
    </row>
    <row r="23" spans="1:14" s="9" customFormat="1" ht="30.75" hidden="1">
      <c r="A23" s="369"/>
      <c r="B23" s="246"/>
      <c r="C23" s="246"/>
      <c r="D23" s="247"/>
      <c r="E23" s="247"/>
      <c r="F23" s="247"/>
      <c r="G23" s="381"/>
      <c r="H23" s="247"/>
      <c r="I23" s="248"/>
      <c r="J23" s="248"/>
      <c r="K23" s="248"/>
      <c r="L23" s="402"/>
      <c r="M23" s="247"/>
      <c r="N23" s="248"/>
    </row>
    <row r="24" spans="1:14" s="9" customFormat="1" ht="28.5" hidden="1" customHeight="1">
      <c r="A24" s="294"/>
      <c r="B24" s="234"/>
      <c r="C24" s="234"/>
      <c r="D24" s="234"/>
      <c r="E24" s="234"/>
      <c r="F24" s="234"/>
      <c r="G24" s="382"/>
      <c r="H24" s="236"/>
      <c r="I24" s="237"/>
      <c r="J24" s="237"/>
      <c r="K24" s="237"/>
      <c r="L24" s="403"/>
      <c r="M24" s="236">
        <f>+D24-H24-L24</f>
        <v>0</v>
      </c>
      <c r="N24" s="237"/>
    </row>
    <row r="25" spans="1:14" ht="27.75" hidden="1">
      <c r="D25" s="339">
        <v>414068000</v>
      </c>
      <c r="E25" s="339"/>
      <c r="F25" s="339"/>
      <c r="G25" s="383"/>
      <c r="I25" s="33"/>
      <c r="J25" s="33"/>
      <c r="K25" s="33"/>
      <c r="N25" s="33"/>
    </row>
    <row r="26" spans="1:14" ht="27.75" hidden="1">
      <c r="D26" s="339">
        <f>+D25-D7</f>
        <v>414067879.99664003</v>
      </c>
      <c r="E26" s="339"/>
      <c r="F26" s="339"/>
      <c r="G26" s="383"/>
      <c r="I26" s="33"/>
      <c r="J26" s="33"/>
      <c r="K26" s="33"/>
      <c r="N26" s="33"/>
    </row>
    <row r="27" spans="1:14" ht="27.75" hidden="1">
      <c r="D27" s="225">
        <v>5888000</v>
      </c>
      <c r="E27" s="225"/>
      <c r="F27" s="225"/>
      <c r="G27" s="384"/>
      <c r="I27" s="33"/>
      <c r="J27" s="33"/>
      <c r="K27" s="33"/>
      <c r="N27" s="33"/>
    </row>
    <row r="28" spans="1:14" ht="27.75" hidden="1">
      <c r="D28" s="225">
        <v>190437000</v>
      </c>
      <c r="E28" s="225"/>
      <c r="F28" s="225"/>
      <c r="G28" s="384"/>
      <c r="I28" s="33"/>
      <c r="J28" s="33"/>
      <c r="K28" s="33"/>
      <c r="N28" s="33"/>
    </row>
    <row r="29" spans="1:14" ht="27.75" hidden="1">
      <c r="D29" s="225">
        <v>17606400</v>
      </c>
      <c r="E29" s="225"/>
      <c r="F29" s="225"/>
      <c r="G29" s="384"/>
      <c r="I29" s="33"/>
      <c r="J29" s="33"/>
      <c r="K29" s="33"/>
      <c r="N29" s="33"/>
    </row>
    <row r="30" spans="1:14" ht="27.75" hidden="1">
      <c r="D30" s="225">
        <f>SUM(D25:D29)</f>
        <v>1042067279.99664</v>
      </c>
      <c r="E30" s="225"/>
      <c r="F30" s="225"/>
      <c r="G30" s="384"/>
      <c r="I30" s="33"/>
      <c r="J30" s="33"/>
      <c r="K30" s="33"/>
    </row>
    <row r="31" spans="1:14" hidden="1">
      <c r="D31" s="226">
        <f>+D7-D30</f>
        <v>-1042067159.9932799</v>
      </c>
      <c r="E31" s="226"/>
      <c r="F31" s="226"/>
      <c r="G31" s="385"/>
      <c r="I31" s="33"/>
      <c r="J31" s="33"/>
      <c r="K31" s="33"/>
    </row>
    <row r="32" spans="1:14" hidden="1">
      <c r="I32" s="33"/>
      <c r="J32" s="33"/>
      <c r="K32" s="33"/>
    </row>
    <row r="33" spans="1:14">
      <c r="I33" s="33"/>
      <c r="J33" s="33"/>
      <c r="K33" s="33"/>
    </row>
    <row r="34" spans="1:14" hidden="1">
      <c r="I34" s="33"/>
      <c r="J34" s="33"/>
      <c r="K34" s="33"/>
    </row>
    <row r="35" spans="1:14" hidden="1">
      <c r="I35" s="33"/>
      <c r="J35" s="33"/>
      <c r="K35" s="33"/>
    </row>
    <row r="36" spans="1:14" s="326" customFormat="1" ht="33">
      <c r="A36" s="373"/>
      <c r="B36" s="372" t="s">
        <v>389</v>
      </c>
      <c r="C36" s="326" t="s">
        <v>390</v>
      </c>
      <c r="D36" s="374"/>
      <c r="E36" s="374"/>
      <c r="F36" s="374"/>
      <c r="G36" s="386"/>
      <c r="H36" s="375"/>
      <c r="I36" s="375"/>
      <c r="J36" s="375"/>
      <c r="K36" s="375"/>
      <c r="L36" s="404"/>
      <c r="M36" s="375"/>
      <c r="N36" s="374"/>
    </row>
    <row r="37" spans="1:14">
      <c r="D37" s="19"/>
      <c r="E37" s="19"/>
      <c r="F37" s="19"/>
      <c r="G37" s="19"/>
      <c r="H37" s="19"/>
      <c r="I37" s="33"/>
      <c r="J37" s="33"/>
      <c r="K37" s="33"/>
      <c r="L37" s="405"/>
      <c r="M37" s="19"/>
      <c r="N37" s="19"/>
    </row>
    <row r="38" spans="1:14">
      <c r="D38" s="19"/>
      <c r="E38" s="19"/>
      <c r="F38" s="19"/>
      <c r="G38" s="19"/>
      <c r="H38" s="19"/>
      <c r="I38" s="33"/>
      <c r="J38" s="33"/>
      <c r="K38" s="33"/>
      <c r="L38" s="405"/>
      <c r="M38" s="19"/>
      <c r="N38" s="19"/>
    </row>
    <row r="39" spans="1:14">
      <c r="D39" s="19"/>
      <c r="E39" s="19"/>
      <c r="F39" s="19"/>
      <c r="G39" s="19"/>
      <c r="H39" s="19"/>
      <c r="I39" s="33"/>
      <c r="J39" s="33"/>
      <c r="K39" s="33"/>
      <c r="L39" s="405"/>
      <c r="M39" s="19"/>
      <c r="N39" s="19"/>
    </row>
    <row r="84" spans="4:14">
      <c r="D84" s="19"/>
      <c r="E84" s="19"/>
      <c r="F84" s="19"/>
      <c r="G84" s="19"/>
      <c r="H84" s="19"/>
      <c r="I84" s="19"/>
      <c r="J84" s="19"/>
      <c r="K84" s="19"/>
      <c r="L84" s="405"/>
      <c r="M84" s="19"/>
      <c r="N84" s="19"/>
    </row>
  </sheetData>
  <mergeCells count="11">
    <mergeCell ref="A7:B7"/>
    <mergeCell ref="A5:A6"/>
    <mergeCell ref="B5:B6"/>
    <mergeCell ref="A2:N2"/>
    <mergeCell ref="A3:N3"/>
    <mergeCell ref="A4:N4"/>
    <mergeCell ref="C5:E5"/>
    <mergeCell ref="F5:H5"/>
    <mergeCell ref="J5:L5"/>
    <mergeCell ref="M5:M6"/>
    <mergeCell ref="N5:N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B1:M47"/>
  <sheetViews>
    <sheetView workbookViewId="0">
      <selection activeCell="H44" sqref="H44"/>
    </sheetView>
  </sheetViews>
  <sheetFormatPr defaultRowHeight="12.75"/>
  <cols>
    <col min="1" max="1" width="1.85546875" customWidth="1"/>
    <col min="2" max="2" width="3.42578125" customWidth="1"/>
    <col min="3" max="4" width="16.5703125" style="466" bestFit="1" customWidth="1"/>
    <col min="5" max="5" width="16.5703125" style="466" customWidth="1"/>
    <col min="6" max="6" width="18.7109375" style="466" customWidth="1"/>
    <col min="7" max="7" width="14.85546875" style="466" customWidth="1"/>
    <col min="8" max="8" width="15" style="466" bestFit="1" customWidth="1"/>
    <col min="9" max="12" width="16.5703125" bestFit="1" customWidth="1"/>
    <col min="13" max="13" width="10.85546875" bestFit="1" customWidth="1"/>
  </cols>
  <sheetData>
    <row r="1" spans="3:13">
      <c r="F1" s="466">
        <f>+F2-F4</f>
        <v>3.0000001192092896E-2</v>
      </c>
    </row>
    <row r="2" spans="3:13">
      <c r="F2" s="466">
        <v>73710647.670000002</v>
      </c>
      <c r="K2" s="467">
        <f>+I3-I5</f>
        <v>3011055</v>
      </c>
    </row>
    <row r="3" spans="3:13">
      <c r="C3" s="469" t="s">
        <v>411</v>
      </c>
      <c r="D3" s="469" t="s">
        <v>412</v>
      </c>
      <c r="E3" s="469"/>
      <c r="F3" s="469" t="s">
        <v>413</v>
      </c>
      <c r="G3" s="469"/>
      <c r="H3"/>
      <c r="I3" s="466">
        <v>3096879173.75</v>
      </c>
    </row>
    <row r="4" spans="3:13">
      <c r="C4" s="465">
        <f>SUM(C6:C8)</f>
        <v>1079137774.4000001</v>
      </c>
      <c r="D4" s="465">
        <f>SUM(D6:D26)</f>
        <v>1941019696.71</v>
      </c>
      <c r="E4" s="465">
        <f>SUM(E6:E24)</f>
        <v>1941019696.74</v>
      </c>
      <c r="F4" s="465">
        <f>SUM(F6:F26)</f>
        <v>73710647.640000001</v>
      </c>
      <c r="G4" s="465"/>
      <c r="H4" s="466" t="s">
        <v>414</v>
      </c>
      <c r="L4" s="466">
        <v>3093868118.7800002</v>
      </c>
      <c r="M4" s="467"/>
    </row>
    <row r="5" spans="3:13">
      <c r="C5" s="465"/>
      <c r="D5" s="465"/>
      <c r="E5" s="465"/>
      <c r="F5" s="465"/>
      <c r="G5" s="465"/>
      <c r="H5" s="465">
        <f>SUM(I6:I26)</f>
        <v>0</v>
      </c>
      <c r="I5" s="467">
        <f>+C4+D4+F4+H5</f>
        <v>3093868118.75</v>
      </c>
    </row>
    <row r="6" spans="3:13">
      <c r="C6" s="466">
        <v>1059138295.45</v>
      </c>
      <c r="D6" s="466">
        <v>417037472.31</v>
      </c>
      <c r="E6" s="466">
        <v>81574324.760000005</v>
      </c>
      <c r="F6" s="466">
        <v>55000</v>
      </c>
      <c r="H6"/>
    </row>
    <row r="7" spans="3:13">
      <c r="C7" s="466">
        <v>13351047.74</v>
      </c>
      <c r="D7" s="466">
        <v>70971898.359999999</v>
      </c>
      <c r="E7" s="466">
        <v>376425780.54000002</v>
      </c>
      <c r="F7" s="466">
        <v>72437247.640000001</v>
      </c>
      <c r="H7" s="466">
        <v>11055</v>
      </c>
    </row>
    <row r="8" spans="3:13">
      <c r="C8" s="466">
        <v>6648431.21</v>
      </c>
      <c r="D8" s="466">
        <v>24746243.02</v>
      </c>
      <c r="E8" s="466">
        <v>417037472.31</v>
      </c>
      <c r="F8" s="466">
        <v>299600</v>
      </c>
      <c r="H8"/>
    </row>
    <row r="9" spans="3:13">
      <c r="D9" s="466">
        <v>138750557.99000001</v>
      </c>
      <c r="E9" s="466">
        <v>70971898.390000001</v>
      </c>
      <c r="F9" s="466">
        <v>50000</v>
      </c>
    </row>
    <row r="10" spans="3:13">
      <c r="D10" s="466">
        <v>80372002.760000005</v>
      </c>
      <c r="E10" s="466">
        <v>24746243.02</v>
      </c>
      <c r="F10" s="466">
        <v>144000</v>
      </c>
    </row>
    <row r="11" spans="3:13">
      <c r="D11" s="466">
        <v>1171322</v>
      </c>
      <c r="E11" s="466">
        <v>138750557.99000001</v>
      </c>
      <c r="F11" s="466">
        <v>88000</v>
      </c>
    </row>
    <row r="12" spans="3:13">
      <c r="D12" s="466">
        <v>31000</v>
      </c>
      <c r="E12" s="466">
        <v>9039555.8599999994</v>
      </c>
      <c r="F12" s="466">
        <v>272000</v>
      </c>
    </row>
    <row r="13" spans="3:13">
      <c r="D13" s="466">
        <v>376425780.54000002</v>
      </c>
      <c r="E13" s="466">
        <v>619369216.69000006</v>
      </c>
      <c r="F13" s="466">
        <v>111200</v>
      </c>
    </row>
    <row r="14" spans="3:13">
      <c r="D14" s="466">
        <v>3042320.28</v>
      </c>
      <c r="E14" s="466">
        <v>13009105</v>
      </c>
      <c r="F14" s="466">
        <v>253600</v>
      </c>
    </row>
    <row r="15" spans="3:13">
      <c r="D15" s="466">
        <v>31470259.440000001</v>
      </c>
      <c r="E15" s="466">
        <v>80201441.25</v>
      </c>
    </row>
    <row r="16" spans="3:13">
      <c r="D16" s="466">
        <v>13009105</v>
      </c>
      <c r="E16" s="466">
        <v>31470259.440000001</v>
      </c>
    </row>
    <row r="17" spans="3:10">
      <c r="D17" s="466">
        <v>619369216.69000006</v>
      </c>
      <c r="E17" s="466">
        <v>3042320.28</v>
      </c>
    </row>
    <row r="18" spans="3:10">
      <c r="D18" s="466">
        <v>3228900</v>
      </c>
      <c r="E18" s="466">
        <v>5363811</v>
      </c>
    </row>
    <row r="19" spans="3:10">
      <c r="D19" s="466">
        <v>3812720</v>
      </c>
      <c r="E19" s="466">
        <v>13182402</v>
      </c>
    </row>
    <row r="20" spans="3:10">
      <c r="D20" s="466">
        <v>13182402</v>
      </c>
      <c r="E20" s="466">
        <v>18491977.210000001</v>
      </c>
    </row>
    <row r="21" spans="3:10">
      <c r="D21" s="466">
        <v>5363811</v>
      </c>
      <c r="E21" s="466">
        <v>6377269</v>
      </c>
    </row>
    <row r="22" spans="3:10">
      <c r="D22" s="466">
        <v>18491977.210000001</v>
      </c>
      <c r="E22" s="466">
        <v>3228900</v>
      </c>
    </row>
    <row r="23" spans="3:10">
      <c r="D23" s="466">
        <v>6377269</v>
      </c>
      <c r="E23" s="466">
        <v>3812720</v>
      </c>
    </row>
    <row r="24" spans="3:10">
      <c r="D24" s="466">
        <v>80201441.25</v>
      </c>
      <c r="E24" s="466">
        <v>24924442</v>
      </c>
    </row>
    <row r="25" spans="3:10">
      <c r="D25" s="466">
        <v>24924442</v>
      </c>
    </row>
    <row r="26" spans="3:10">
      <c r="D26" s="466">
        <v>9039555.8599999994</v>
      </c>
    </row>
    <row r="28" spans="3:10">
      <c r="I28" s="466"/>
      <c r="J28" s="466">
        <f>SUM(J6:J27)</f>
        <v>0</v>
      </c>
    </row>
    <row r="29" spans="3:10">
      <c r="D29" s="466">
        <f>SUM(D6:D28)</f>
        <v>1941019696.71</v>
      </c>
    </row>
    <row r="31" spans="3:10">
      <c r="C31" s="468" t="s">
        <v>415</v>
      </c>
      <c r="D31" s="468" t="s">
        <v>416</v>
      </c>
      <c r="E31" s="468" t="s">
        <v>417</v>
      </c>
      <c r="F31" s="468" t="s">
        <v>418</v>
      </c>
      <c r="G31" s="468" t="s">
        <v>419</v>
      </c>
      <c r="H31" s="466" t="s">
        <v>7</v>
      </c>
      <c r="I31" s="468" t="s">
        <v>273</v>
      </c>
    </row>
    <row r="32" spans="3:10">
      <c r="C32" s="468"/>
      <c r="D32" s="468"/>
      <c r="E32" s="468"/>
      <c r="F32" s="468"/>
      <c r="G32" s="468"/>
    </row>
    <row r="33" spans="2:9">
      <c r="C33" s="468" t="s">
        <v>2</v>
      </c>
      <c r="D33" s="468">
        <f>SUM(D34:D43)</f>
        <v>28488844.199999999</v>
      </c>
      <c r="E33" s="468">
        <f>SUM(E34:E43)</f>
        <v>58368863.770000003</v>
      </c>
      <c r="F33" s="468">
        <f>SUM(F34:F42)</f>
        <v>23622098</v>
      </c>
      <c r="G33" s="468">
        <f>SUM(D33:F33)</f>
        <v>110479805.97</v>
      </c>
      <c r="H33" s="468">
        <f>SUM(H34:H43)</f>
        <v>100341637.25</v>
      </c>
      <c r="I33" s="467">
        <f>+G33+H33</f>
        <v>210821443.22</v>
      </c>
    </row>
    <row r="34" spans="2:9">
      <c r="B34">
        <v>1</v>
      </c>
      <c r="D34" s="466">
        <v>28488844.199999999</v>
      </c>
      <c r="E34" s="466">
        <v>7527215</v>
      </c>
      <c r="F34" s="466">
        <v>1095380</v>
      </c>
      <c r="H34" s="466">
        <v>100341637.25</v>
      </c>
    </row>
    <row r="35" spans="2:9">
      <c r="B35">
        <v>2</v>
      </c>
      <c r="E35" s="466">
        <v>297265</v>
      </c>
      <c r="F35" s="466">
        <v>1148765</v>
      </c>
      <c r="G35" s="466">
        <v>110121845.97</v>
      </c>
    </row>
    <row r="36" spans="2:9">
      <c r="B36">
        <v>3</v>
      </c>
      <c r="E36" s="466">
        <v>256900</v>
      </c>
      <c r="F36" s="466">
        <v>3046950</v>
      </c>
      <c r="G36" s="466">
        <f>+G33-G35</f>
        <v>357960</v>
      </c>
    </row>
    <row r="37" spans="2:9">
      <c r="B37">
        <v>4</v>
      </c>
      <c r="E37" s="466">
        <v>50287483.770000003</v>
      </c>
      <c r="F37" s="466">
        <v>380035</v>
      </c>
    </row>
    <row r="38" spans="2:9">
      <c r="B38">
        <v>5</v>
      </c>
      <c r="F38" s="466">
        <v>300000</v>
      </c>
    </row>
    <row r="39" spans="2:9">
      <c r="B39">
        <v>6</v>
      </c>
      <c r="F39" s="466">
        <v>17128008</v>
      </c>
    </row>
    <row r="40" spans="2:9">
      <c r="B40">
        <v>7</v>
      </c>
      <c r="F40" s="466">
        <v>102000</v>
      </c>
    </row>
    <row r="41" spans="2:9">
      <c r="B41">
        <v>8</v>
      </c>
      <c r="F41" s="466">
        <v>63000</v>
      </c>
    </row>
    <row r="42" spans="2:9">
      <c r="B42">
        <v>9</v>
      </c>
      <c r="F42" s="466">
        <v>357960</v>
      </c>
    </row>
    <row r="43" spans="2:9">
      <c r="B43">
        <v>10</v>
      </c>
    </row>
    <row r="44" spans="2:9">
      <c r="B44">
        <v>11</v>
      </c>
    </row>
    <row r="45" spans="2:9">
      <c r="B45">
        <v>12</v>
      </c>
    </row>
    <row r="46" spans="2:9">
      <c r="B46">
        <v>13</v>
      </c>
    </row>
    <row r="47" spans="2:9">
      <c r="B47">
        <v>14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0"/>
  <dimension ref="A1:H21"/>
  <sheetViews>
    <sheetView workbookViewId="0">
      <selection activeCell="F28" sqref="F28"/>
    </sheetView>
  </sheetViews>
  <sheetFormatPr defaultRowHeight="12.75"/>
  <cols>
    <col min="1" max="3" width="9.28515625" style="596" bestFit="1" customWidth="1"/>
    <col min="4" max="4" width="11" style="596" bestFit="1" customWidth="1"/>
    <col min="5" max="5" width="35.7109375" style="596" bestFit="1" customWidth="1"/>
    <col min="6" max="6" width="23.85546875" style="596" bestFit="1" customWidth="1"/>
    <col min="7" max="7" width="20.5703125" style="596" bestFit="1" customWidth="1"/>
    <col min="8" max="256" width="9.140625" style="596"/>
    <col min="257" max="259" width="9.28515625" style="596" bestFit="1" customWidth="1"/>
    <col min="260" max="260" width="11" style="596" bestFit="1" customWidth="1"/>
    <col min="261" max="261" width="35.7109375" style="596" bestFit="1" customWidth="1"/>
    <col min="262" max="262" width="23.85546875" style="596" bestFit="1" customWidth="1"/>
    <col min="263" max="263" width="20.5703125" style="596" bestFit="1" customWidth="1"/>
    <col min="264" max="512" width="9.140625" style="596"/>
    <col min="513" max="515" width="9.28515625" style="596" bestFit="1" customWidth="1"/>
    <col min="516" max="516" width="11" style="596" bestFit="1" customWidth="1"/>
    <col min="517" max="517" width="35.7109375" style="596" bestFit="1" customWidth="1"/>
    <col min="518" max="518" width="23.85546875" style="596" bestFit="1" customWidth="1"/>
    <col min="519" max="519" width="20.5703125" style="596" bestFit="1" customWidth="1"/>
    <col min="520" max="768" width="9.140625" style="596"/>
    <col min="769" max="771" width="9.28515625" style="596" bestFit="1" customWidth="1"/>
    <col min="772" max="772" width="11" style="596" bestFit="1" customWidth="1"/>
    <col min="773" max="773" width="35.7109375" style="596" bestFit="1" customWidth="1"/>
    <col min="774" max="774" width="23.85546875" style="596" bestFit="1" customWidth="1"/>
    <col min="775" max="775" width="20.5703125" style="596" bestFit="1" customWidth="1"/>
    <col min="776" max="1024" width="9.140625" style="596"/>
    <col min="1025" max="1027" width="9.28515625" style="596" bestFit="1" customWidth="1"/>
    <col min="1028" max="1028" width="11" style="596" bestFit="1" customWidth="1"/>
    <col min="1029" max="1029" width="35.7109375" style="596" bestFit="1" customWidth="1"/>
    <col min="1030" max="1030" width="23.85546875" style="596" bestFit="1" customWidth="1"/>
    <col min="1031" max="1031" width="20.5703125" style="596" bestFit="1" customWidth="1"/>
    <col min="1032" max="1280" width="9.140625" style="596"/>
    <col min="1281" max="1283" width="9.28515625" style="596" bestFit="1" customWidth="1"/>
    <col min="1284" max="1284" width="11" style="596" bestFit="1" customWidth="1"/>
    <col min="1285" max="1285" width="35.7109375" style="596" bestFit="1" customWidth="1"/>
    <col min="1286" max="1286" width="23.85546875" style="596" bestFit="1" customWidth="1"/>
    <col min="1287" max="1287" width="20.5703125" style="596" bestFit="1" customWidth="1"/>
    <col min="1288" max="1536" width="9.140625" style="596"/>
    <col min="1537" max="1539" width="9.28515625" style="596" bestFit="1" customWidth="1"/>
    <col min="1540" max="1540" width="11" style="596" bestFit="1" customWidth="1"/>
    <col min="1541" max="1541" width="35.7109375" style="596" bestFit="1" customWidth="1"/>
    <col min="1542" max="1542" width="23.85546875" style="596" bestFit="1" customWidth="1"/>
    <col min="1543" max="1543" width="20.5703125" style="596" bestFit="1" customWidth="1"/>
    <col min="1544" max="1792" width="9.140625" style="596"/>
    <col min="1793" max="1795" width="9.28515625" style="596" bestFit="1" customWidth="1"/>
    <col min="1796" max="1796" width="11" style="596" bestFit="1" customWidth="1"/>
    <col min="1797" max="1797" width="35.7109375" style="596" bestFit="1" customWidth="1"/>
    <col min="1798" max="1798" width="23.85546875" style="596" bestFit="1" customWidth="1"/>
    <col min="1799" max="1799" width="20.5703125" style="596" bestFit="1" customWidth="1"/>
    <col min="1800" max="2048" width="9.140625" style="596"/>
    <col min="2049" max="2051" width="9.28515625" style="596" bestFit="1" customWidth="1"/>
    <col min="2052" max="2052" width="11" style="596" bestFit="1" customWidth="1"/>
    <col min="2053" max="2053" width="35.7109375" style="596" bestFit="1" customWidth="1"/>
    <col min="2054" max="2054" width="23.85546875" style="596" bestFit="1" customWidth="1"/>
    <col min="2055" max="2055" width="20.5703125" style="596" bestFit="1" customWidth="1"/>
    <col min="2056" max="2304" width="9.140625" style="596"/>
    <col min="2305" max="2307" width="9.28515625" style="596" bestFit="1" customWidth="1"/>
    <col min="2308" max="2308" width="11" style="596" bestFit="1" customWidth="1"/>
    <col min="2309" max="2309" width="35.7109375" style="596" bestFit="1" customWidth="1"/>
    <col min="2310" max="2310" width="23.85546875" style="596" bestFit="1" customWidth="1"/>
    <col min="2311" max="2311" width="20.5703125" style="596" bestFit="1" customWidth="1"/>
    <col min="2312" max="2560" width="9.140625" style="596"/>
    <col min="2561" max="2563" width="9.28515625" style="596" bestFit="1" customWidth="1"/>
    <col min="2564" max="2564" width="11" style="596" bestFit="1" customWidth="1"/>
    <col min="2565" max="2565" width="35.7109375" style="596" bestFit="1" customWidth="1"/>
    <col min="2566" max="2566" width="23.85546875" style="596" bestFit="1" customWidth="1"/>
    <col min="2567" max="2567" width="20.5703125" style="596" bestFit="1" customWidth="1"/>
    <col min="2568" max="2816" width="9.140625" style="596"/>
    <col min="2817" max="2819" width="9.28515625" style="596" bestFit="1" customWidth="1"/>
    <col min="2820" max="2820" width="11" style="596" bestFit="1" customWidth="1"/>
    <col min="2821" max="2821" width="35.7109375" style="596" bestFit="1" customWidth="1"/>
    <col min="2822" max="2822" width="23.85546875" style="596" bestFit="1" customWidth="1"/>
    <col min="2823" max="2823" width="20.5703125" style="596" bestFit="1" customWidth="1"/>
    <col min="2824" max="3072" width="9.140625" style="596"/>
    <col min="3073" max="3075" width="9.28515625" style="596" bestFit="1" customWidth="1"/>
    <col min="3076" max="3076" width="11" style="596" bestFit="1" customWidth="1"/>
    <col min="3077" max="3077" width="35.7109375" style="596" bestFit="1" customWidth="1"/>
    <col min="3078" max="3078" width="23.85546875" style="596" bestFit="1" customWidth="1"/>
    <col min="3079" max="3079" width="20.5703125" style="596" bestFit="1" customWidth="1"/>
    <col min="3080" max="3328" width="9.140625" style="596"/>
    <col min="3329" max="3331" width="9.28515625" style="596" bestFit="1" customWidth="1"/>
    <col min="3332" max="3332" width="11" style="596" bestFit="1" customWidth="1"/>
    <col min="3333" max="3333" width="35.7109375" style="596" bestFit="1" customWidth="1"/>
    <col min="3334" max="3334" width="23.85546875" style="596" bestFit="1" customWidth="1"/>
    <col min="3335" max="3335" width="20.5703125" style="596" bestFit="1" customWidth="1"/>
    <col min="3336" max="3584" width="9.140625" style="596"/>
    <col min="3585" max="3587" width="9.28515625" style="596" bestFit="1" customWidth="1"/>
    <col min="3588" max="3588" width="11" style="596" bestFit="1" customWidth="1"/>
    <col min="3589" max="3589" width="35.7109375" style="596" bestFit="1" customWidth="1"/>
    <col min="3590" max="3590" width="23.85546875" style="596" bestFit="1" customWidth="1"/>
    <col min="3591" max="3591" width="20.5703125" style="596" bestFit="1" customWidth="1"/>
    <col min="3592" max="3840" width="9.140625" style="596"/>
    <col min="3841" max="3843" width="9.28515625" style="596" bestFit="1" customWidth="1"/>
    <col min="3844" max="3844" width="11" style="596" bestFit="1" customWidth="1"/>
    <col min="3845" max="3845" width="35.7109375" style="596" bestFit="1" customWidth="1"/>
    <col min="3846" max="3846" width="23.85546875" style="596" bestFit="1" customWidth="1"/>
    <col min="3847" max="3847" width="20.5703125" style="596" bestFit="1" customWidth="1"/>
    <col min="3848" max="4096" width="9.140625" style="596"/>
    <col min="4097" max="4099" width="9.28515625" style="596" bestFit="1" customWidth="1"/>
    <col min="4100" max="4100" width="11" style="596" bestFit="1" customWidth="1"/>
    <col min="4101" max="4101" width="35.7109375" style="596" bestFit="1" customWidth="1"/>
    <col min="4102" max="4102" width="23.85546875" style="596" bestFit="1" customWidth="1"/>
    <col min="4103" max="4103" width="20.5703125" style="596" bestFit="1" customWidth="1"/>
    <col min="4104" max="4352" width="9.140625" style="596"/>
    <col min="4353" max="4355" width="9.28515625" style="596" bestFit="1" customWidth="1"/>
    <col min="4356" max="4356" width="11" style="596" bestFit="1" customWidth="1"/>
    <col min="4357" max="4357" width="35.7109375" style="596" bestFit="1" customWidth="1"/>
    <col min="4358" max="4358" width="23.85546875" style="596" bestFit="1" customWidth="1"/>
    <col min="4359" max="4359" width="20.5703125" style="596" bestFit="1" customWidth="1"/>
    <col min="4360" max="4608" width="9.140625" style="596"/>
    <col min="4609" max="4611" width="9.28515625" style="596" bestFit="1" customWidth="1"/>
    <col min="4612" max="4612" width="11" style="596" bestFit="1" customWidth="1"/>
    <col min="4613" max="4613" width="35.7109375" style="596" bestFit="1" customWidth="1"/>
    <col min="4614" max="4614" width="23.85546875" style="596" bestFit="1" customWidth="1"/>
    <col min="4615" max="4615" width="20.5703125" style="596" bestFit="1" customWidth="1"/>
    <col min="4616" max="4864" width="9.140625" style="596"/>
    <col min="4865" max="4867" width="9.28515625" style="596" bestFit="1" customWidth="1"/>
    <col min="4868" max="4868" width="11" style="596" bestFit="1" customWidth="1"/>
    <col min="4869" max="4869" width="35.7109375" style="596" bestFit="1" customWidth="1"/>
    <col min="4870" max="4870" width="23.85546875" style="596" bestFit="1" customWidth="1"/>
    <col min="4871" max="4871" width="20.5703125" style="596" bestFit="1" customWidth="1"/>
    <col min="4872" max="5120" width="9.140625" style="596"/>
    <col min="5121" max="5123" width="9.28515625" style="596" bestFit="1" customWidth="1"/>
    <col min="5124" max="5124" width="11" style="596" bestFit="1" customWidth="1"/>
    <col min="5125" max="5125" width="35.7109375" style="596" bestFit="1" customWidth="1"/>
    <col min="5126" max="5126" width="23.85546875" style="596" bestFit="1" customWidth="1"/>
    <col min="5127" max="5127" width="20.5703125" style="596" bestFit="1" customWidth="1"/>
    <col min="5128" max="5376" width="9.140625" style="596"/>
    <col min="5377" max="5379" width="9.28515625" style="596" bestFit="1" customWidth="1"/>
    <col min="5380" max="5380" width="11" style="596" bestFit="1" customWidth="1"/>
    <col min="5381" max="5381" width="35.7109375" style="596" bestFit="1" customWidth="1"/>
    <col min="5382" max="5382" width="23.85546875" style="596" bestFit="1" customWidth="1"/>
    <col min="5383" max="5383" width="20.5703125" style="596" bestFit="1" customWidth="1"/>
    <col min="5384" max="5632" width="9.140625" style="596"/>
    <col min="5633" max="5635" width="9.28515625" style="596" bestFit="1" customWidth="1"/>
    <col min="5636" max="5636" width="11" style="596" bestFit="1" customWidth="1"/>
    <col min="5637" max="5637" width="35.7109375" style="596" bestFit="1" customWidth="1"/>
    <col min="5638" max="5638" width="23.85546875" style="596" bestFit="1" customWidth="1"/>
    <col min="5639" max="5639" width="20.5703125" style="596" bestFit="1" customWidth="1"/>
    <col min="5640" max="5888" width="9.140625" style="596"/>
    <col min="5889" max="5891" width="9.28515625" style="596" bestFit="1" customWidth="1"/>
    <col min="5892" max="5892" width="11" style="596" bestFit="1" customWidth="1"/>
    <col min="5893" max="5893" width="35.7109375" style="596" bestFit="1" customWidth="1"/>
    <col min="5894" max="5894" width="23.85546875" style="596" bestFit="1" customWidth="1"/>
    <col min="5895" max="5895" width="20.5703125" style="596" bestFit="1" customWidth="1"/>
    <col min="5896" max="6144" width="9.140625" style="596"/>
    <col min="6145" max="6147" width="9.28515625" style="596" bestFit="1" customWidth="1"/>
    <col min="6148" max="6148" width="11" style="596" bestFit="1" customWidth="1"/>
    <col min="6149" max="6149" width="35.7109375" style="596" bestFit="1" customWidth="1"/>
    <col min="6150" max="6150" width="23.85546875" style="596" bestFit="1" customWidth="1"/>
    <col min="6151" max="6151" width="20.5703125" style="596" bestFit="1" customWidth="1"/>
    <col min="6152" max="6400" width="9.140625" style="596"/>
    <col min="6401" max="6403" width="9.28515625" style="596" bestFit="1" customWidth="1"/>
    <col min="6404" max="6404" width="11" style="596" bestFit="1" customWidth="1"/>
    <col min="6405" max="6405" width="35.7109375" style="596" bestFit="1" customWidth="1"/>
    <col min="6406" max="6406" width="23.85546875" style="596" bestFit="1" customWidth="1"/>
    <col min="6407" max="6407" width="20.5703125" style="596" bestFit="1" customWidth="1"/>
    <col min="6408" max="6656" width="9.140625" style="596"/>
    <col min="6657" max="6659" width="9.28515625" style="596" bestFit="1" customWidth="1"/>
    <col min="6660" max="6660" width="11" style="596" bestFit="1" customWidth="1"/>
    <col min="6661" max="6661" width="35.7109375" style="596" bestFit="1" customWidth="1"/>
    <col min="6662" max="6662" width="23.85546875" style="596" bestFit="1" customWidth="1"/>
    <col min="6663" max="6663" width="20.5703125" style="596" bestFit="1" customWidth="1"/>
    <col min="6664" max="6912" width="9.140625" style="596"/>
    <col min="6913" max="6915" width="9.28515625" style="596" bestFit="1" customWidth="1"/>
    <col min="6916" max="6916" width="11" style="596" bestFit="1" customWidth="1"/>
    <col min="6917" max="6917" width="35.7109375" style="596" bestFit="1" customWidth="1"/>
    <col min="6918" max="6918" width="23.85546875" style="596" bestFit="1" customWidth="1"/>
    <col min="6919" max="6919" width="20.5703125" style="596" bestFit="1" customWidth="1"/>
    <col min="6920" max="7168" width="9.140625" style="596"/>
    <col min="7169" max="7171" width="9.28515625" style="596" bestFit="1" customWidth="1"/>
    <col min="7172" max="7172" width="11" style="596" bestFit="1" customWidth="1"/>
    <col min="7173" max="7173" width="35.7109375" style="596" bestFit="1" customWidth="1"/>
    <col min="7174" max="7174" width="23.85546875" style="596" bestFit="1" customWidth="1"/>
    <col min="7175" max="7175" width="20.5703125" style="596" bestFit="1" customWidth="1"/>
    <col min="7176" max="7424" width="9.140625" style="596"/>
    <col min="7425" max="7427" width="9.28515625" style="596" bestFit="1" customWidth="1"/>
    <col min="7428" max="7428" width="11" style="596" bestFit="1" customWidth="1"/>
    <col min="7429" max="7429" width="35.7109375" style="596" bestFit="1" customWidth="1"/>
    <col min="7430" max="7430" width="23.85546875" style="596" bestFit="1" customWidth="1"/>
    <col min="7431" max="7431" width="20.5703125" style="596" bestFit="1" customWidth="1"/>
    <col min="7432" max="7680" width="9.140625" style="596"/>
    <col min="7681" max="7683" width="9.28515625" style="596" bestFit="1" customWidth="1"/>
    <col min="7684" max="7684" width="11" style="596" bestFit="1" customWidth="1"/>
    <col min="7685" max="7685" width="35.7109375" style="596" bestFit="1" customWidth="1"/>
    <col min="7686" max="7686" width="23.85546875" style="596" bestFit="1" customWidth="1"/>
    <col min="7687" max="7687" width="20.5703125" style="596" bestFit="1" customWidth="1"/>
    <col min="7688" max="7936" width="9.140625" style="596"/>
    <col min="7937" max="7939" width="9.28515625" style="596" bestFit="1" customWidth="1"/>
    <col min="7940" max="7940" width="11" style="596" bestFit="1" customWidth="1"/>
    <col min="7941" max="7941" width="35.7109375" style="596" bestFit="1" customWidth="1"/>
    <col min="7942" max="7942" width="23.85546875" style="596" bestFit="1" customWidth="1"/>
    <col min="7943" max="7943" width="20.5703125" style="596" bestFit="1" customWidth="1"/>
    <col min="7944" max="8192" width="9.140625" style="596"/>
    <col min="8193" max="8195" width="9.28515625" style="596" bestFit="1" customWidth="1"/>
    <col min="8196" max="8196" width="11" style="596" bestFit="1" customWidth="1"/>
    <col min="8197" max="8197" width="35.7109375" style="596" bestFit="1" customWidth="1"/>
    <col min="8198" max="8198" width="23.85546875" style="596" bestFit="1" customWidth="1"/>
    <col min="8199" max="8199" width="20.5703125" style="596" bestFit="1" customWidth="1"/>
    <col min="8200" max="8448" width="9.140625" style="596"/>
    <col min="8449" max="8451" width="9.28515625" style="596" bestFit="1" customWidth="1"/>
    <col min="8452" max="8452" width="11" style="596" bestFit="1" customWidth="1"/>
    <col min="8453" max="8453" width="35.7109375" style="596" bestFit="1" customWidth="1"/>
    <col min="8454" max="8454" width="23.85546875" style="596" bestFit="1" customWidth="1"/>
    <col min="8455" max="8455" width="20.5703125" style="596" bestFit="1" customWidth="1"/>
    <col min="8456" max="8704" width="9.140625" style="596"/>
    <col min="8705" max="8707" width="9.28515625" style="596" bestFit="1" customWidth="1"/>
    <col min="8708" max="8708" width="11" style="596" bestFit="1" customWidth="1"/>
    <col min="8709" max="8709" width="35.7109375" style="596" bestFit="1" customWidth="1"/>
    <col min="8710" max="8710" width="23.85546875" style="596" bestFit="1" customWidth="1"/>
    <col min="8711" max="8711" width="20.5703125" style="596" bestFit="1" customWidth="1"/>
    <col min="8712" max="8960" width="9.140625" style="596"/>
    <col min="8961" max="8963" width="9.28515625" style="596" bestFit="1" customWidth="1"/>
    <col min="8964" max="8964" width="11" style="596" bestFit="1" customWidth="1"/>
    <col min="8965" max="8965" width="35.7109375" style="596" bestFit="1" customWidth="1"/>
    <col min="8966" max="8966" width="23.85546875" style="596" bestFit="1" customWidth="1"/>
    <col min="8967" max="8967" width="20.5703125" style="596" bestFit="1" customWidth="1"/>
    <col min="8968" max="9216" width="9.140625" style="596"/>
    <col min="9217" max="9219" width="9.28515625" style="596" bestFit="1" customWidth="1"/>
    <col min="9220" max="9220" width="11" style="596" bestFit="1" customWidth="1"/>
    <col min="9221" max="9221" width="35.7109375" style="596" bestFit="1" customWidth="1"/>
    <col min="9222" max="9222" width="23.85546875" style="596" bestFit="1" customWidth="1"/>
    <col min="9223" max="9223" width="20.5703125" style="596" bestFit="1" customWidth="1"/>
    <col min="9224" max="9472" width="9.140625" style="596"/>
    <col min="9473" max="9475" width="9.28515625" style="596" bestFit="1" customWidth="1"/>
    <col min="9476" max="9476" width="11" style="596" bestFit="1" customWidth="1"/>
    <col min="9477" max="9477" width="35.7109375" style="596" bestFit="1" customWidth="1"/>
    <col min="9478" max="9478" width="23.85546875" style="596" bestFit="1" customWidth="1"/>
    <col min="9479" max="9479" width="20.5703125" style="596" bestFit="1" customWidth="1"/>
    <col min="9480" max="9728" width="9.140625" style="596"/>
    <col min="9729" max="9731" width="9.28515625" style="596" bestFit="1" customWidth="1"/>
    <col min="9732" max="9732" width="11" style="596" bestFit="1" customWidth="1"/>
    <col min="9733" max="9733" width="35.7109375" style="596" bestFit="1" customWidth="1"/>
    <col min="9734" max="9734" width="23.85546875" style="596" bestFit="1" customWidth="1"/>
    <col min="9735" max="9735" width="20.5703125" style="596" bestFit="1" customWidth="1"/>
    <col min="9736" max="9984" width="9.140625" style="596"/>
    <col min="9985" max="9987" width="9.28515625" style="596" bestFit="1" customWidth="1"/>
    <col min="9988" max="9988" width="11" style="596" bestFit="1" customWidth="1"/>
    <col min="9989" max="9989" width="35.7109375" style="596" bestFit="1" customWidth="1"/>
    <col min="9990" max="9990" width="23.85546875" style="596" bestFit="1" customWidth="1"/>
    <col min="9991" max="9991" width="20.5703125" style="596" bestFit="1" customWidth="1"/>
    <col min="9992" max="10240" width="9.140625" style="596"/>
    <col min="10241" max="10243" width="9.28515625" style="596" bestFit="1" customWidth="1"/>
    <col min="10244" max="10244" width="11" style="596" bestFit="1" customWidth="1"/>
    <col min="10245" max="10245" width="35.7109375" style="596" bestFit="1" customWidth="1"/>
    <col min="10246" max="10246" width="23.85546875" style="596" bestFit="1" customWidth="1"/>
    <col min="10247" max="10247" width="20.5703125" style="596" bestFit="1" customWidth="1"/>
    <col min="10248" max="10496" width="9.140625" style="596"/>
    <col min="10497" max="10499" width="9.28515625" style="596" bestFit="1" customWidth="1"/>
    <col min="10500" max="10500" width="11" style="596" bestFit="1" customWidth="1"/>
    <col min="10501" max="10501" width="35.7109375" style="596" bestFit="1" customWidth="1"/>
    <col min="10502" max="10502" width="23.85546875" style="596" bestFit="1" customWidth="1"/>
    <col min="10503" max="10503" width="20.5703125" style="596" bestFit="1" customWidth="1"/>
    <col min="10504" max="10752" width="9.140625" style="596"/>
    <col min="10753" max="10755" width="9.28515625" style="596" bestFit="1" customWidth="1"/>
    <col min="10756" max="10756" width="11" style="596" bestFit="1" customWidth="1"/>
    <col min="10757" max="10757" width="35.7109375" style="596" bestFit="1" customWidth="1"/>
    <col min="10758" max="10758" width="23.85546875" style="596" bestFit="1" customWidth="1"/>
    <col min="10759" max="10759" width="20.5703125" style="596" bestFit="1" customWidth="1"/>
    <col min="10760" max="11008" width="9.140625" style="596"/>
    <col min="11009" max="11011" width="9.28515625" style="596" bestFit="1" customWidth="1"/>
    <col min="11012" max="11012" width="11" style="596" bestFit="1" customWidth="1"/>
    <col min="11013" max="11013" width="35.7109375" style="596" bestFit="1" customWidth="1"/>
    <col min="11014" max="11014" width="23.85546875" style="596" bestFit="1" customWidth="1"/>
    <col min="11015" max="11015" width="20.5703125" style="596" bestFit="1" customWidth="1"/>
    <col min="11016" max="11264" width="9.140625" style="596"/>
    <col min="11265" max="11267" width="9.28515625" style="596" bestFit="1" customWidth="1"/>
    <col min="11268" max="11268" width="11" style="596" bestFit="1" customWidth="1"/>
    <col min="11269" max="11269" width="35.7109375" style="596" bestFit="1" customWidth="1"/>
    <col min="11270" max="11270" width="23.85546875" style="596" bestFit="1" customWidth="1"/>
    <col min="11271" max="11271" width="20.5703125" style="596" bestFit="1" customWidth="1"/>
    <col min="11272" max="11520" width="9.140625" style="596"/>
    <col min="11521" max="11523" width="9.28515625" style="596" bestFit="1" customWidth="1"/>
    <col min="11524" max="11524" width="11" style="596" bestFit="1" customWidth="1"/>
    <col min="11525" max="11525" width="35.7109375" style="596" bestFit="1" customWidth="1"/>
    <col min="11526" max="11526" width="23.85546875" style="596" bestFit="1" customWidth="1"/>
    <col min="11527" max="11527" width="20.5703125" style="596" bestFit="1" customWidth="1"/>
    <col min="11528" max="11776" width="9.140625" style="596"/>
    <col min="11777" max="11779" width="9.28515625" style="596" bestFit="1" customWidth="1"/>
    <col min="11780" max="11780" width="11" style="596" bestFit="1" customWidth="1"/>
    <col min="11781" max="11781" width="35.7109375" style="596" bestFit="1" customWidth="1"/>
    <col min="11782" max="11782" width="23.85546875" style="596" bestFit="1" customWidth="1"/>
    <col min="11783" max="11783" width="20.5703125" style="596" bestFit="1" customWidth="1"/>
    <col min="11784" max="12032" width="9.140625" style="596"/>
    <col min="12033" max="12035" width="9.28515625" style="596" bestFit="1" customWidth="1"/>
    <col min="12036" max="12036" width="11" style="596" bestFit="1" customWidth="1"/>
    <col min="12037" max="12037" width="35.7109375" style="596" bestFit="1" customWidth="1"/>
    <col min="12038" max="12038" width="23.85546875" style="596" bestFit="1" customWidth="1"/>
    <col min="12039" max="12039" width="20.5703125" style="596" bestFit="1" customWidth="1"/>
    <col min="12040" max="12288" width="9.140625" style="596"/>
    <col min="12289" max="12291" width="9.28515625" style="596" bestFit="1" customWidth="1"/>
    <col min="12292" max="12292" width="11" style="596" bestFit="1" customWidth="1"/>
    <col min="12293" max="12293" width="35.7109375" style="596" bestFit="1" customWidth="1"/>
    <col min="12294" max="12294" width="23.85546875" style="596" bestFit="1" customWidth="1"/>
    <col min="12295" max="12295" width="20.5703125" style="596" bestFit="1" customWidth="1"/>
    <col min="12296" max="12544" width="9.140625" style="596"/>
    <col min="12545" max="12547" width="9.28515625" style="596" bestFit="1" customWidth="1"/>
    <col min="12548" max="12548" width="11" style="596" bestFit="1" customWidth="1"/>
    <col min="12549" max="12549" width="35.7109375" style="596" bestFit="1" customWidth="1"/>
    <col min="12550" max="12550" width="23.85546875" style="596" bestFit="1" customWidth="1"/>
    <col min="12551" max="12551" width="20.5703125" style="596" bestFit="1" customWidth="1"/>
    <col min="12552" max="12800" width="9.140625" style="596"/>
    <col min="12801" max="12803" width="9.28515625" style="596" bestFit="1" customWidth="1"/>
    <col min="12804" max="12804" width="11" style="596" bestFit="1" customWidth="1"/>
    <col min="12805" max="12805" width="35.7109375" style="596" bestFit="1" customWidth="1"/>
    <col min="12806" max="12806" width="23.85546875" style="596" bestFit="1" customWidth="1"/>
    <col min="12807" max="12807" width="20.5703125" style="596" bestFit="1" customWidth="1"/>
    <col min="12808" max="13056" width="9.140625" style="596"/>
    <col min="13057" max="13059" width="9.28515625" style="596" bestFit="1" customWidth="1"/>
    <col min="13060" max="13060" width="11" style="596" bestFit="1" customWidth="1"/>
    <col min="13061" max="13061" width="35.7109375" style="596" bestFit="1" customWidth="1"/>
    <col min="13062" max="13062" width="23.85546875" style="596" bestFit="1" customWidth="1"/>
    <col min="13063" max="13063" width="20.5703125" style="596" bestFit="1" customWidth="1"/>
    <col min="13064" max="13312" width="9.140625" style="596"/>
    <col min="13313" max="13315" width="9.28515625" style="596" bestFit="1" customWidth="1"/>
    <col min="13316" max="13316" width="11" style="596" bestFit="1" customWidth="1"/>
    <col min="13317" max="13317" width="35.7109375" style="596" bestFit="1" customWidth="1"/>
    <col min="13318" max="13318" width="23.85546875" style="596" bestFit="1" customWidth="1"/>
    <col min="13319" max="13319" width="20.5703125" style="596" bestFit="1" customWidth="1"/>
    <col min="13320" max="13568" width="9.140625" style="596"/>
    <col min="13569" max="13571" width="9.28515625" style="596" bestFit="1" customWidth="1"/>
    <col min="13572" max="13572" width="11" style="596" bestFit="1" customWidth="1"/>
    <col min="13573" max="13573" width="35.7109375" style="596" bestFit="1" customWidth="1"/>
    <col min="13574" max="13574" width="23.85546875" style="596" bestFit="1" customWidth="1"/>
    <col min="13575" max="13575" width="20.5703125" style="596" bestFit="1" customWidth="1"/>
    <col min="13576" max="13824" width="9.140625" style="596"/>
    <col min="13825" max="13827" width="9.28515625" style="596" bestFit="1" customWidth="1"/>
    <col min="13828" max="13828" width="11" style="596" bestFit="1" customWidth="1"/>
    <col min="13829" max="13829" width="35.7109375" style="596" bestFit="1" customWidth="1"/>
    <col min="13830" max="13830" width="23.85546875" style="596" bestFit="1" customWidth="1"/>
    <col min="13831" max="13831" width="20.5703125" style="596" bestFit="1" customWidth="1"/>
    <col min="13832" max="14080" width="9.140625" style="596"/>
    <col min="14081" max="14083" width="9.28515625" style="596" bestFit="1" customWidth="1"/>
    <col min="14084" max="14084" width="11" style="596" bestFit="1" customWidth="1"/>
    <col min="14085" max="14085" width="35.7109375" style="596" bestFit="1" customWidth="1"/>
    <col min="14086" max="14086" width="23.85546875" style="596" bestFit="1" customWidth="1"/>
    <col min="14087" max="14087" width="20.5703125" style="596" bestFit="1" customWidth="1"/>
    <col min="14088" max="14336" width="9.140625" style="596"/>
    <col min="14337" max="14339" width="9.28515625" style="596" bestFit="1" customWidth="1"/>
    <col min="14340" max="14340" width="11" style="596" bestFit="1" customWidth="1"/>
    <col min="14341" max="14341" width="35.7109375" style="596" bestFit="1" customWidth="1"/>
    <col min="14342" max="14342" width="23.85546875" style="596" bestFit="1" customWidth="1"/>
    <col min="14343" max="14343" width="20.5703125" style="596" bestFit="1" customWidth="1"/>
    <col min="14344" max="14592" width="9.140625" style="596"/>
    <col min="14593" max="14595" width="9.28515625" style="596" bestFit="1" customWidth="1"/>
    <col min="14596" max="14596" width="11" style="596" bestFit="1" customWidth="1"/>
    <col min="14597" max="14597" width="35.7109375" style="596" bestFit="1" customWidth="1"/>
    <col min="14598" max="14598" width="23.85546875" style="596" bestFit="1" customWidth="1"/>
    <col min="14599" max="14599" width="20.5703125" style="596" bestFit="1" customWidth="1"/>
    <col min="14600" max="14848" width="9.140625" style="596"/>
    <col min="14849" max="14851" width="9.28515625" style="596" bestFit="1" customWidth="1"/>
    <col min="14852" max="14852" width="11" style="596" bestFit="1" customWidth="1"/>
    <col min="14853" max="14853" width="35.7109375" style="596" bestFit="1" customWidth="1"/>
    <col min="14854" max="14854" width="23.85546875" style="596" bestFit="1" customWidth="1"/>
    <col min="14855" max="14855" width="20.5703125" style="596" bestFit="1" customWidth="1"/>
    <col min="14856" max="15104" width="9.140625" style="596"/>
    <col min="15105" max="15107" width="9.28515625" style="596" bestFit="1" customWidth="1"/>
    <col min="15108" max="15108" width="11" style="596" bestFit="1" customWidth="1"/>
    <col min="15109" max="15109" width="35.7109375" style="596" bestFit="1" customWidth="1"/>
    <col min="15110" max="15110" width="23.85546875" style="596" bestFit="1" customWidth="1"/>
    <col min="15111" max="15111" width="20.5703125" style="596" bestFit="1" customWidth="1"/>
    <col min="15112" max="15360" width="9.140625" style="596"/>
    <col min="15361" max="15363" width="9.28515625" style="596" bestFit="1" customWidth="1"/>
    <col min="15364" max="15364" width="11" style="596" bestFit="1" customWidth="1"/>
    <col min="15365" max="15365" width="35.7109375" style="596" bestFit="1" customWidth="1"/>
    <col min="15366" max="15366" width="23.85546875" style="596" bestFit="1" customWidth="1"/>
    <col min="15367" max="15367" width="20.5703125" style="596" bestFit="1" customWidth="1"/>
    <col min="15368" max="15616" width="9.140625" style="596"/>
    <col min="15617" max="15619" width="9.28515625" style="596" bestFit="1" customWidth="1"/>
    <col min="15620" max="15620" width="11" style="596" bestFit="1" customWidth="1"/>
    <col min="15621" max="15621" width="35.7109375" style="596" bestFit="1" customWidth="1"/>
    <col min="15622" max="15622" width="23.85546875" style="596" bestFit="1" customWidth="1"/>
    <col min="15623" max="15623" width="20.5703125" style="596" bestFit="1" customWidth="1"/>
    <col min="15624" max="15872" width="9.140625" style="596"/>
    <col min="15873" max="15875" width="9.28515625" style="596" bestFit="1" customWidth="1"/>
    <col min="15876" max="15876" width="11" style="596" bestFit="1" customWidth="1"/>
    <col min="15877" max="15877" width="35.7109375" style="596" bestFit="1" customWidth="1"/>
    <col min="15878" max="15878" width="23.85546875" style="596" bestFit="1" customWidth="1"/>
    <col min="15879" max="15879" width="20.5703125" style="596" bestFit="1" customWidth="1"/>
    <col min="15880" max="16128" width="9.140625" style="596"/>
    <col min="16129" max="16131" width="9.28515625" style="596" bestFit="1" customWidth="1"/>
    <col min="16132" max="16132" width="11" style="596" bestFit="1" customWidth="1"/>
    <col min="16133" max="16133" width="35.7109375" style="596" bestFit="1" customWidth="1"/>
    <col min="16134" max="16134" width="23.85546875" style="596" bestFit="1" customWidth="1"/>
    <col min="16135" max="16135" width="20.5703125" style="596" bestFit="1" customWidth="1"/>
    <col min="16136" max="16384" width="9.140625" style="596"/>
  </cols>
  <sheetData>
    <row r="1" spans="1:8">
      <c r="A1" s="593" t="s">
        <v>852</v>
      </c>
      <c r="B1" s="593" t="s">
        <v>853</v>
      </c>
      <c r="C1" s="593" t="s">
        <v>854</v>
      </c>
      <c r="D1" s="594" t="s">
        <v>855</v>
      </c>
      <c r="E1" s="595" t="s">
        <v>856</v>
      </c>
      <c r="F1" s="595" t="s">
        <v>857</v>
      </c>
      <c r="G1" s="593" t="s">
        <v>858</v>
      </c>
      <c r="H1" s="593" t="s">
        <v>859</v>
      </c>
    </row>
    <row r="2" spans="1:8" s="603" customFormat="1">
      <c r="A2" s="597">
        <v>2562</v>
      </c>
      <c r="B2" s="597">
        <v>11</v>
      </c>
      <c r="C2" s="597">
        <v>2</v>
      </c>
      <c r="D2" s="598" t="s">
        <v>814</v>
      </c>
      <c r="E2" s="599" t="s">
        <v>815</v>
      </c>
      <c r="F2" s="600">
        <v>2193000</v>
      </c>
      <c r="G2" s="601">
        <v>690376.44</v>
      </c>
      <c r="H2" s="602">
        <v>31.480913816689466</v>
      </c>
    </row>
    <row r="3" spans="1:8">
      <c r="A3" s="597">
        <v>2562</v>
      </c>
      <c r="B3" s="597">
        <v>11</v>
      </c>
      <c r="C3" s="597">
        <v>2</v>
      </c>
      <c r="D3" s="604" t="s">
        <v>816</v>
      </c>
      <c r="E3" s="605" t="s">
        <v>817</v>
      </c>
      <c r="F3" s="606">
        <v>65075159.289999999</v>
      </c>
      <c r="G3" s="607">
        <v>10533792.539999999</v>
      </c>
      <c r="H3" s="602">
        <v>16.1871175651793</v>
      </c>
    </row>
    <row r="4" spans="1:8">
      <c r="A4" s="597">
        <v>2562</v>
      </c>
      <c r="B4" s="597">
        <v>11</v>
      </c>
      <c r="C4" s="597">
        <v>2</v>
      </c>
      <c r="D4" s="604" t="s">
        <v>812</v>
      </c>
      <c r="E4" s="608" t="s">
        <v>813</v>
      </c>
      <c r="F4" s="606">
        <v>4925200</v>
      </c>
      <c r="G4" s="607">
        <v>709668</v>
      </c>
      <c r="H4" s="602">
        <v>14.408917404369365</v>
      </c>
    </row>
    <row r="5" spans="1:8">
      <c r="A5" s="597">
        <v>2562</v>
      </c>
      <c r="B5" s="597">
        <v>11</v>
      </c>
      <c r="C5" s="597">
        <v>2</v>
      </c>
      <c r="D5" s="604" t="s">
        <v>830</v>
      </c>
      <c r="E5" s="608" t="s">
        <v>831</v>
      </c>
      <c r="F5" s="606">
        <v>7015680</v>
      </c>
      <c r="G5" s="607">
        <v>917076.96</v>
      </c>
      <c r="H5" s="602">
        <v>13.07181855500821</v>
      </c>
    </row>
    <row r="6" spans="1:8">
      <c r="A6" s="597">
        <v>2562</v>
      </c>
      <c r="B6" s="597">
        <v>11</v>
      </c>
      <c r="C6" s="597">
        <v>2</v>
      </c>
      <c r="D6" s="604" t="s">
        <v>827</v>
      </c>
      <c r="E6" s="608" t="s">
        <v>750</v>
      </c>
      <c r="F6" s="606">
        <v>5804800</v>
      </c>
      <c r="G6" s="607">
        <v>538910</v>
      </c>
      <c r="H6" s="602">
        <v>9.2838685226019848</v>
      </c>
    </row>
    <row r="7" spans="1:8">
      <c r="A7" s="597">
        <v>2562</v>
      </c>
      <c r="B7" s="597">
        <v>11</v>
      </c>
      <c r="C7" s="597">
        <v>2</v>
      </c>
      <c r="D7" s="604" t="s">
        <v>810</v>
      </c>
      <c r="E7" s="605" t="s">
        <v>811</v>
      </c>
      <c r="F7" s="606">
        <v>204000</v>
      </c>
      <c r="G7" s="607">
        <v>9850</v>
      </c>
      <c r="H7" s="602">
        <v>4.8284313725490193</v>
      </c>
    </row>
    <row r="8" spans="1:8">
      <c r="A8" s="597">
        <v>2562</v>
      </c>
      <c r="B8" s="597">
        <v>11</v>
      </c>
      <c r="C8" s="597">
        <v>2</v>
      </c>
      <c r="D8" s="604" t="s">
        <v>828</v>
      </c>
      <c r="E8" s="608" t="s">
        <v>829</v>
      </c>
      <c r="F8" s="606">
        <v>259486850</v>
      </c>
      <c r="G8" s="607">
        <v>11561916.02</v>
      </c>
      <c r="H8" s="602">
        <v>4.455684756279557</v>
      </c>
    </row>
    <row r="9" spans="1:8">
      <c r="A9" s="597">
        <v>2562</v>
      </c>
      <c r="B9" s="597">
        <v>11</v>
      </c>
      <c r="C9" s="597">
        <v>2</v>
      </c>
      <c r="D9" s="604" t="s">
        <v>825</v>
      </c>
      <c r="E9" s="608" t="s">
        <v>826</v>
      </c>
      <c r="F9" s="606">
        <v>31641800</v>
      </c>
      <c r="G9" s="607">
        <v>1293479.53</v>
      </c>
      <c r="H9" s="602">
        <v>4.0878822633352083</v>
      </c>
    </row>
    <row r="10" spans="1:8">
      <c r="A10" s="597">
        <v>2562</v>
      </c>
      <c r="B10" s="597">
        <v>11</v>
      </c>
      <c r="C10" s="597">
        <v>2</v>
      </c>
      <c r="D10" s="604" t="s">
        <v>834</v>
      </c>
      <c r="E10" s="608" t="s">
        <v>835</v>
      </c>
      <c r="F10" s="606">
        <v>6388500</v>
      </c>
      <c r="G10" s="607">
        <v>184702</v>
      </c>
      <c r="H10" s="602">
        <v>2.8911638099710415</v>
      </c>
    </row>
    <row r="11" spans="1:8">
      <c r="A11" s="597">
        <v>2562</v>
      </c>
      <c r="B11" s="597">
        <v>11</v>
      </c>
      <c r="C11" s="597">
        <v>2</v>
      </c>
      <c r="D11" s="604" t="s">
        <v>832</v>
      </c>
      <c r="E11" s="608" t="s">
        <v>833</v>
      </c>
      <c r="F11" s="606">
        <v>9412300</v>
      </c>
      <c r="G11" s="607">
        <v>227430.1</v>
      </c>
      <c r="H11" s="602">
        <v>2.4163073850174772</v>
      </c>
    </row>
    <row r="12" spans="1:8">
      <c r="A12" s="597">
        <v>2562</v>
      </c>
      <c r="B12" s="597">
        <v>11</v>
      </c>
      <c r="C12" s="597">
        <v>2</v>
      </c>
      <c r="D12" s="604" t="s">
        <v>823</v>
      </c>
      <c r="E12" s="608" t="s">
        <v>824</v>
      </c>
      <c r="F12" s="606">
        <v>5163000</v>
      </c>
      <c r="G12" s="607">
        <v>36320</v>
      </c>
      <c r="H12" s="602">
        <v>0.70346697656401314</v>
      </c>
    </row>
    <row r="13" spans="1:8">
      <c r="A13" s="597">
        <v>2562</v>
      </c>
      <c r="B13" s="597">
        <v>11</v>
      </c>
      <c r="C13" s="597">
        <v>2</v>
      </c>
      <c r="D13" s="604" t="s">
        <v>812</v>
      </c>
      <c r="E13" s="605" t="s">
        <v>820</v>
      </c>
      <c r="F13" s="606">
        <v>1069000</v>
      </c>
      <c r="G13" s="607">
        <v>7481.44</v>
      </c>
      <c r="H13" s="602">
        <v>0.69985406922357341</v>
      </c>
    </row>
    <row r="14" spans="1:8">
      <c r="A14" s="597">
        <v>2562</v>
      </c>
      <c r="B14" s="597">
        <v>11</v>
      </c>
      <c r="C14" s="597">
        <v>2</v>
      </c>
      <c r="D14" s="604" t="s">
        <v>818</v>
      </c>
      <c r="E14" s="608" t="s">
        <v>819</v>
      </c>
      <c r="F14" s="606">
        <v>29458000</v>
      </c>
      <c r="G14" s="607">
        <v>109045.39</v>
      </c>
      <c r="H14" s="602">
        <v>0.37017241496367709</v>
      </c>
    </row>
    <row r="15" spans="1:8">
      <c r="A15" s="597">
        <v>2562</v>
      </c>
      <c r="B15" s="597">
        <v>11</v>
      </c>
      <c r="C15" s="597">
        <v>2</v>
      </c>
      <c r="D15" s="604" t="s">
        <v>821</v>
      </c>
      <c r="E15" s="608" t="s">
        <v>822</v>
      </c>
      <c r="F15" s="606">
        <v>286365400</v>
      </c>
      <c r="G15" s="607">
        <v>53192</v>
      </c>
      <c r="H15" s="602">
        <v>1.8574869729373729E-2</v>
      </c>
    </row>
    <row r="21" spans="7:7">
      <c r="G21" s="60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1"/>
  <dimension ref="A1:H89"/>
  <sheetViews>
    <sheetView topLeftCell="A61" workbookViewId="0">
      <selection activeCell="G2" sqref="G2:H77"/>
    </sheetView>
  </sheetViews>
  <sheetFormatPr defaultRowHeight="12.75"/>
  <cols>
    <col min="1" max="3" width="9.140625" style="596"/>
    <col min="4" max="4" width="12.42578125" style="615" bestFit="1" customWidth="1"/>
    <col min="5" max="5" width="14.5703125" style="596" bestFit="1" customWidth="1"/>
    <col min="6" max="6" width="15" style="596" bestFit="1" customWidth="1"/>
    <col min="7" max="7" width="14" style="596" bestFit="1" customWidth="1"/>
    <col min="8" max="8" width="9.28515625" style="596" bestFit="1" customWidth="1"/>
    <col min="9" max="259" width="9.140625" style="596"/>
    <col min="260" max="260" width="12.42578125" style="596" bestFit="1" customWidth="1"/>
    <col min="261" max="261" width="14.5703125" style="596" bestFit="1" customWidth="1"/>
    <col min="262" max="262" width="15" style="596" bestFit="1" customWidth="1"/>
    <col min="263" max="263" width="14" style="596" bestFit="1" customWidth="1"/>
    <col min="264" max="264" width="9.28515625" style="596" bestFit="1" customWidth="1"/>
    <col min="265" max="515" width="9.140625" style="596"/>
    <col min="516" max="516" width="12.42578125" style="596" bestFit="1" customWidth="1"/>
    <col min="517" max="517" width="14.5703125" style="596" bestFit="1" customWidth="1"/>
    <col min="518" max="518" width="15" style="596" bestFit="1" customWidth="1"/>
    <col min="519" max="519" width="14" style="596" bestFit="1" customWidth="1"/>
    <col min="520" max="520" width="9.28515625" style="596" bestFit="1" customWidth="1"/>
    <col min="521" max="771" width="9.140625" style="596"/>
    <col min="772" max="772" width="12.42578125" style="596" bestFit="1" customWidth="1"/>
    <col min="773" max="773" width="14.5703125" style="596" bestFit="1" customWidth="1"/>
    <col min="774" max="774" width="15" style="596" bestFit="1" customWidth="1"/>
    <col min="775" max="775" width="14" style="596" bestFit="1" customWidth="1"/>
    <col min="776" max="776" width="9.28515625" style="596" bestFit="1" customWidth="1"/>
    <col min="777" max="1027" width="9.140625" style="596"/>
    <col min="1028" max="1028" width="12.42578125" style="596" bestFit="1" customWidth="1"/>
    <col min="1029" max="1029" width="14.5703125" style="596" bestFit="1" customWidth="1"/>
    <col min="1030" max="1030" width="15" style="596" bestFit="1" customWidth="1"/>
    <col min="1031" max="1031" width="14" style="596" bestFit="1" customWidth="1"/>
    <col min="1032" max="1032" width="9.28515625" style="596" bestFit="1" customWidth="1"/>
    <col min="1033" max="1283" width="9.140625" style="596"/>
    <col min="1284" max="1284" width="12.42578125" style="596" bestFit="1" customWidth="1"/>
    <col min="1285" max="1285" width="14.5703125" style="596" bestFit="1" customWidth="1"/>
    <col min="1286" max="1286" width="15" style="596" bestFit="1" customWidth="1"/>
    <col min="1287" max="1287" width="14" style="596" bestFit="1" customWidth="1"/>
    <col min="1288" max="1288" width="9.28515625" style="596" bestFit="1" customWidth="1"/>
    <col min="1289" max="1539" width="9.140625" style="596"/>
    <col min="1540" max="1540" width="12.42578125" style="596" bestFit="1" customWidth="1"/>
    <col min="1541" max="1541" width="14.5703125" style="596" bestFit="1" customWidth="1"/>
    <col min="1542" max="1542" width="15" style="596" bestFit="1" customWidth="1"/>
    <col min="1543" max="1543" width="14" style="596" bestFit="1" customWidth="1"/>
    <col min="1544" max="1544" width="9.28515625" style="596" bestFit="1" customWidth="1"/>
    <col min="1545" max="1795" width="9.140625" style="596"/>
    <col min="1796" max="1796" width="12.42578125" style="596" bestFit="1" customWidth="1"/>
    <col min="1797" max="1797" width="14.5703125" style="596" bestFit="1" customWidth="1"/>
    <col min="1798" max="1798" width="15" style="596" bestFit="1" customWidth="1"/>
    <col min="1799" max="1799" width="14" style="596" bestFit="1" customWidth="1"/>
    <col min="1800" max="1800" width="9.28515625" style="596" bestFit="1" customWidth="1"/>
    <col min="1801" max="2051" width="9.140625" style="596"/>
    <col min="2052" max="2052" width="12.42578125" style="596" bestFit="1" customWidth="1"/>
    <col min="2053" max="2053" width="14.5703125" style="596" bestFit="1" customWidth="1"/>
    <col min="2054" max="2054" width="15" style="596" bestFit="1" customWidth="1"/>
    <col min="2055" max="2055" width="14" style="596" bestFit="1" customWidth="1"/>
    <col min="2056" max="2056" width="9.28515625" style="596" bestFit="1" customWidth="1"/>
    <col min="2057" max="2307" width="9.140625" style="596"/>
    <col min="2308" max="2308" width="12.42578125" style="596" bestFit="1" customWidth="1"/>
    <col min="2309" max="2309" width="14.5703125" style="596" bestFit="1" customWidth="1"/>
    <col min="2310" max="2310" width="15" style="596" bestFit="1" customWidth="1"/>
    <col min="2311" max="2311" width="14" style="596" bestFit="1" customWidth="1"/>
    <col min="2312" max="2312" width="9.28515625" style="596" bestFit="1" customWidth="1"/>
    <col min="2313" max="2563" width="9.140625" style="596"/>
    <col min="2564" max="2564" width="12.42578125" style="596" bestFit="1" customWidth="1"/>
    <col min="2565" max="2565" width="14.5703125" style="596" bestFit="1" customWidth="1"/>
    <col min="2566" max="2566" width="15" style="596" bestFit="1" customWidth="1"/>
    <col min="2567" max="2567" width="14" style="596" bestFit="1" customWidth="1"/>
    <col min="2568" max="2568" width="9.28515625" style="596" bestFit="1" customWidth="1"/>
    <col min="2569" max="2819" width="9.140625" style="596"/>
    <col min="2820" max="2820" width="12.42578125" style="596" bestFit="1" customWidth="1"/>
    <col min="2821" max="2821" width="14.5703125" style="596" bestFit="1" customWidth="1"/>
    <col min="2822" max="2822" width="15" style="596" bestFit="1" customWidth="1"/>
    <col min="2823" max="2823" width="14" style="596" bestFit="1" customWidth="1"/>
    <col min="2824" max="2824" width="9.28515625" style="596" bestFit="1" customWidth="1"/>
    <col min="2825" max="3075" width="9.140625" style="596"/>
    <col min="3076" max="3076" width="12.42578125" style="596" bestFit="1" customWidth="1"/>
    <col min="3077" max="3077" width="14.5703125" style="596" bestFit="1" customWidth="1"/>
    <col min="3078" max="3078" width="15" style="596" bestFit="1" customWidth="1"/>
    <col min="3079" max="3079" width="14" style="596" bestFit="1" customWidth="1"/>
    <col min="3080" max="3080" width="9.28515625" style="596" bestFit="1" customWidth="1"/>
    <col min="3081" max="3331" width="9.140625" style="596"/>
    <col min="3332" max="3332" width="12.42578125" style="596" bestFit="1" customWidth="1"/>
    <col min="3333" max="3333" width="14.5703125" style="596" bestFit="1" customWidth="1"/>
    <col min="3334" max="3334" width="15" style="596" bestFit="1" customWidth="1"/>
    <col min="3335" max="3335" width="14" style="596" bestFit="1" customWidth="1"/>
    <col min="3336" max="3336" width="9.28515625" style="596" bestFit="1" customWidth="1"/>
    <col min="3337" max="3587" width="9.140625" style="596"/>
    <col min="3588" max="3588" width="12.42578125" style="596" bestFit="1" customWidth="1"/>
    <col min="3589" max="3589" width="14.5703125" style="596" bestFit="1" customWidth="1"/>
    <col min="3590" max="3590" width="15" style="596" bestFit="1" customWidth="1"/>
    <col min="3591" max="3591" width="14" style="596" bestFit="1" customWidth="1"/>
    <col min="3592" max="3592" width="9.28515625" style="596" bestFit="1" customWidth="1"/>
    <col min="3593" max="3843" width="9.140625" style="596"/>
    <col min="3844" max="3844" width="12.42578125" style="596" bestFit="1" customWidth="1"/>
    <col min="3845" max="3845" width="14.5703125" style="596" bestFit="1" customWidth="1"/>
    <col min="3846" max="3846" width="15" style="596" bestFit="1" customWidth="1"/>
    <col min="3847" max="3847" width="14" style="596" bestFit="1" customWidth="1"/>
    <col min="3848" max="3848" width="9.28515625" style="596" bestFit="1" customWidth="1"/>
    <col min="3849" max="4099" width="9.140625" style="596"/>
    <col min="4100" max="4100" width="12.42578125" style="596" bestFit="1" customWidth="1"/>
    <col min="4101" max="4101" width="14.5703125" style="596" bestFit="1" customWidth="1"/>
    <col min="4102" max="4102" width="15" style="596" bestFit="1" customWidth="1"/>
    <col min="4103" max="4103" width="14" style="596" bestFit="1" customWidth="1"/>
    <col min="4104" max="4104" width="9.28515625" style="596" bestFit="1" customWidth="1"/>
    <col min="4105" max="4355" width="9.140625" style="596"/>
    <col min="4356" max="4356" width="12.42578125" style="596" bestFit="1" customWidth="1"/>
    <col min="4357" max="4357" width="14.5703125" style="596" bestFit="1" customWidth="1"/>
    <col min="4358" max="4358" width="15" style="596" bestFit="1" customWidth="1"/>
    <col min="4359" max="4359" width="14" style="596" bestFit="1" customWidth="1"/>
    <col min="4360" max="4360" width="9.28515625" style="596" bestFit="1" customWidth="1"/>
    <col min="4361" max="4611" width="9.140625" style="596"/>
    <col min="4612" max="4612" width="12.42578125" style="596" bestFit="1" customWidth="1"/>
    <col min="4613" max="4613" width="14.5703125" style="596" bestFit="1" customWidth="1"/>
    <col min="4614" max="4614" width="15" style="596" bestFit="1" customWidth="1"/>
    <col min="4615" max="4615" width="14" style="596" bestFit="1" customWidth="1"/>
    <col min="4616" max="4616" width="9.28515625" style="596" bestFit="1" customWidth="1"/>
    <col min="4617" max="4867" width="9.140625" style="596"/>
    <col min="4868" max="4868" width="12.42578125" style="596" bestFit="1" customWidth="1"/>
    <col min="4869" max="4869" width="14.5703125" style="596" bestFit="1" customWidth="1"/>
    <col min="4870" max="4870" width="15" style="596" bestFit="1" customWidth="1"/>
    <col min="4871" max="4871" width="14" style="596" bestFit="1" customWidth="1"/>
    <col min="4872" max="4872" width="9.28515625" style="596" bestFit="1" customWidth="1"/>
    <col min="4873" max="5123" width="9.140625" style="596"/>
    <col min="5124" max="5124" width="12.42578125" style="596" bestFit="1" customWidth="1"/>
    <col min="5125" max="5125" width="14.5703125" style="596" bestFit="1" customWidth="1"/>
    <col min="5126" max="5126" width="15" style="596" bestFit="1" customWidth="1"/>
    <col min="5127" max="5127" width="14" style="596" bestFit="1" customWidth="1"/>
    <col min="5128" max="5128" width="9.28515625" style="596" bestFit="1" customWidth="1"/>
    <col min="5129" max="5379" width="9.140625" style="596"/>
    <col min="5380" max="5380" width="12.42578125" style="596" bestFit="1" customWidth="1"/>
    <col min="5381" max="5381" width="14.5703125" style="596" bestFit="1" customWidth="1"/>
    <col min="5382" max="5382" width="15" style="596" bestFit="1" customWidth="1"/>
    <col min="5383" max="5383" width="14" style="596" bestFit="1" customWidth="1"/>
    <col min="5384" max="5384" width="9.28515625" style="596" bestFit="1" customWidth="1"/>
    <col min="5385" max="5635" width="9.140625" style="596"/>
    <col min="5636" max="5636" width="12.42578125" style="596" bestFit="1" customWidth="1"/>
    <col min="5637" max="5637" width="14.5703125" style="596" bestFit="1" customWidth="1"/>
    <col min="5638" max="5638" width="15" style="596" bestFit="1" customWidth="1"/>
    <col min="5639" max="5639" width="14" style="596" bestFit="1" customWidth="1"/>
    <col min="5640" max="5640" width="9.28515625" style="596" bestFit="1" customWidth="1"/>
    <col min="5641" max="5891" width="9.140625" style="596"/>
    <col min="5892" max="5892" width="12.42578125" style="596" bestFit="1" customWidth="1"/>
    <col min="5893" max="5893" width="14.5703125" style="596" bestFit="1" customWidth="1"/>
    <col min="5894" max="5894" width="15" style="596" bestFit="1" customWidth="1"/>
    <col min="5895" max="5895" width="14" style="596" bestFit="1" customWidth="1"/>
    <col min="5896" max="5896" width="9.28515625" style="596" bestFit="1" customWidth="1"/>
    <col min="5897" max="6147" width="9.140625" style="596"/>
    <col min="6148" max="6148" width="12.42578125" style="596" bestFit="1" customWidth="1"/>
    <col min="6149" max="6149" width="14.5703125" style="596" bestFit="1" customWidth="1"/>
    <col min="6150" max="6150" width="15" style="596" bestFit="1" customWidth="1"/>
    <col min="6151" max="6151" width="14" style="596" bestFit="1" customWidth="1"/>
    <col min="6152" max="6152" width="9.28515625" style="596" bestFit="1" customWidth="1"/>
    <col min="6153" max="6403" width="9.140625" style="596"/>
    <col min="6404" max="6404" width="12.42578125" style="596" bestFit="1" customWidth="1"/>
    <col min="6405" max="6405" width="14.5703125" style="596" bestFit="1" customWidth="1"/>
    <col min="6406" max="6406" width="15" style="596" bestFit="1" customWidth="1"/>
    <col min="6407" max="6407" width="14" style="596" bestFit="1" customWidth="1"/>
    <col min="6408" max="6408" width="9.28515625" style="596" bestFit="1" customWidth="1"/>
    <col min="6409" max="6659" width="9.140625" style="596"/>
    <col min="6660" max="6660" width="12.42578125" style="596" bestFit="1" customWidth="1"/>
    <col min="6661" max="6661" width="14.5703125" style="596" bestFit="1" customWidth="1"/>
    <col min="6662" max="6662" width="15" style="596" bestFit="1" customWidth="1"/>
    <col min="6663" max="6663" width="14" style="596" bestFit="1" customWidth="1"/>
    <col min="6664" max="6664" width="9.28515625" style="596" bestFit="1" customWidth="1"/>
    <col min="6665" max="6915" width="9.140625" style="596"/>
    <col min="6916" max="6916" width="12.42578125" style="596" bestFit="1" customWidth="1"/>
    <col min="6917" max="6917" width="14.5703125" style="596" bestFit="1" customWidth="1"/>
    <col min="6918" max="6918" width="15" style="596" bestFit="1" customWidth="1"/>
    <col min="6919" max="6919" width="14" style="596" bestFit="1" customWidth="1"/>
    <col min="6920" max="6920" width="9.28515625" style="596" bestFit="1" customWidth="1"/>
    <col min="6921" max="7171" width="9.140625" style="596"/>
    <col min="7172" max="7172" width="12.42578125" style="596" bestFit="1" customWidth="1"/>
    <col min="7173" max="7173" width="14.5703125" style="596" bestFit="1" customWidth="1"/>
    <col min="7174" max="7174" width="15" style="596" bestFit="1" customWidth="1"/>
    <col min="7175" max="7175" width="14" style="596" bestFit="1" customWidth="1"/>
    <col min="7176" max="7176" width="9.28515625" style="596" bestFit="1" customWidth="1"/>
    <col min="7177" max="7427" width="9.140625" style="596"/>
    <col min="7428" max="7428" width="12.42578125" style="596" bestFit="1" customWidth="1"/>
    <col min="7429" max="7429" width="14.5703125" style="596" bestFit="1" customWidth="1"/>
    <col min="7430" max="7430" width="15" style="596" bestFit="1" customWidth="1"/>
    <col min="7431" max="7431" width="14" style="596" bestFit="1" customWidth="1"/>
    <col min="7432" max="7432" width="9.28515625" style="596" bestFit="1" customWidth="1"/>
    <col min="7433" max="7683" width="9.140625" style="596"/>
    <col min="7684" max="7684" width="12.42578125" style="596" bestFit="1" customWidth="1"/>
    <col min="7685" max="7685" width="14.5703125" style="596" bestFit="1" customWidth="1"/>
    <col min="7686" max="7686" width="15" style="596" bestFit="1" customWidth="1"/>
    <col min="7687" max="7687" width="14" style="596" bestFit="1" customWidth="1"/>
    <col min="7688" max="7688" width="9.28515625" style="596" bestFit="1" customWidth="1"/>
    <col min="7689" max="7939" width="9.140625" style="596"/>
    <col min="7940" max="7940" width="12.42578125" style="596" bestFit="1" customWidth="1"/>
    <col min="7941" max="7941" width="14.5703125" style="596" bestFit="1" customWidth="1"/>
    <col min="7942" max="7942" width="15" style="596" bestFit="1" customWidth="1"/>
    <col min="7943" max="7943" width="14" style="596" bestFit="1" customWidth="1"/>
    <col min="7944" max="7944" width="9.28515625" style="596" bestFit="1" customWidth="1"/>
    <col min="7945" max="8195" width="9.140625" style="596"/>
    <col min="8196" max="8196" width="12.42578125" style="596" bestFit="1" customWidth="1"/>
    <col min="8197" max="8197" width="14.5703125" style="596" bestFit="1" customWidth="1"/>
    <col min="8198" max="8198" width="15" style="596" bestFit="1" customWidth="1"/>
    <col min="8199" max="8199" width="14" style="596" bestFit="1" customWidth="1"/>
    <col min="8200" max="8200" width="9.28515625" style="596" bestFit="1" customWidth="1"/>
    <col min="8201" max="8451" width="9.140625" style="596"/>
    <col min="8452" max="8452" width="12.42578125" style="596" bestFit="1" customWidth="1"/>
    <col min="8453" max="8453" width="14.5703125" style="596" bestFit="1" customWidth="1"/>
    <col min="8454" max="8454" width="15" style="596" bestFit="1" customWidth="1"/>
    <col min="8455" max="8455" width="14" style="596" bestFit="1" customWidth="1"/>
    <col min="8456" max="8456" width="9.28515625" style="596" bestFit="1" customWidth="1"/>
    <col min="8457" max="8707" width="9.140625" style="596"/>
    <col min="8708" max="8708" width="12.42578125" style="596" bestFit="1" customWidth="1"/>
    <col min="8709" max="8709" width="14.5703125" style="596" bestFit="1" customWidth="1"/>
    <col min="8710" max="8710" width="15" style="596" bestFit="1" customWidth="1"/>
    <col min="8711" max="8711" width="14" style="596" bestFit="1" customWidth="1"/>
    <col min="8712" max="8712" width="9.28515625" style="596" bestFit="1" customWidth="1"/>
    <col min="8713" max="8963" width="9.140625" style="596"/>
    <col min="8964" max="8964" width="12.42578125" style="596" bestFit="1" customWidth="1"/>
    <col min="8965" max="8965" width="14.5703125" style="596" bestFit="1" customWidth="1"/>
    <col min="8966" max="8966" width="15" style="596" bestFit="1" customWidth="1"/>
    <col min="8967" max="8967" width="14" style="596" bestFit="1" customWidth="1"/>
    <col min="8968" max="8968" width="9.28515625" style="596" bestFit="1" customWidth="1"/>
    <col min="8969" max="9219" width="9.140625" style="596"/>
    <col min="9220" max="9220" width="12.42578125" style="596" bestFit="1" customWidth="1"/>
    <col min="9221" max="9221" width="14.5703125" style="596" bestFit="1" customWidth="1"/>
    <col min="9222" max="9222" width="15" style="596" bestFit="1" customWidth="1"/>
    <col min="9223" max="9223" width="14" style="596" bestFit="1" customWidth="1"/>
    <col min="9224" max="9224" width="9.28515625" style="596" bestFit="1" customWidth="1"/>
    <col min="9225" max="9475" width="9.140625" style="596"/>
    <col min="9476" max="9476" width="12.42578125" style="596" bestFit="1" customWidth="1"/>
    <col min="9477" max="9477" width="14.5703125" style="596" bestFit="1" customWidth="1"/>
    <col min="9478" max="9478" width="15" style="596" bestFit="1" customWidth="1"/>
    <col min="9479" max="9479" width="14" style="596" bestFit="1" customWidth="1"/>
    <col min="9480" max="9480" width="9.28515625" style="596" bestFit="1" customWidth="1"/>
    <col min="9481" max="9731" width="9.140625" style="596"/>
    <col min="9732" max="9732" width="12.42578125" style="596" bestFit="1" customWidth="1"/>
    <col min="9733" max="9733" width="14.5703125" style="596" bestFit="1" customWidth="1"/>
    <col min="9734" max="9734" width="15" style="596" bestFit="1" customWidth="1"/>
    <col min="9735" max="9735" width="14" style="596" bestFit="1" customWidth="1"/>
    <col min="9736" max="9736" width="9.28515625" style="596" bestFit="1" customWidth="1"/>
    <col min="9737" max="9987" width="9.140625" style="596"/>
    <col min="9988" max="9988" width="12.42578125" style="596" bestFit="1" customWidth="1"/>
    <col min="9989" max="9989" width="14.5703125" style="596" bestFit="1" customWidth="1"/>
    <col min="9990" max="9990" width="15" style="596" bestFit="1" customWidth="1"/>
    <col min="9991" max="9991" width="14" style="596" bestFit="1" customWidth="1"/>
    <col min="9992" max="9992" width="9.28515625" style="596" bestFit="1" customWidth="1"/>
    <col min="9993" max="10243" width="9.140625" style="596"/>
    <col min="10244" max="10244" width="12.42578125" style="596" bestFit="1" customWidth="1"/>
    <col min="10245" max="10245" width="14.5703125" style="596" bestFit="1" customWidth="1"/>
    <col min="10246" max="10246" width="15" style="596" bestFit="1" customWidth="1"/>
    <col min="10247" max="10247" width="14" style="596" bestFit="1" customWidth="1"/>
    <col min="10248" max="10248" width="9.28515625" style="596" bestFit="1" customWidth="1"/>
    <col min="10249" max="10499" width="9.140625" style="596"/>
    <col min="10500" max="10500" width="12.42578125" style="596" bestFit="1" customWidth="1"/>
    <col min="10501" max="10501" width="14.5703125" style="596" bestFit="1" customWidth="1"/>
    <col min="10502" max="10502" width="15" style="596" bestFit="1" customWidth="1"/>
    <col min="10503" max="10503" width="14" style="596" bestFit="1" customWidth="1"/>
    <col min="10504" max="10504" width="9.28515625" style="596" bestFit="1" customWidth="1"/>
    <col min="10505" max="10755" width="9.140625" style="596"/>
    <col min="10756" max="10756" width="12.42578125" style="596" bestFit="1" customWidth="1"/>
    <col min="10757" max="10757" width="14.5703125" style="596" bestFit="1" customWidth="1"/>
    <col min="10758" max="10758" width="15" style="596" bestFit="1" customWidth="1"/>
    <col min="10759" max="10759" width="14" style="596" bestFit="1" customWidth="1"/>
    <col min="10760" max="10760" width="9.28515625" style="596" bestFit="1" customWidth="1"/>
    <col min="10761" max="11011" width="9.140625" style="596"/>
    <col min="11012" max="11012" width="12.42578125" style="596" bestFit="1" customWidth="1"/>
    <col min="11013" max="11013" width="14.5703125" style="596" bestFit="1" customWidth="1"/>
    <col min="11014" max="11014" width="15" style="596" bestFit="1" customWidth="1"/>
    <col min="11015" max="11015" width="14" style="596" bestFit="1" customWidth="1"/>
    <col min="11016" max="11016" width="9.28515625" style="596" bestFit="1" customWidth="1"/>
    <col min="11017" max="11267" width="9.140625" style="596"/>
    <col min="11268" max="11268" width="12.42578125" style="596" bestFit="1" customWidth="1"/>
    <col min="11269" max="11269" width="14.5703125" style="596" bestFit="1" customWidth="1"/>
    <col min="11270" max="11270" width="15" style="596" bestFit="1" customWidth="1"/>
    <col min="11271" max="11271" width="14" style="596" bestFit="1" customWidth="1"/>
    <col min="11272" max="11272" width="9.28515625" style="596" bestFit="1" customWidth="1"/>
    <col min="11273" max="11523" width="9.140625" style="596"/>
    <col min="11524" max="11524" width="12.42578125" style="596" bestFit="1" customWidth="1"/>
    <col min="11525" max="11525" width="14.5703125" style="596" bestFit="1" customWidth="1"/>
    <col min="11526" max="11526" width="15" style="596" bestFit="1" customWidth="1"/>
    <col min="11527" max="11527" width="14" style="596" bestFit="1" customWidth="1"/>
    <col min="11528" max="11528" width="9.28515625" style="596" bestFit="1" customWidth="1"/>
    <col min="11529" max="11779" width="9.140625" style="596"/>
    <col min="11780" max="11780" width="12.42578125" style="596" bestFit="1" customWidth="1"/>
    <col min="11781" max="11781" width="14.5703125" style="596" bestFit="1" customWidth="1"/>
    <col min="11782" max="11782" width="15" style="596" bestFit="1" customWidth="1"/>
    <col min="11783" max="11783" width="14" style="596" bestFit="1" customWidth="1"/>
    <col min="11784" max="11784" width="9.28515625" style="596" bestFit="1" customWidth="1"/>
    <col min="11785" max="12035" width="9.140625" style="596"/>
    <col min="12036" max="12036" width="12.42578125" style="596" bestFit="1" customWidth="1"/>
    <col min="12037" max="12037" width="14.5703125" style="596" bestFit="1" customWidth="1"/>
    <col min="12038" max="12038" width="15" style="596" bestFit="1" customWidth="1"/>
    <col min="12039" max="12039" width="14" style="596" bestFit="1" customWidth="1"/>
    <col min="12040" max="12040" width="9.28515625" style="596" bestFit="1" customWidth="1"/>
    <col min="12041" max="12291" width="9.140625" style="596"/>
    <col min="12292" max="12292" width="12.42578125" style="596" bestFit="1" customWidth="1"/>
    <col min="12293" max="12293" width="14.5703125" style="596" bestFit="1" customWidth="1"/>
    <col min="12294" max="12294" width="15" style="596" bestFit="1" customWidth="1"/>
    <col min="12295" max="12295" width="14" style="596" bestFit="1" customWidth="1"/>
    <col min="12296" max="12296" width="9.28515625" style="596" bestFit="1" customWidth="1"/>
    <col min="12297" max="12547" width="9.140625" style="596"/>
    <col min="12548" max="12548" width="12.42578125" style="596" bestFit="1" customWidth="1"/>
    <col min="12549" max="12549" width="14.5703125" style="596" bestFit="1" customWidth="1"/>
    <col min="12550" max="12550" width="15" style="596" bestFit="1" customWidth="1"/>
    <col min="12551" max="12551" width="14" style="596" bestFit="1" customWidth="1"/>
    <col min="12552" max="12552" width="9.28515625" style="596" bestFit="1" customWidth="1"/>
    <col min="12553" max="12803" width="9.140625" style="596"/>
    <col min="12804" max="12804" width="12.42578125" style="596" bestFit="1" customWidth="1"/>
    <col min="12805" max="12805" width="14.5703125" style="596" bestFit="1" customWidth="1"/>
    <col min="12806" max="12806" width="15" style="596" bestFit="1" customWidth="1"/>
    <col min="12807" max="12807" width="14" style="596" bestFit="1" customWidth="1"/>
    <col min="12808" max="12808" width="9.28515625" style="596" bestFit="1" customWidth="1"/>
    <col min="12809" max="13059" width="9.140625" style="596"/>
    <col min="13060" max="13060" width="12.42578125" style="596" bestFit="1" customWidth="1"/>
    <col min="13061" max="13061" width="14.5703125" style="596" bestFit="1" customWidth="1"/>
    <col min="13062" max="13062" width="15" style="596" bestFit="1" customWidth="1"/>
    <col min="13063" max="13063" width="14" style="596" bestFit="1" customWidth="1"/>
    <col min="13064" max="13064" width="9.28515625" style="596" bestFit="1" customWidth="1"/>
    <col min="13065" max="13315" width="9.140625" style="596"/>
    <col min="13316" max="13316" width="12.42578125" style="596" bestFit="1" customWidth="1"/>
    <col min="13317" max="13317" width="14.5703125" style="596" bestFit="1" customWidth="1"/>
    <col min="13318" max="13318" width="15" style="596" bestFit="1" customWidth="1"/>
    <col min="13319" max="13319" width="14" style="596" bestFit="1" customWidth="1"/>
    <col min="13320" max="13320" width="9.28515625" style="596" bestFit="1" customWidth="1"/>
    <col min="13321" max="13571" width="9.140625" style="596"/>
    <col min="13572" max="13572" width="12.42578125" style="596" bestFit="1" customWidth="1"/>
    <col min="13573" max="13573" width="14.5703125" style="596" bestFit="1" customWidth="1"/>
    <col min="13574" max="13574" width="15" style="596" bestFit="1" customWidth="1"/>
    <col min="13575" max="13575" width="14" style="596" bestFit="1" customWidth="1"/>
    <col min="13576" max="13576" width="9.28515625" style="596" bestFit="1" customWidth="1"/>
    <col min="13577" max="13827" width="9.140625" style="596"/>
    <col min="13828" max="13828" width="12.42578125" style="596" bestFit="1" customWidth="1"/>
    <col min="13829" max="13829" width="14.5703125" style="596" bestFit="1" customWidth="1"/>
    <col min="13830" max="13830" width="15" style="596" bestFit="1" customWidth="1"/>
    <col min="13831" max="13831" width="14" style="596" bestFit="1" customWidth="1"/>
    <col min="13832" max="13832" width="9.28515625" style="596" bestFit="1" customWidth="1"/>
    <col min="13833" max="14083" width="9.140625" style="596"/>
    <col min="14084" max="14084" width="12.42578125" style="596" bestFit="1" customWidth="1"/>
    <col min="14085" max="14085" width="14.5703125" style="596" bestFit="1" customWidth="1"/>
    <col min="14086" max="14086" width="15" style="596" bestFit="1" customWidth="1"/>
    <col min="14087" max="14087" width="14" style="596" bestFit="1" customWidth="1"/>
    <col min="14088" max="14088" width="9.28515625" style="596" bestFit="1" customWidth="1"/>
    <col min="14089" max="14339" width="9.140625" style="596"/>
    <col min="14340" max="14340" width="12.42578125" style="596" bestFit="1" customWidth="1"/>
    <col min="14341" max="14341" width="14.5703125" style="596" bestFit="1" customWidth="1"/>
    <col min="14342" max="14342" width="15" style="596" bestFit="1" customWidth="1"/>
    <col min="14343" max="14343" width="14" style="596" bestFit="1" customWidth="1"/>
    <col min="14344" max="14344" width="9.28515625" style="596" bestFit="1" customWidth="1"/>
    <col min="14345" max="14595" width="9.140625" style="596"/>
    <col min="14596" max="14596" width="12.42578125" style="596" bestFit="1" customWidth="1"/>
    <col min="14597" max="14597" width="14.5703125" style="596" bestFit="1" customWidth="1"/>
    <col min="14598" max="14598" width="15" style="596" bestFit="1" customWidth="1"/>
    <col min="14599" max="14599" width="14" style="596" bestFit="1" customWidth="1"/>
    <col min="14600" max="14600" width="9.28515625" style="596" bestFit="1" customWidth="1"/>
    <col min="14601" max="14851" width="9.140625" style="596"/>
    <col min="14852" max="14852" width="12.42578125" style="596" bestFit="1" customWidth="1"/>
    <col min="14853" max="14853" width="14.5703125" style="596" bestFit="1" customWidth="1"/>
    <col min="14854" max="14854" width="15" style="596" bestFit="1" customWidth="1"/>
    <col min="14855" max="14855" width="14" style="596" bestFit="1" customWidth="1"/>
    <col min="14856" max="14856" width="9.28515625" style="596" bestFit="1" customWidth="1"/>
    <col min="14857" max="15107" width="9.140625" style="596"/>
    <col min="15108" max="15108" width="12.42578125" style="596" bestFit="1" customWidth="1"/>
    <col min="15109" max="15109" width="14.5703125" style="596" bestFit="1" customWidth="1"/>
    <col min="15110" max="15110" width="15" style="596" bestFit="1" customWidth="1"/>
    <col min="15111" max="15111" width="14" style="596" bestFit="1" customWidth="1"/>
    <col min="15112" max="15112" width="9.28515625" style="596" bestFit="1" customWidth="1"/>
    <col min="15113" max="15363" width="9.140625" style="596"/>
    <col min="15364" max="15364" width="12.42578125" style="596" bestFit="1" customWidth="1"/>
    <col min="15365" max="15365" width="14.5703125" style="596" bestFit="1" customWidth="1"/>
    <col min="15366" max="15366" width="15" style="596" bestFit="1" customWidth="1"/>
    <col min="15367" max="15367" width="14" style="596" bestFit="1" customWidth="1"/>
    <col min="15368" max="15368" width="9.28515625" style="596" bestFit="1" customWidth="1"/>
    <col min="15369" max="15619" width="9.140625" style="596"/>
    <col min="15620" max="15620" width="12.42578125" style="596" bestFit="1" customWidth="1"/>
    <col min="15621" max="15621" width="14.5703125" style="596" bestFit="1" customWidth="1"/>
    <col min="15622" max="15622" width="15" style="596" bestFit="1" customWidth="1"/>
    <col min="15623" max="15623" width="14" style="596" bestFit="1" customWidth="1"/>
    <col min="15624" max="15624" width="9.28515625" style="596" bestFit="1" customWidth="1"/>
    <col min="15625" max="15875" width="9.140625" style="596"/>
    <col min="15876" max="15876" width="12.42578125" style="596" bestFit="1" customWidth="1"/>
    <col min="15877" max="15877" width="14.5703125" style="596" bestFit="1" customWidth="1"/>
    <col min="15878" max="15878" width="15" style="596" bestFit="1" customWidth="1"/>
    <col min="15879" max="15879" width="14" style="596" bestFit="1" customWidth="1"/>
    <col min="15880" max="15880" width="9.28515625" style="596" bestFit="1" customWidth="1"/>
    <col min="15881" max="16131" width="9.140625" style="596"/>
    <col min="16132" max="16132" width="12.42578125" style="596" bestFit="1" customWidth="1"/>
    <col min="16133" max="16133" width="14.5703125" style="596" bestFit="1" customWidth="1"/>
    <col min="16134" max="16134" width="15" style="596" bestFit="1" customWidth="1"/>
    <col min="16135" max="16135" width="14" style="596" bestFit="1" customWidth="1"/>
    <col min="16136" max="16136" width="9.28515625" style="596" bestFit="1" customWidth="1"/>
    <col min="16137" max="16384" width="9.140625" style="596"/>
  </cols>
  <sheetData>
    <row r="1" spans="1:8">
      <c r="A1" s="609" t="s">
        <v>852</v>
      </c>
      <c r="B1" s="609" t="s">
        <v>853</v>
      </c>
      <c r="C1" s="609" t="s">
        <v>854</v>
      </c>
      <c r="D1" s="609" t="s">
        <v>855</v>
      </c>
      <c r="E1" s="609" t="s">
        <v>856</v>
      </c>
      <c r="F1" s="609" t="s">
        <v>857</v>
      </c>
      <c r="G1" s="609" t="s">
        <v>858</v>
      </c>
      <c r="H1" s="609" t="s">
        <v>859</v>
      </c>
    </row>
    <row r="2" spans="1:8" s="603" customFormat="1">
      <c r="A2" s="603">
        <v>2562</v>
      </c>
      <c r="B2" s="603">
        <v>11</v>
      </c>
      <c r="C2" s="603">
        <v>2</v>
      </c>
      <c r="D2" s="610">
        <v>1500400074</v>
      </c>
      <c r="E2" s="611" t="s">
        <v>571</v>
      </c>
      <c r="F2" s="612">
        <v>15578876.52</v>
      </c>
      <c r="G2" s="613">
        <v>6815764.6100000003</v>
      </c>
      <c r="H2" s="614">
        <v>43.750039364199289</v>
      </c>
    </row>
    <row r="3" spans="1:8">
      <c r="A3" s="603">
        <v>2562</v>
      </c>
      <c r="B3" s="603">
        <v>11</v>
      </c>
      <c r="C3" s="603">
        <v>2</v>
      </c>
      <c r="D3" s="615">
        <v>1500400075</v>
      </c>
      <c r="E3" s="596" t="s">
        <v>572</v>
      </c>
      <c r="F3" s="616">
        <v>14429144.029999999</v>
      </c>
      <c r="G3" s="601">
        <v>2818073</v>
      </c>
      <c r="H3" s="602">
        <v>19.530423940192662</v>
      </c>
    </row>
    <row r="4" spans="1:8">
      <c r="A4" s="603">
        <v>2562</v>
      </c>
      <c r="B4" s="603">
        <v>11</v>
      </c>
      <c r="C4" s="603">
        <v>2</v>
      </c>
      <c r="D4" s="615">
        <v>1500400098</v>
      </c>
      <c r="E4" s="596" t="s">
        <v>585</v>
      </c>
      <c r="F4" s="616">
        <v>17627693.27</v>
      </c>
      <c r="G4" s="601">
        <v>3024508.3</v>
      </c>
      <c r="H4" s="602">
        <v>17.157708916726573</v>
      </c>
    </row>
    <row r="5" spans="1:8">
      <c r="A5" s="603">
        <v>2562</v>
      </c>
      <c r="B5" s="603">
        <v>11</v>
      </c>
      <c r="C5" s="603">
        <v>2</v>
      </c>
      <c r="D5" s="615">
        <v>1500400076</v>
      </c>
      <c r="E5" s="596" t="s">
        <v>573</v>
      </c>
      <c r="F5" s="616">
        <v>18940246.890000001</v>
      </c>
      <c r="G5" s="601">
        <v>3073625.58</v>
      </c>
      <c r="H5" s="602">
        <v>16.228012221017039</v>
      </c>
    </row>
    <row r="6" spans="1:8">
      <c r="A6" s="603">
        <v>2562</v>
      </c>
      <c r="B6" s="603">
        <v>11</v>
      </c>
      <c r="C6" s="603">
        <v>2</v>
      </c>
      <c r="D6" s="615">
        <v>1500400082</v>
      </c>
      <c r="E6" s="596" t="s">
        <v>575</v>
      </c>
      <c r="F6" s="616">
        <v>4205427.5599999996</v>
      </c>
      <c r="G6" s="601">
        <v>668565.81999999995</v>
      </c>
      <c r="H6" s="602">
        <v>15.897689603765283</v>
      </c>
    </row>
    <row r="7" spans="1:8">
      <c r="A7" s="603">
        <v>2562</v>
      </c>
      <c r="B7" s="603">
        <v>11</v>
      </c>
      <c r="C7" s="603">
        <v>2</v>
      </c>
      <c r="D7" s="615">
        <v>1500400028</v>
      </c>
      <c r="E7" s="596" t="s">
        <v>541</v>
      </c>
      <c r="F7" s="616">
        <v>8890000</v>
      </c>
      <c r="G7" s="601">
        <v>1222041.6399999999</v>
      </c>
      <c r="H7" s="602">
        <v>13.746250168728908</v>
      </c>
    </row>
    <row r="8" spans="1:8">
      <c r="A8" s="603">
        <v>2562</v>
      </c>
      <c r="B8" s="603">
        <v>11</v>
      </c>
      <c r="C8" s="603">
        <v>2</v>
      </c>
      <c r="D8" s="615">
        <v>1500400029</v>
      </c>
      <c r="E8" s="596" t="s">
        <v>783</v>
      </c>
      <c r="F8" s="616">
        <v>16413894.82</v>
      </c>
      <c r="G8" s="601">
        <v>2260544.88</v>
      </c>
      <c r="H8" s="602">
        <v>13.772141863889438</v>
      </c>
    </row>
    <row r="9" spans="1:8">
      <c r="A9" s="603">
        <v>2562</v>
      </c>
      <c r="B9" s="603">
        <v>11</v>
      </c>
      <c r="C9" s="603">
        <v>2</v>
      </c>
      <c r="D9" s="615">
        <v>1500400026</v>
      </c>
      <c r="E9" s="596" t="s">
        <v>782</v>
      </c>
      <c r="F9" s="616">
        <v>6030825.54</v>
      </c>
      <c r="G9" s="601">
        <v>738880.35</v>
      </c>
      <c r="H9" s="602">
        <v>12.251728144004643</v>
      </c>
    </row>
    <row r="10" spans="1:8">
      <c r="A10" s="603">
        <v>2562</v>
      </c>
      <c r="B10" s="603">
        <v>11</v>
      </c>
      <c r="C10" s="603">
        <v>2</v>
      </c>
      <c r="D10" s="615">
        <v>1500400051</v>
      </c>
      <c r="E10" s="596" t="s">
        <v>792</v>
      </c>
      <c r="F10" s="616">
        <v>27893140</v>
      </c>
      <c r="G10" s="601">
        <v>3291721.1</v>
      </c>
      <c r="H10" s="602">
        <v>11.801185165958369</v>
      </c>
    </row>
    <row r="11" spans="1:8">
      <c r="A11" s="603">
        <v>2562</v>
      </c>
      <c r="B11" s="603">
        <v>11</v>
      </c>
      <c r="C11" s="603">
        <v>2</v>
      </c>
      <c r="D11" s="615">
        <v>1500400089</v>
      </c>
      <c r="E11" s="596" t="s">
        <v>801</v>
      </c>
      <c r="F11" s="616">
        <v>17598420</v>
      </c>
      <c r="G11" s="601">
        <v>1972418.95</v>
      </c>
      <c r="H11" s="602">
        <v>11.207932018897152</v>
      </c>
    </row>
    <row r="12" spans="1:8">
      <c r="A12" s="603">
        <v>2562</v>
      </c>
      <c r="B12" s="603">
        <v>11</v>
      </c>
      <c r="C12" s="603">
        <v>2</v>
      </c>
      <c r="D12" s="615">
        <v>1500400066</v>
      </c>
      <c r="E12" s="596" t="s">
        <v>564</v>
      </c>
      <c r="F12" s="616">
        <v>13345033.609999999</v>
      </c>
      <c r="G12" s="601">
        <v>1453955.67</v>
      </c>
      <c r="H12" s="602">
        <v>10.895106842672089</v>
      </c>
    </row>
    <row r="13" spans="1:8">
      <c r="A13" s="603">
        <v>2562</v>
      </c>
      <c r="B13" s="603">
        <v>11</v>
      </c>
      <c r="C13" s="603">
        <v>2</v>
      </c>
      <c r="D13" s="615">
        <v>1500400039</v>
      </c>
      <c r="E13" s="596" t="s">
        <v>546</v>
      </c>
      <c r="F13" s="616">
        <v>5432367.5599999996</v>
      </c>
      <c r="G13" s="601">
        <v>530074.81000000006</v>
      </c>
      <c r="H13" s="602">
        <v>9.7577125285683017</v>
      </c>
    </row>
    <row r="14" spans="1:8">
      <c r="A14" s="603">
        <v>2562</v>
      </c>
      <c r="B14" s="603">
        <v>11</v>
      </c>
      <c r="C14" s="603">
        <v>2</v>
      </c>
      <c r="D14" s="615">
        <v>1500400056</v>
      </c>
      <c r="E14" s="596" t="s">
        <v>559</v>
      </c>
      <c r="F14" s="616">
        <v>25719171.760000002</v>
      </c>
      <c r="G14" s="601">
        <v>2472312.7000000002</v>
      </c>
      <c r="H14" s="602">
        <v>9.6127228476505184</v>
      </c>
    </row>
    <row r="15" spans="1:8">
      <c r="A15" s="603">
        <v>2562</v>
      </c>
      <c r="B15" s="603">
        <v>11</v>
      </c>
      <c r="C15" s="603">
        <v>2</v>
      </c>
      <c r="D15" s="615">
        <v>1500400033</v>
      </c>
      <c r="E15" s="596" t="s">
        <v>786</v>
      </c>
      <c r="F15" s="616">
        <v>11892809.24</v>
      </c>
      <c r="G15" s="601">
        <v>1146317.1100000001</v>
      </c>
      <c r="H15" s="602">
        <v>9.638741250002596</v>
      </c>
    </row>
    <row r="16" spans="1:8">
      <c r="A16" s="603">
        <v>2562</v>
      </c>
      <c r="B16" s="603">
        <v>11</v>
      </c>
      <c r="C16" s="603">
        <v>2</v>
      </c>
      <c r="D16" s="615">
        <v>1500400046</v>
      </c>
      <c r="E16" s="596" t="s">
        <v>552</v>
      </c>
      <c r="F16" s="616">
        <v>11095340</v>
      </c>
      <c r="G16" s="601">
        <v>1001982.24</v>
      </c>
      <c r="H16" s="602">
        <v>9.0306582763574621</v>
      </c>
    </row>
    <row r="17" spans="1:8">
      <c r="A17" s="603">
        <v>2562</v>
      </c>
      <c r="B17" s="603">
        <v>11</v>
      </c>
      <c r="C17" s="603">
        <v>2</v>
      </c>
      <c r="D17" s="615">
        <v>1500400091</v>
      </c>
      <c r="E17" s="596" t="s">
        <v>580</v>
      </c>
      <c r="F17" s="616">
        <v>11311553.609999999</v>
      </c>
      <c r="G17" s="601">
        <v>956231.37</v>
      </c>
      <c r="H17" s="602">
        <v>8.4535812052788391</v>
      </c>
    </row>
    <row r="18" spans="1:8">
      <c r="A18" s="603">
        <v>2562</v>
      </c>
      <c r="B18" s="603">
        <v>11</v>
      </c>
      <c r="C18" s="603">
        <v>2</v>
      </c>
      <c r="D18" s="615">
        <v>1500400057</v>
      </c>
      <c r="E18" s="596" t="s">
        <v>560</v>
      </c>
      <c r="F18" s="616">
        <v>21472260</v>
      </c>
      <c r="G18" s="601">
        <v>1781736.9</v>
      </c>
      <c r="H18" s="602">
        <v>8.2978545341757233</v>
      </c>
    </row>
    <row r="19" spans="1:8">
      <c r="A19" s="603">
        <v>2562</v>
      </c>
      <c r="B19" s="603">
        <v>11</v>
      </c>
      <c r="C19" s="603">
        <v>2</v>
      </c>
      <c r="D19" s="615">
        <v>1500400025</v>
      </c>
      <c r="E19" s="596" t="s">
        <v>781</v>
      </c>
      <c r="F19" s="616">
        <v>6088566.0499999998</v>
      </c>
      <c r="G19" s="601">
        <v>505513.72</v>
      </c>
      <c r="H19" s="602">
        <v>8.3026728436328625</v>
      </c>
    </row>
    <row r="20" spans="1:8">
      <c r="A20" s="603">
        <v>2562</v>
      </c>
      <c r="B20" s="603">
        <v>11</v>
      </c>
      <c r="C20" s="603">
        <v>2</v>
      </c>
      <c r="D20" s="615">
        <v>1500400024</v>
      </c>
      <c r="E20" s="596" t="s">
        <v>540</v>
      </c>
      <c r="F20" s="616">
        <v>7251522.3499999996</v>
      </c>
      <c r="G20" s="601">
        <v>589900.06000000006</v>
      </c>
      <c r="H20" s="602">
        <v>8.1348444027066957</v>
      </c>
    </row>
    <row r="21" spans="1:8">
      <c r="A21" s="603">
        <v>2562</v>
      </c>
      <c r="B21" s="603">
        <v>11</v>
      </c>
      <c r="C21" s="603">
        <v>2</v>
      </c>
      <c r="D21" s="615">
        <v>1500400094</v>
      </c>
      <c r="E21" s="596" t="s">
        <v>378</v>
      </c>
      <c r="F21" s="616">
        <v>11609069.68</v>
      </c>
      <c r="G21" s="601">
        <v>938602.59</v>
      </c>
      <c r="H21" s="602">
        <v>8.0850801646665627</v>
      </c>
    </row>
    <row r="22" spans="1:8">
      <c r="A22" s="603">
        <v>2562</v>
      </c>
      <c r="B22" s="603">
        <v>11</v>
      </c>
      <c r="C22" s="603">
        <v>2</v>
      </c>
      <c r="D22" s="615">
        <v>1500400087</v>
      </c>
      <c r="E22" s="596" t="s">
        <v>577</v>
      </c>
      <c r="F22" s="616">
        <v>5910236.4699999997</v>
      </c>
      <c r="G22" s="601">
        <v>467410.5</v>
      </c>
      <c r="H22" s="602">
        <v>7.9084906733012668</v>
      </c>
    </row>
    <row r="23" spans="1:8">
      <c r="A23" s="603">
        <v>2562</v>
      </c>
      <c r="B23" s="603">
        <v>11</v>
      </c>
      <c r="C23" s="603">
        <v>2</v>
      </c>
      <c r="D23" s="615">
        <v>1500400083</v>
      </c>
      <c r="E23" s="596" t="s">
        <v>799</v>
      </c>
      <c r="F23" s="616">
        <v>11505160</v>
      </c>
      <c r="G23" s="601">
        <v>913363.48</v>
      </c>
      <c r="H23" s="602">
        <v>7.9387290572230196</v>
      </c>
    </row>
    <row r="24" spans="1:8">
      <c r="A24" s="603">
        <v>2562</v>
      </c>
      <c r="B24" s="603">
        <v>11</v>
      </c>
      <c r="C24" s="603">
        <v>2</v>
      </c>
      <c r="D24" s="615">
        <v>1500400027</v>
      </c>
      <c r="E24" s="596" t="s">
        <v>339</v>
      </c>
      <c r="F24" s="616">
        <v>21907889.34</v>
      </c>
      <c r="G24" s="601">
        <v>1734717.36</v>
      </c>
      <c r="H24" s="602">
        <v>7.9182313415866465</v>
      </c>
    </row>
    <row r="25" spans="1:8">
      <c r="A25" s="603">
        <v>2562</v>
      </c>
      <c r="B25" s="603">
        <v>11</v>
      </c>
      <c r="C25" s="603">
        <v>2</v>
      </c>
      <c r="D25" s="615">
        <v>1500400124</v>
      </c>
      <c r="E25" s="596" t="s">
        <v>586</v>
      </c>
      <c r="F25" s="616">
        <v>13102205.210000001</v>
      </c>
      <c r="G25" s="601">
        <v>1028947.49</v>
      </c>
      <c r="H25" s="602">
        <v>7.8532390044896871</v>
      </c>
    </row>
    <row r="26" spans="1:8">
      <c r="A26" s="603">
        <v>2562</v>
      </c>
      <c r="B26" s="603">
        <v>11</v>
      </c>
      <c r="C26" s="603">
        <v>2</v>
      </c>
      <c r="D26" s="615">
        <v>1500400030</v>
      </c>
      <c r="E26" s="596" t="s">
        <v>784</v>
      </c>
      <c r="F26" s="616">
        <v>6025406.7699999996</v>
      </c>
      <c r="G26" s="601">
        <v>469185.13</v>
      </c>
      <c r="H26" s="602">
        <v>7.7867793480107244</v>
      </c>
    </row>
    <row r="27" spans="1:8">
      <c r="A27" s="603">
        <v>2562</v>
      </c>
      <c r="B27" s="603">
        <v>11</v>
      </c>
      <c r="C27" s="603">
        <v>2</v>
      </c>
      <c r="D27" s="615">
        <v>1500400042</v>
      </c>
      <c r="E27" s="596" t="s">
        <v>549</v>
      </c>
      <c r="F27" s="616">
        <v>40712591.969999999</v>
      </c>
      <c r="G27" s="601">
        <v>3163083.29</v>
      </c>
      <c r="H27" s="602">
        <v>7.7692997103470836</v>
      </c>
    </row>
    <row r="28" spans="1:8">
      <c r="A28" s="603">
        <v>2562</v>
      </c>
      <c r="B28" s="603">
        <v>11</v>
      </c>
      <c r="C28" s="603">
        <v>2</v>
      </c>
      <c r="D28" s="615">
        <v>1500400036</v>
      </c>
      <c r="E28" s="596" t="s">
        <v>544</v>
      </c>
      <c r="F28" s="616">
        <v>5987298.8200000003</v>
      </c>
      <c r="G28" s="601">
        <v>460318.98</v>
      </c>
      <c r="H28" s="602">
        <v>7.6882579914392846</v>
      </c>
    </row>
    <row r="29" spans="1:8">
      <c r="A29" s="603">
        <v>2562</v>
      </c>
      <c r="B29" s="603">
        <v>11</v>
      </c>
      <c r="C29" s="603">
        <v>2</v>
      </c>
      <c r="D29" s="615">
        <v>1500400045</v>
      </c>
      <c r="E29" s="596" t="s">
        <v>789</v>
      </c>
      <c r="F29" s="616">
        <v>38632506.969999999</v>
      </c>
      <c r="G29" s="601">
        <v>2955416.71</v>
      </c>
      <c r="H29" s="602">
        <v>7.6500774653196162</v>
      </c>
    </row>
    <row r="30" spans="1:8">
      <c r="A30" s="603">
        <v>2562</v>
      </c>
      <c r="B30" s="603">
        <v>11</v>
      </c>
      <c r="C30" s="603">
        <v>2</v>
      </c>
      <c r="D30" s="615">
        <v>1500400088</v>
      </c>
      <c r="E30" s="596" t="s">
        <v>578</v>
      </c>
      <c r="F30" s="616">
        <v>3198000</v>
      </c>
      <c r="G30" s="601">
        <v>243831.02</v>
      </c>
      <c r="H30" s="602">
        <v>7.6244846779237019</v>
      </c>
    </row>
    <row r="31" spans="1:8">
      <c r="A31" s="603">
        <v>2562</v>
      </c>
      <c r="B31" s="603">
        <v>11</v>
      </c>
      <c r="C31" s="603">
        <v>2</v>
      </c>
      <c r="D31" s="615">
        <v>1500400093</v>
      </c>
      <c r="E31" s="596" t="s">
        <v>582</v>
      </c>
      <c r="F31" s="616">
        <v>7962768.3099999996</v>
      </c>
      <c r="G31" s="601">
        <v>574886.92000000004</v>
      </c>
      <c r="H31" s="602">
        <v>7.2196866418683996</v>
      </c>
    </row>
    <row r="32" spans="1:8">
      <c r="A32" s="603">
        <v>2562</v>
      </c>
      <c r="B32" s="603">
        <v>11</v>
      </c>
      <c r="C32" s="603">
        <v>2</v>
      </c>
      <c r="D32" s="615">
        <v>1500400034</v>
      </c>
      <c r="E32" s="596" t="s">
        <v>543</v>
      </c>
      <c r="F32" s="616">
        <v>8380423.1899999995</v>
      </c>
      <c r="G32" s="601">
        <v>592234.36</v>
      </c>
      <c r="H32" s="602">
        <v>7.0668789221371053</v>
      </c>
    </row>
    <row r="33" spans="1:8">
      <c r="A33" s="603">
        <v>2562</v>
      </c>
      <c r="B33" s="603">
        <v>11</v>
      </c>
      <c r="C33" s="603">
        <v>2</v>
      </c>
      <c r="D33" s="615">
        <v>1500400079</v>
      </c>
      <c r="E33" s="596" t="s">
        <v>798</v>
      </c>
      <c r="F33" s="616">
        <v>15550780</v>
      </c>
      <c r="G33" s="601">
        <v>1055084.1599999999</v>
      </c>
      <c r="H33" s="602">
        <v>6.7847668091246858</v>
      </c>
    </row>
    <row r="34" spans="1:8">
      <c r="A34" s="603">
        <v>2562</v>
      </c>
      <c r="B34" s="603">
        <v>11</v>
      </c>
      <c r="C34" s="603">
        <v>2</v>
      </c>
      <c r="D34" s="615">
        <v>1500400086</v>
      </c>
      <c r="E34" s="596" t="s">
        <v>800</v>
      </c>
      <c r="F34" s="616">
        <v>8356048.4000000004</v>
      </c>
      <c r="G34" s="601">
        <v>570502.43999999994</v>
      </c>
      <c r="H34" s="602">
        <v>6.8274190465435778</v>
      </c>
    </row>
    <row r="35" spans="1:8">
      <c r="A35" s="603">
        <v>2562</v>
      </c>
      <c r="B35" s="603">
        <v>11</v>
      </c>
      <c r="C35" s="603">
        <v>2</v>
      </c>
      <c r="D35" s="615">
        <v>1500400038</v>
      </c>
      <c r="E35" s="596" t="s">
        <v>788</v>
      </c>
      <c r="F35" s="616">
        <v>10773260</v>
      </c>
      <c r="G35" s="601">
        <v>719450.67</v>
      </c>
      <c r="H35" s="602">
        <v>6.6781147953358593</v>
      </c>
    </row>
    <row r="36" spans="1:8">
      <c r="A36" s="603">
        <v>2562</v>
      </c>
      <c r="B36" s="603">
        <v>11</v>
      </c>
      <c r="C36" s="603">
        <v>2</v>
      </c>
      <c r="D36" s="615">
        <v>1500400050</v>
      </c>
      <c r="E36" s="596" t="s">
        <v>554</v>
      </c>
      <c r="F36" s="616">
        <v>38907762</v>
      </c>
      <c r="G36" s="601">
        <v>2586824.2799999998</v>
      </c>
      <c r="H36" s="602">
        <v>6.6486072367770719</v>
      </c>
    </row>
    <row r="37" spans="1:8">
      <c r="A37" s="603">
        <v>2562</v>
      </c>
      <c r="B37" s="603">
        <v>11</v>
      </c>
      <c r="C37" s="603">
        <v>2</v>
      </c>
      <c r="D37" s="615">
        <v>1500400096</v>
      </c>
      <c r="E37" s="596" t="s">
        <v>802</v>
      </c>
      <c r="F37" s="616">
        <v>16562304</v>
      </c>
      <c r="G37" s="601">
        <v>1098861.3999999999</v>
      </c>
      <c r="H37" s="602">
        <v>6.6347133828723335</v>
      </c>
    </row>
    <row r="38" spans="1:8">
      <c r="A38" s="603">
        <v>2562</v>
      </c>
      <c r="B38" s="603">
        <v>11</v>
      </c>
      <c r="C38" s="603">
        <v>2</v>
      </c>
      <c r="D38" s="615">
        <v>1500400068</v>
      </c>
      <c r="E38" s="596" t="s">
        <v>359</v>
      </c>
      <c r="F38" s="616">
        <v>11299104.029999999</v>
      </c>
      <c r="G38" s="601">
        <v>754555.67</v>
      </c>
      <c r="H38" s="602">
        <v>6.6780133008475371</v>
      </c>
    </row>
    <row r="39" spans="1:8">
      <c r="A39" s="603">
        <v>2562</v>
      </c>
      <c r="B39" s="603">
        <v>11</v>
      </c>
      <c r="C39" s="603">
        <v>2</v>
      </c>
      <c r="D39" s="615">
        <v>1500400064</v>
      </c>
      <c r="E39" s="596" t="s">
        <v>795</v>
      </c>
      <c r="F39" s="616">
        <v>12307051.310000001</v>
      </c>
      <c r="G39" s="601">
        <v>813649.51</v>
      </c>
      <c r="H39" s="602">
        <v>6.6112465894968304</v>
      </c>
    </row>
    <row r="40" spans="1:8">
      <c r="A40" s="603">
        <v>2562</v>
      </c>
      <c r="B40" s="603">
        <v>11</v>
      </c>
      <c r="C40" s="603">
        <v>2</v>
      </c>
      <c r="D40" s="615">
        <v>1500400078</v>
      </c>
      <c r="E40" s="596" t="s">
        <v>797</v>
      </c>
      <c r="F40" s="616">
        <v>17025121.73</v>
      </c>
      <c r="G40" s="601">
        <v>1107915.07</v>
      </c>
      <c r="H40" s="602">
        <v>6.507530974346813</v>
      </c>
    </row>
    <row r="41" spans="1:8">
      <c r="A41" s="603">
        <v>2562</v>
      </c>
      <c r="B41" s="603">
        <v>11</v>
      </c>
      <c r="C41" s="603">
        <v>2</v>
      </c>
      <c r="D41" s="615">
        <v>1500400048</v>
      </c>
      <c r="E41" s="596" t="s">
        <v>553</v>
      </c>
      <c r="F41" s="616">
        <v>12396630</v>
      </c>
      <c r="G41" s="601">
        <v>799505.74</v>
      </c>
      <c r="H41" s="602">
        <v>6.4493797104535666</v>
      </c>
    </row>
    <row r="42" spans="1:8">
      <c r="A42" s="603">
        <v>2562</v>
      </c>
      <c r="B42" s="603">
        <v>11</v>
      </c>
      <c r="C42" s="603">
        <v>2</v>
      </c>
      <c r="D42" s="615">
        <v>1500400053</v>
      </c>
      <c r="E42" s="596" t="s">
        <v>556</v>
      </c>
      <c r="F42" s="616">
        <v>13725307.189999999</v>
      </c>
      <c r="G42" s="601">
        <v>868453.34</v>
      </c>
      <c r="H42" s="602">
        <v>6.327387270666982</v>
      </c>
    </row>
    <row r="43" spans="1:8">
      <c r="A43" s="603">
        <v>2562</v>
      </c>
      <c r="B43" s="603">
        <v>11</v>
      </c>
      <c r="C43" s="603">
        <v>2</v>
      </c>
      <c r="D43" s="615">
        <v>1500400097</v>
      </c>
      <c r="E43" s="596" t="s">
        <v>584</v>
      </c>
      <c r="F43" s="616">
        <v>11125950</v>
      </c>
      <c r="G43" s="601">
        <v>690921.02</v>
      </c>
      <c r="H43" s="602">
        <v>6.2099957307016478</v>
      </c>
    </row>
    <row r="44" spans="1:8">
      <c r="A44" s="603">
        <v>2562</v>
      </c>
      <c r="B44" s="603">
        <v>11</v>
      </c>
      <c r="C44" s="603">
        <v>2</v>
      </c>
      <c r="D44" s="615">
        <v>1500400070</v>
      </c>
      <c r="E44" s="596" t="s">
        <v>567</v>
      </c>
      <c r="F44" s="616">
        <v>11468080</v>
      </c>
      <c r="G44" s="601">
        <v>707683.96</v>
      </c>
      <c r="H44" s="602">
        <v>6.1709018423310615</v>
      </c>
    </row>
    <row r="45" spans="1:8">
      <c r="A45" s="603">
        <v>2562</v>
      </c>
      <c r="B45" s="603">
        <v>11</v>
      </c>
      <c r="C45" s="603">
        <v>2</v>
      </c>
      <c r="D45" s="615">
        <v>1500400069</v>
      </c>
      <c r="E45" s="596" t="s">
        <v>566</v>
      </c>
      <c r="F45" s="616">
        <v>19955905</v>
      </c>
      <c r="G45" s="601">
        <v>1228617.01</v>
      </c>
      <c r="H45" s="602">
        <v>6.1566589438063568</v>
      </c>
    </row>
    <row r="46" spans="1:8">
      <c r="A46" s="603">
        <v>2562</v>
      </c>
      <c r="B46" s="603">
        <v>11</v>
      </c>
      <c r="C46" s="603">
        <v>2</v>
      </c>
      <c r="D46" s="615">
        <v>1500400085</v>
      </c>
      <c r="E46" s="596" t="s">
        <v>576</v>
      </c>
      <c r="F46" s="616">
        <v>24360784.969999999</v>
      </c>
      <c r="G46" s="601">
        <v>1491164.11</v>
      </c>
      <c r="H46" s="602">
        <v>6.1211660947557718</v>
      </c>
    </row>
    <row r="47" spans="1:8">
      <c r="A47" s="603">
        <v>2562</v>
      </c>
      <c r="B47" s="603">
        <v>11</v>
      </c>
      <c r="C47" s="603">
        <v>2</v>
      </c>
      <c r="D47" s="615">
        <v>1500400071</v>
      </c>
      <c r="E47" s="596" t="s">
        <v>568</v>
      </c>
      <c r="F47" s="616">
        <v>14093940</v>
      </c>
      <c r="G47" s="601">
        <v>852536.63</v>
      </c>
      <c r="H47" s="602">
        <v>6.0489588433042858</v>
      </c>
    </row>
    <row r="48" spans="1:8">
      <c r="A48" s="603">
        <v>2562</v>
      </c>
      <c r="B48" s="603">
        <v>11</v>
      </c>
      <c r="C48" s="603">
        <v>2</v>
      </c>
      <c r="D48" s="615">
        <v>1500400090</v>
      </c>
      <c r="E48" s="596" t="s">
        <v>579</v>
      </c>
      <c r="F48" s="616">
        <v>6015368.4000000004</v>
      </c>
      <c r="G48" s="601">
        <v>361270.6</v>
      </c>
      <c r="H48" s="602">
        <v>6.0057934273817706</v>
      </c>
    </row>
    <row r="49" spans="1:8">
      <c r="A49" s="603">
        <v>2562</v>
      </c>
      <c r="B49" s="603">
        <v>11</v>
      </c>
      <c r="C49" s="603">
        <v>2</v>
      </c>
      <c r="D49" s="615">
        <v>1500400031</v>
      </c>
      <c r="E49" s="596" t="s">
        <v>542</v>
      </c>
      <c r="F49" s="616">
        <v>8072670</v>
      </c>
      <c r="G49" s="601">
        <v>474462.43</v>
      </c>
      <c r="H49" s="602">
        <v>5.8773916188819806</v>
      </c>
    </row>
    <row r="50" spans="1:8">
      <c r="A50" s="603">
        <v>2562</v>
      </c>
      <c r="B50" s="603">
        <v>11</v>
      </c>
      <c r="C50" s="603">
        <v>2</v>
      </c>
      <c r="D50" s="615">
        <v>1500400062</v>
      </c>
      <c r="E50" s="596" t="s">
        <v>358</v>
      </c>
      <c r="F50" s="616">
        <v>16559589.24</v>
      </c>
      <c r="G50" s="601">
        <v>972375.79</v>
      </c>
      <c r="H50" s="602">
        <v>5.8719801313139337</v>
      </c>
    </row>
    <row r="51" spans="1:8">
      <c r="A51" s="603">
        <v>2562</v>
      </c>
      <c r="B51" s="603">
        <v>11</v>
      </c>
      <c r="C51" s="603">
        <v>2</v>
      </c>
      <c r="D51" s="615">
        <v>1500400081</v>
      </c>
      <c r="E51" s="596" t="s">
        <v>344</v>
      </c>
      <c r="F51" s="616">
        <v>5408692.7699999996</v>
      </c>
      <c r="G51" s="601">
        <v>313839.18</v>
      </c>
      <c r="H51" s="602">
        <v>5.8024959698348706</v>
      </c>
    </row>
    <row r="52" spans="1:8">
      <c r="A52" s="603">
        <v>2562</v>
      </c>
      <c r="B52" s="603">
        <v>11</v>
      </c>
      <c r="C52" s="603">
        <v>2</v>
      </c>
      <c r="D52" s="615">
        <v>1500400092</v>
      </c>
      <c r="E52" s="596" t="s">
        <v>581</v>
      </c>
      <c r="F52" s="616">
        <v>19387740</v>
      </c>
      <c r="G52" s="601">
        <v>1135560.71</v>
      </c>
      <c r="H52" s="602">
        <v>5.8571071718519025</v>
      </c>
    </row>
    <row r="53" spans="1:8">
      <c r="A53" s="603">
        <v>2562</v>
      </c>
      <c r="B53" s="603">
        <v>11</v>
      </c>
      <c r="C53" s="603">
        <v>2</v>
      </c>
      <c r="D53" s="615">
        <v>1500400055</v>
      </c>
      <c r="E53" s="596" t="s">
        <v>558</v>
      </c>
      <c r="F53" s="616">
        <v>37356188</v>
      </c>
      <c r="G53" s="601">
        <v>2161020.7000000002</v>
      </c>
      <c r="H53" s="602">
        <v>5.7849069075249338</v>
      </c>
    </row>
    <row r="54" spans="1:8">
      <c r="A54" s="603">
        <v>2562</v>
      </c>
      <c r="B54" s="603">
        <v>11</v>
      </c>
      <c r="C54" s="603">
        <v>2</v>
      </c>
      <c r="D54" s="615">
        <v>1500400058</v>
      </c>
      <c r="E54" s="596" t="s">
        <v>793</v>
      </c>
      <c r="F54" s="616">
        <v>19711650.920000002</v>
      </c>
      <c r="G54" s="601">
        <v>1105442.3500000001</v>
      </c>
      <c r="H54" s="602">
        <v>5.6080657804181531</v>
      </c>
    </row>
    <row r="55" spans="1:8">
      <c r="A55" s="603">
        <v>2562</v>
      </c>
      <c r="B55" s="603">
        <v>11</v>
      </c>
      <c r="C55" s="603">
        <v>2</v>
      </c>
      <c r="D55" s="615">
        <v>1500400037</v>
      </c>
      <c r="E55" s="596" t="s">
        <v>545</v>
      </c>
      <c r="F55" s="616">
        <v>11952514.449999999</v>
      </c>
      <c r="G55" s="601">
        <v>656407.34</v>
      </c>
      <c r="H55" s="602">
        <v>5.4917929005306494</v>
      </c>
    </row>
    <row r="56" spans="1:8">
      <c r="A56" s="603">
        <v>2562</v>
      </c>
      <c r="B56" s="603">
        <v>11</v>
      </c>
      <c r="C56" s="603">
        <v>2</v>
      </c>
      <c r="D56" s="615">
        <v>1500400072</v>
      </c>
      <c r="E56" s="596" t="s">
        <v>569</v>
      </c>
      <c r="F56" s="616">
        <v>12776884.869999999</v>
      </c>
      <c r="G56" s="601">
        <v>685648.75</v>
      </c>
      <c r="H56" s="602">
        <v>5.3663217362934574</v>
      </c>
    </row>
    <row r="57" spans="1:8">
      <c r="A57" s="603">
        <v>2562</v>
      </c>
      <c r="B57" s="603">
        <v>11</v>
      </c>
      <c r="C57" s="603">
        <v>2</v>
      </c>
      <c r="D57" s="615">
        <v>1500400044</v>
      </c>
      <c r="E57" s="596" t="s">
        <v>551</v>
      </c>
      <c r="F57" s="616">
        <v>36091319.659999996</v>
      </c>
      <c r="G57" s="601">
        <v>1905619.68</v>
      </c>
      <c r="H57" s="602">
        <v>5.27999446390983</v>
      </c>
    </row>
    <row r="58" spans="1:8">
      <c r="A58" s="603">
        <v>2562</v>
      </c>
      <c r="B58" s="603">
        <v>11</v>
      </c>
      <c r="C58" s="603">
        <v>2</v>
      </c>
      <c r="D58" s="615">
        <v>1500400047</v>
      </c>
      <c r="E58" s="596" t="s">
        <v>790</v>
      </c>
      <c r="F58" s="616">
        <v>26445989.239999998</v>
      </c>
      <c r="G58" s="601">
        <v>1393843.7</v>
      </c>
      <c r="H58" s="602">
        <v>5.2705296343832293</v>
      </c>
    </row>
    <row r="59" spans="1:8">
      <c r="A59" s="603">
        <v>2562</v>
      </c>
      <c r="B59" s="603">
        <v>11</v>
      </c>
      <c r="C59" s="603">
        <v>2</v>
      </c>
      <c r="D59" s="615">
        <v>1500400035</v>
      </c>
      <c r="E59" s="596" t="s">
        <v>787</v>
      </c>
      <c r="F59" s="616">
        <v>12965189.24</v>
      </c>
      <c r="G59" s="601">
        <v>674342.06</v>
      </c>
      <c r="H59" s="602">
        <v>5.2011740632333412</v>
      </c>
    </row>
    <row r="60" spans="1:8">
      <c r="A60" s="603">
        <v>2562</v>
      </c>
      <c r="B60" s="603">
        <v>11</v>
      </c>
      <c r="C60" s="603">
        <v>2</v>
      </c>
      <c r="D60" s="615">
        <v>1500400032</v>
      </c>
      <c r="E60" s="596" t="s">
        <v>785</v>
      </c>
      <c r="F60" s="616">
        <v>16523253.609999999</v>
      </c>
      <c r="G60" s="601">
        <v>824424.11</v>
      </c>
      <c r="H60" s="602">
        <v>4.9894780377942771</v>
      </c>
    </row>
    <row r="61" spans="1:8">
      <c r="A61" s="603">
        <v>2562</v>
      </c>
      <c r="B61" s="603">
        <v>11</v>
      </c>
      <c r="C61" s="603">
        <v>2</v>
      </c>
      <c r="D61" s="615">
        <v>1500400061</v>
      </c>
      <c r="E61" s="596" t="s">
        <v>357</v>
      </c>
      <c r="F61" s="616">
        <v>8974436.4000000004</v>
      </c>
      <c r="G61" s="601">
        <v>437044.44</v>
      </c>
      <c r="H61" s="602">
        <v>4.8698817454430898</v>
      </c>
    </row>
    <row r="62" spans="1:8">
      <c r="A62" s="603">
        <v>2562</v>
      </c>
      <c r="B62" s="603">
        <v>11</v>
      </c>
      <c r="C62" s="603">
        <v>2</v>
      </c>
      <c r="D62" s="615">
        <v>1500400059</v>
      </c>
      <c r="E62" s="596" t="s">
        <v>561</v>
      </c>
      <c r="F62" s="616">
        <v>11408435.189999999</v>
      </c>
      <c r="G62" s="601">
        <v>513567.96</v>
      </c>
      <c r="H62" s="602">
        <v>4.5016512032269347</v>
      </c>
    </row>
    <row r="63" spans="1:8">
      <c r="A63" s="603">
        <v>2562</v>
      </c>
      <c r="B63" s="603">
        <v>11</v>
      </c>
      <c r="C63" s="603">
        <v>2</v>
      </c>
      <c r="D63" s="615">
        <v>1500400073</v>
      </c>
      <c r="E63" s="596" t="s">
        <v>570</v>
      </c>
      <c r="F63" s="616">
        <v>10235620.84</v>
      </c>
      <c r="G63" s="601">
        <v>455563.57</v>
      </c>
      <c r="H63" s="602">
        <v>4.4507663689504158</v>
      </c>
    </row>
    <row r="64" spans="1:8">
      <c r="A64" s="603">
        <v>2562</v>
      </c>
      <c r="B64" s="603">
        <v>11</v>
      </c>
      <c r="C64" s="603">
        <v>2</v>
      </c>
      <c r="D64" s="615">
        <v>1500400065</v>
      </c>
      <c r="E64" s="596" t="s">
        <v>563</v>
      </c>
      <c r="F64" s="616">
        <v>16034449.24</v>
      </c>
      <c r="G64" s="601">
        <v>701348.9</v>
      </c>
      <c r="H64" s="602">
        <v>4.3740130359475948</v>
      </c>
    </row>
    <row r="65" spans="1:8">
      <c r="A65" s="603">
        <v>2562</v>
      </c>
      <c r="B65" s="603">
        <v>11</v>
      </c>
      <c r="C65" s="603">
        <v>2</v>
      </c>
      <c r="D65" s="615">
        <v>1500400060</v>
      </c>
      <c r="E65" s="596" t="s">
        <v>794</v>
      </c>
      <c r="F65" s="616">
        <v>31649566.620000001</v>
      </c>
      <c r="G65" s="601">
        <v>1348795.02</v>
      </c>
      <c r="H65" s="602">
        <v>4.2616539941740283</v>
      </c>
    </row>
    <row r="66" spans="1:8">
      <c r="A66" s="603">
        <v>2562</v>
      </c>
      <c r="B66" s="603">
        <v>11</v>
      </c>
      <c r="C66" s="603">
        <v>2</v>
      </c>
      <c r="D66" s="615">
        <v>1500400041</v>
      </c>
      <c r="E66" s="596" t="s">
        <v>548</v>
      </c>
      <c r="F66" s="616">
        <v>52575914.530000001</v>
      </c>
      <c r="G66" s="601">
        <v>2163154.64</v>
      </c>
      <c r="H66" s="602">
        <v>4.1143452459884386</v>
      </c>
    </row>
    <row r="67" spans="1:8">
      <c r="A67" s="603">
        <v>2562</v>
      </c>
      <c r="B67" s="603">
        <v>11</v>
      </c>
      <c r="C67" s="603">
        <v>2</v>
      </c>
      <c r="D67" s="615">
        <v>1500400084</v>
      </c>
      <c r="E67" s="596" t="s">
        <v>343</v>
      </c>
      <c r="F67" s="616">
        <v>9913080</v>
      </c>
      <c r="G67" s="601">
        <v>391916.08</v>
      </c>
      <c r="H67" s="602">
        <v>3.953524837890948</v>
      </c>
    </row>
    <row r="68" spans="1:8">
      <c r="A68" s="603">
        <v>2562</v>
      </c>
      <c r="B68" s="603">
        <v>11</v>
      </c>
      <c r="C68" s="603">
        <v>2</v>
      </c>
      <c r="D68" s="615">
        <v>1500400054</v>
      </c>
      <c r="E68" s="596" t="s">
        <v>557</v>
      </c>
      <c r="F68" s="616">
        <v>28352361.239999998</v>
      </c>
      <c r="G68" s="601">
        <v>1104310.46</v>
      </c>
      <c r="H68" s="602">
        <v>3.8949505850751502</v>
      </c>
    </row>
    <row r="69" spans="1:8">
      <c r="A69" s="603">
        <v>2562</v>
      </c>
      <c r="B69" s="603">
        <v>11</v>
      </c>
      <c r="C69" s="603">
        <v>2</v>
      </c>
      <c r="D69" s="615">
        <v>1500400063</v>
      </c>
      <c r="E69" s="596" t="s">
        <v>562</v>
      </c>
      <c r="F69" s="616">
        <v>13875245</v>
      </c>
      <c r="G69" s="601">
        <v>523011.87</v>
      </c>
      <c r="H69" s="602">
        <v>3.769388360349673</v>
      </c>
    </row>
    <row r="70" spans="1:8">
      <c r="A70" s="603">
        <v>2562</v>
      </c>
      <c r="B70" s="603">
        <v>11</v>
      </c>
      <c r="C70" s="603">
        <v>2</v>
      </c>
      <c r="D70" s="615">
        <v>1500400043</v>
      </c>
      <c r="E70" s="596" t="s">
        <v>550</v>
      </c>
      <c r="F70" s="616">
        <v>26757214.449999999</v>
      </c>
      <c r="G70" s="601">
        <v>955607.11</v>
      </c>
      <c r="H70" s="602">
        <v>3.5713998248423802</v>
      </c>
    </row>
    <row r="71" spans="1:8">
      <c r="A71" s="603">
        <v>2562</v>
      </c>
      <c r="B71" s="603">
        <v>11</v>
      </c>
      <c r="C71" s="603">
        <v>2</v>
      </c>
      <c r="D71" s="615">
        <v>1500400095</v>
      </c>
      <c r="E71" s="596" t="s">
        <v>583</v>
      </c>
      <c r="F71" s="616">
        <v>23760069.239999998</v>
      </c>
      <c r="G71" s="601">
        <v>842701.91</v>
      </c>
      <c r="H71" s="602">
        <v>3.5467148748090098</v>
      </c>
    </row>
    <row r="72" spans="1:8">
      <c r="A72" s="603">
        <v>2562</v>
      </c>
      <c r="B72" s="603">
        <v>11</v>
      </c>
      <c r="C72" s="603">
        <v>2</v>
      </c>
      <c r="D72" s="615">
        <v>1500400067</v>
      </c>
      <c r="E72" s="596" t="s">
        <v>565</v>
      </c>
      <c r="F72" s="616">
        <v>25010744</v>
      </c>
      <c r="G72" s="601">
        <v>855676.1</v>
      </c>
      <c r="H72" s="602">
        <v>3.4212340904372938</v>
      </c>
    </row>
    <row r="73" spans="1:8">
      <c r="A73" s="603">
        <v>2562</v>
      </c>
      <c r="B73" s="603">
        <v>11</v>
      </c>
      <c r="C73" s="603">
        <v>2</v>
      </c>
      <c r="D73" s="615">
        <v>1500400052</v>
      </c>
      <c r="E73" s="596" t="s">
        <v>555</v>
      </c>
      <c r="F73" s="616">
        <v>19020316.469999999</v>
      </c>
      <c r="G73" s="601">
        <v>626549.97</v>
      </c>
      <c r="H73" s="602">
        <v>3.2941090701000308</v>
      </c>
    </row>
    <row r="74" spans="1:8">
      <c r="A74" s="603">
        <v>2562</v>
      </c>
      <c r="B74" s="603">
        <v>11</v>
      </c>
      <c r="C74" s="603">
        <v>2</v>
      </c>
      <c r="D74" s="615">
        <v>1500400040</v>
      </c>
      <c r="E74" s="596" t="s">
        <v>547</v>
      </c>
      <c r="F74" s="616">
        <v>12218944.92</v>
      </c>
      <c r="G74" s="601">
        <v>375883.42</v>
      </c>
      <c r="H74" s="602">
        <v>3.0762346705135979</v>
      </c>
    </row>
    <row r="75" spans="1:8">
      <c r="A75" s="603">
        <v>2562</v>
      </c>
      <c r="B75" s="603">
        <v>11</v>
      </c>
      <c r="C75" s="603">
        <v>2</v>
      </c>
      <c r="D75" s="615">
        <v>1500400077</v>
      </c>
      <c r="E75" s="596" t="s">
        <v>796</v>
      </c>
      <c r="F75" s="616">
        <v>15100876.890000001</v>
      </c>
      <c r="G75" s="601">
        <v>420049.86</v>
      </c>
      <c r="H75" s="602">
        <v>2.7816256172392384</v>
      </c>
    </row>
    <row r="76" spans="1:8">
      <c r="A76" s="603">
        <v>2562</v>
      </c>
      <c r="B76" s="603">
        <v>11</v>
      </c>
      <c r="C76" s="603">
        <v>2</v>
      </c>
      <c r="D76" s="615">
        <v>1500400049</v>
      </c>
      <c r="E76" s="596" t="s">
        <v>791</v>
      </c>
      <c r="F76" s="616">
        <v>23318016.890000001</v>
      </c>
      <c r="G76" s="601">
        <v>600484.31999999995</v>
      </c>
      <c r="H76" s="602">
        <v>2.5751946352587103</v>
      </c>
    </row>
    <row r="77" spans="1:8">
      <c r="A77" s="603">
        <v>2562</v>
      </c>
      <c r="B77" s="603">
        <v>11</v>
      </c>
      <c r="C77" s="603">
        <v>2</v>
      </c>
      <c r="D77" s="615">
        <v>1500400080</v>
      </c>
      <c r="E77" s="596" t="s">
        <v>574</v>
      </c>
      <c r="F77" s="616">
        <v>15141760</v>
      </c>
      <c r="G77" s="601">
        <v>362208.68</v>
      </c>
      <c r="H77" s="602">
        <v>2.3921174288854137</v>
      </c>
    </row>
    <row r="78" spans="1:8">
      <c r="F78" s="602"/>
      <c r="G78" s="602"/>
      <c r="H78" s="602"/>
    </row>
    <row r="79" spans="1:8">
      <c r="F79" s="602"/>
      <c r="G79" s="602"/>
      <c r="H79" s="602"/>
    </row>
    <row r="80" spans="1:8">
      <c r="F80" s="602"/>
      <c r="G80" s="602"/>
      <c r="H80" s="602"/>
    </row>
    <row r="81" spans="6:8">
      <c r="F81" s="602"/>
      <c r="G81" s="602"/>
      <c r="H81" s="602"/>
    </row>
    <row r="82" spans="6:8">
      <c r="F82" s="602"/>
      <c r="G82" s="602"/>
      <c r="H82" s="602"/>
    </row>
    <row r="83" spans="6:8">
      <c r="F83" s="602"/>
      <c r="G83" s="602"/>
      <c r="H83" s="602"/>
    </row>
    <row r="84" spans="6:8">
      <c r="F84" s="602"/>
      <c r="G84" s="602"/>
      <c r="H84" s="602"/>
    </row>
    <row r="85" spans="6:8">
      <c r="F85" s="602"/>
      <c r="G85" s="602"/>
      <c r="H85" s="602"/>
    </row>
    <row r="86" spans="6:8">
      <c r="F86" s="602"/>
      <c r="G86" s="602"/>
      <c r="H86" s="602"/>
    </row>
    <row r="87" spans="6:8">
      <c r="F87" s="602"/>
      <c r="G87" s="602"/>
      <c r="H87" s="602"/>
    </row>
    <row r="88" spans="6:8">
      <c r="F88" s="602"/>
      <c r="G88" s="602"/>
      <c r="H88" s="602"/>
    </row>
    <row r="89" spans="6:8">
      <c r="F89" s="602"/>
      <c r="G89" s="602"/>
      <c r="H89" s="60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H12"/>
  <sheetViews>
    <sheetView workbookViewId="0">
      <selection activeCell="J10" sqref="J10"/>
    </sheetView>
  </sheetViews>
  <sheetFormatPr defaultRowHeight="12.75"/>
  <cols>
    <col min="1" max="3" width="9.140625" style="596"/>
    <col min="4" max="4" width="11" style="596" bestFit="1" customWidth="1"/>
    <col min="5" max="5" width="17.28515625" style="596" bestFit="1" customWidth="1"/>
    <col min="6" max="6" width="11.42578125" style="596" bestFit="1" customWidth="1"/>
    <col min="7" max="7" width="11.5703125" style="596" bestFit="1" customWidth="1"/>
    <col min="8" max="8" width="9.28515625" style="596" bestFit="1" customWidth="1"/>
    <col min="9" max="259" width="9.140625" style="596"/>
    <col min="260" max="260" width="11" style="596" bestFit="1" customWidth="1"/>
    <col min="261" max="261" width="14.7109375" style="596" bestFit="1" customWidth="1"/>
    <col min="262" max="262" width="11.42578125" style="596" bestFit="1" customWidth="1"/>
    <col min="263" max="263" width="11.5703125" style="596" bestFit="1" customWidth="1"/>
    <col min="264" max="264" width="9.28515625" style="596" bestFit="1" customWidth="1"/>
    <col min="265" max="515" width="9.140625" style="596"/>
    <col min="516" max="516" width="11" style="596" bestFit="1" customWidth="1"/>
    <col min="517" max="517" width="14.7109375" style="596" bestFit="1" customWidth="1"/>
    <col min="518" max="518" width="11.42578125" style="596" bestFit="1" customWidth="1"/>
    <col min="519" max="519" width="11.5703125" style="596" bestFit="1" customWidth="1"/>
    <col min="520" max="520" width="9.28515625" style="596" bestFit="1" customWidth="1"/>
    <col min="521" max="771" width="9.140625" style="596"/>
    <col min="772" max="772" width="11" style="596" bestFit="1" customWidth="1"/>
    <col min="773" max="773" width="14.7109375" style="596" bestFit="1" customWidth="1"/>
    <col min="774" max="774" width="11.42578125" style="596" bestFit="1" customWidth="1"/>
    <col min="775" max="775" width="11.5703125" style="596" bestFit="1" customWidth="1"/>
    <col min="776" max="776" width="9.28515625" style="596" bestFit="1" customWidth="1"/>
    <col min="777" max="1027" width="9.140625" style="596"/>
    <col min="1028" max="1028" width="11" style="596" bestFit="1" customWidth="1"/>
    <col min="1029" max="1029" width="14.7109375" style="596" bestFit="1" customWidth="1"/>
    <col min="1030" max="1030" width="11.42578125" style="596" bestFit="1" customWidth="1"/>
    <col min="1031" max="1031" width="11.5703125" style="596" bestFit="1" customWidth="1"/>
    <col min="1032" max="1032" width="9.28515625" style="596" bestFit="1" customWidth="1"/>
    <col min="1033" max="1283" width="9.140625" style="596"/>
    <col min="1284" max="1284" width="11" style="596" bestFit="1" customWidth="1"/>
    <col min="1285" max="1285" width="14.7109375" style="596" bestFit="1" customWidth="1"/>
    <col min="1286" max="1286" width="11.42578125" style="596" bestFit="1" customWidth="1"/>
    <col min="1287" max="1287" width="11.5703125" style="596" bestFit="1" customWidth="1"/>
    <col min="1288" max="1288" width="9.28515625" style="596" bestFit="1" customWidth="1"/>
    <col min="1289" max="1539" width="9.140625" style="596"/>
    <col min="1540" max="1540" width="11" style="596" bestFit="1" customWidth="1"/>
    <col min="1541" max="1541" width="14.7109375" style="596" bestFit="1" customWidth="1"/>
    <col min="1542" max="1542" width="11.42578125" style="596" bestFit="1" customWidth="1"/>
    <col min="1543" max="1543" width="11.5703125" style="596" bestFit="1" customWidth="1"/>
    <col min="1544" max="1544" width="9.28515625" style="596" bestFit="1" customWidth="1"/>
    <col min="1545" max="1795" width="9.140625" style="596"/>
    <col min="1796" max="1796" width="11" style="596" bestFit="1" customWidth="1"/>
    <col min="1797" max="1797" width="14.7109375" style="596" bestFit="1" customWidth="1"/>
    <col min="1798" max="1798" width="11.42578125" style="596" bestFit="1" customWidth="1"/>
    <col min="1799" max="1799" width="11.5703125" style="596" bestFit="1" customWidth="1"/>
    <col min="1800" max="1800" width="9.28515625" style="596" bestFit="1" customWidth="1"/>
    <col min="1801" max="2051" width="9.140625" style="596"/>
    <col min="2052" max="2052" width="11" style="596" bestFit="1" customWidth="1"/>
    <col min="2053" max="2053" width="14.7109375" style="596" bestFit="1" customWidth="1"/>
    <col min="2054" max="2054" width="11.42578125" style="596" bestFit="1" customWidth="1"/>
    <col min="2055" max="2055" width="11.5703125" style="596" bestFit="1" customWidth="1"/>
    <col min="2056" max="2056" width="9.28515625" style="596" bestFit="1" customWidth="1"/>
    <col min="2057" max="2307" width="9.140625" style="596"/>
    <col min="2308" max="2308" width="11" style="596" bestFit="1" customWidth="1"/>
    <col min="2309" max="2309" width="14.7109375" style="596" bestFit="1" customWidth="1"/>
    <col min="2310" max="2310" width="11.42578125" style="596" bestFit="1" customWidth="1"/>
    <col min="2311" max="2311" width="11.5703125" style="596" bestFit="1" customWidth="1"/>
    <col min="2312" max="2312" width="9.28515625" style="596" bestFit="1" customWidth="1"/>
    <col min="2313" max="2563" width="9.140625" style="596"/>
    <col min="2564" max="2564" width="11" style="596" bestFit="1" customWidth="1"/>
    <col min="2565" max="2565" width="14.7109375" style="596" bestFit="1" customWidth="1"/>
    <col min="2566" max="2566" width="11.42578125" style="596" bestFit="1" customWidth="1"/>
    <col min="2567" max="2567" width="11.5703125" style="596" bestFit="1" customWidth="1"/>
    <col min="2568" max="2568" width="9.28515625" style="596" bestFit="1" customWidth="1"/>
    <col min="2569" max="2819" width="9.140625" style="596"/>
    <col min="2820" max="2820" width="11" style="596" bestFit="1" customWidth="1"/>
    <col min="2821" max="2821" width="14.7109375" style="596" bestFit="1" customWidth="1"/>
    <col min="2822" max="2822" width="11.42578125" style="596" bestFit="1" customWidth="1"/>
    <col min="2823" max="2823" width="11.5703125" style="596" bestFit="1" customWidth="1"/>
    <col min="2824" max="2824" width="9.28515625" style="596" bestFit="1" customWidth="1"/>
    <col min="2825" max="3075" width="9.140625" style="596"/>
    <col min="3076" max="3076" width="11" style="596" bestFit="1" customWidth="1"/>
    <col min="3077" max="3077" width="14.7109375" style="596" bestFit="1" customWidth="1"/>
    <col min="3078" max="3078" width="11.42578125" style="596" bestFit="1" customWidth="1"/>
    <col min="3079" max="3079" width="11.5703125" style="596" bestFit="1" customWidth="1"/>
    <col min="3080" max="3080" width="9.28515625" style="596" bestFit="1" customWidth="1"/>
    <col min="3081" max="3331" width="9.140625" style="596"/>
    <col min="3332" max="3332" width="11" style="596" bestFit="1" customWidth="1"/>
    <col min="3333" max="3333" width="14.7109375" style="596" bestFit="1" customWidth="1"/>
    <col min="3334" max="3334" width="11.42578125" style="596" bestFit="1" customWidth="1"/>
    <col min="3335" max="3335" width="11.5703125" style="596" bestFit="1" customWidth="1"/>
    <col min="3336" max="3336" width="9.28515625" style="596" bestFit="1" customWidth="1"/>
    <col min="3337" max="3587" width="9.140625" style="596"/>
    <col min="3588" max="3588" width="11" style="596" bestFit="1" customWidth="1"/>
    <col min="3589" max="3589" width="14.7109375" style="596" bestFit="1" customWidth="1"/>
    <col min="3590" max="3590" width="11.42578125" style="596" bestFit="1" customWidth="1"/>
    <col min="3591" max="3591" width="11.5703125" style="596" bestFit="1" customWidth="1"/>
    <col min="3592" max="3592" width="9.28515625" style="596" bestFit="1" customWidth="1"/>
    <col min="3593" max="3843" width="9.140625" style="596"/>
    <col min="3844" max="3844" width="11" style="596" bestFit="1" customWidth="1"/>
    <col min="3845" max="3845" width="14.7109375" style="596" bestFit="1" customWidth="1"/>
    <col min="3846" max="3846" width="11.42578125" style="596" bestFit="1" customWidth="1"/>
    <col min="3847" max="3847" width="11.5703125" style="596" bestFit="1" customWidth="1"/>
    <col min="3848" max="3848" width="9.28515625" style="596" bestFit="1" customWidth="1"/>
    <col min="3849" max="4099" width="9.140625" style="596"/>
    <col min="4100" max="4100" width="11" style="596" bestFit="1" customWidth="1"/>
    <col min="4101" max="4101" width="14.7109375" style="596" bestFit="1" customWidth="1"/>
    <col min="4102" max="4102" width="11.42578125" style="596" bestFit="1" customWidth="1"/>
    <col min="4103" max="4103" width="11.5703125" style="596" bestFit="1" customWidth="1"/>
    <col min="4104" max="4104" width="9.28515625" style="596" bestFit="1" customWidth="1"/>
    <col min="4105" max="4355" width="9.140625" style="596"/>
    <col min="4356" max="4356" width="11" style="596" bestFit="1" customWidth="1"/>
    <col min="4357" max="4357" width="14.7109375" style="596" bestFit="1" customWidth="1"/>
    <col min="4358" max="4358" width="11.42578125" style="596" bestFit="1" customWidth="1"/>
    <col min="4359" max="4359" width="11.5703125" style="596" bestFit="1" customWidth="1"/>
    <col min="4360" max="4360" width="9.28515625" style="596" bestFit="1" customWidth="1"/>
    <col min="4361" max="4611" width="9.140625" style="596"/>
    <col min="4612" max="4612" width="11" style="596" bestFit="1" customWidth="1"/>
    <col min="4613" max="4613" width="14.7109375" style="596" bestFit="1" customWidth="1"/>
    <col min="4614" max="4614" width="11.42578125" style="596" bestFit="1" customWidth="1"/>
    <col min="4615" max="4615" width="11.5703125" style="596" bestFit="1" customWidth="1"/>
    <col min="4616" max="4616" width="9.28515625" style="596" bestFit="1" customWidth="1"/>
    <col min="4617" max="4867" width="9.140625" style="596"/>
    <col min="4868" max="4868" width="11" style="596" bestFit="1" customWidth="1"/>
    <col min="4869" max="4869" width="14.7109375" style="596" bestFit="1" customWidth="1"/>
    <col min="4870" max="4870" width="11.42578125" style="596" bestFit="1" customWidth="1"/>
    <col min="4871" max="4871" width="11.5703125" style="596" bestFit="1" customWidth="1"/>
    <col min="4872" max="4872" width="9.28515625" style="596" bestFit="1" customWidth="1"/>
    <col min="4873" max="5123" width="9.140625" style="596"/>
    <col min="5124" max="5124" width="11" style="596" bestFit="1" customWidth="1"/>
    <col min="5125" max="5125" width="14.7109375" style="596" bestFit="1" customWidth="1"/>
    <col min="5126" max="5126" width="11.42578125" style="596" bestFit="1" customWidth="1"/>
    <col min="5127" max="5127" width="11.5703125" style="596" bestFit="1" customWidth="1"/>
    <col min="5128" max="5128" width="9.28515625" style="596" bestFit="1" customWidth="1"/>
    <col min="5129" max="5379" width="9.140625" style="596"/>
    <col min="5380" max="5380" width="11" style="596" bestFit="1" customWidth="1"/>
    <col min="5381" max="5381" width="14.7109375" style="596" bestFit="1" customWidth="1"/>
    <col min="5382" max="5382" width="11.42578125" style="596" bestFit="1" customWidth="1"/>
    <col min="5383" max="5383" width="11.5703125" style="596" bestFit="1" customWidth="1"/>
    <col min="5384" max="5384" width="9.28515625" style="596" bestFit="1" customWidth="1"/>
    <col min="5385" max="5635" width="9.140625" style="596"/>
    <col min="5636" max="5636" width="11" style="596" bestFit="1" customWidth="1"/>
    <col min="5637" max="5637" width="14.7109375" style="596" bestFit="1" customWidth="1"/>
    <col min="5638" max="5638" width="11.42578125" style="596" bestFit="1" customWidth="1"/>
    <col min="5639" max="5639" width="11.5703125" style="596" bestFit="1" customWidth="1"/>
    <col min="5640" max="5640" width="9.28515625" style="596" bestFit="1" customWidth="1"/>
    <col min="5641" max="5891" width="9.140625" style="596"/>
    <col min="5892" max="5892" width="11" style="596" bestFit="1" customWidth="1"/>
    <col min="5893" max="5893" width="14.7109375" style="596" bestFit="1" customWidth="1"/>
    <col min="5894" max="5894" width="11.42578125" style="596" bestFit="1" customWidth="1"/>
    <col min="5895" max="5895" width="11.5703125" style="596" bestFit="1" customWidth="1"/>
    <col min="5896" max="5896" width="9.28515625" style="596" bestFit="1" customWidth="1"/>
    <col min="5897" max="6147" width="9.140625" style="596"/>
    <col min="6148" max="6148" width="11" style="596" bestFit="1" customWidth="1"/>
    <col min="6149" max="6149" width="14.7109375" style="596" bestFit="1" customWidth="1"/>
    <col min="6150" max="6150" width="11.42578125" style="596" bestFit="1" customWidth="1"/>
    <col min="6151" max="6151" width="11.5703125" style="596" bestFit="1" customWidth="1"/>
    <col min="6152" max="6152" width="9.28515625" style="596" bestFit="1" customWidth="1"/>
    <col min="6153" max="6403" width="9.140625" style="596"/>
    <col min="6404" max="6404" width="11" style="596" bestFit="1" customWidth="1"/>
    <col min="6405" max="6405" width="14.7109375" style="596" bestFit="1" customWidth="1"/>
    <col min="6406" max="6406" width="11.42578125" style="596" bestFit="1" customWidth="1"/>
    <col min="6407" max="6407" width="11.5703125" style="596" bestFit="1" customWidth="1"/>
    <col min="6408" max="6408" width="9.28515625" style="596" bestFit="1" customWidth="1"/>
    <col min="6409" max="6659" width="9.140625" style="596"/>
    <col min="6660" max="6660" width="11" style="596" bestFit="1" customWidth="1"/>
    <col min="6661" max="6661" width="14.7109375" style="596" bestFit="1" customWidth="1"/>
    <col min="6662" max="6662" width="11.42578125" style="596" bestFit="1" customWidth="1"/>
    <col min="6663" max="6663" width="11.5703125" style="596" bestFit="1" customWidth="1"/>
    <col min="6664" max="6664" width="9.28515625" style="596" bestFit="1" customWidth="1"/>
    <col min="6665" max="6915" width="9.140625" style="596"/>
    <col min="6916" max="6916" width="11" style="596" bestFit="1" customWidth="1"/>
    <col min="6917" max="6917" width="14.7109375" style="596" bestFit="1" customWidth="1"/>
    <col min="6918" max="6918" width="11.42578125" style="596" bestFit="1" customWidth="1"/>
    <col min="6919" max="6919" width="11.5703125" style="596" bestFit="1" customWidth="1"/>
    <col min="6920" max="6920" width="9.28515625" style="596" bestFit="1" customWidth="1"/>
    <col min="6921" max="7171" width="9.140625" style="596"/>
    <col min="7172" max="7172" width="11" style="596" bestFit="1" customWidth="1"/>
    <col min="7173" max="7173" width="14.7109375" style="596" bestFit="1" customWidth="1"/>
    <col min="7174" max="7174" width="11.42578125" style="596" bestFit="1" customWidth="1"/>
    <col min="7175" max="7175" width="11.5703125" style="596" bestFit="1" customWidth="1"/>
    <col min="7176" max="7176" width="9.28515625" style="596" bestFit="1" customWidth="1"/>
    <col min="7177" max="7427" width="9.140625" style="596"/>
    <col min="7428" max="7428" width="11" style="596" bestFit="1" customWidth="1"/>
    <col min="7429" max="7429" width="14.7109375" style="596" bestFit="1" customWidth="1"/>
    <col min="7430" max="7430" width="11.42578125" style="596" bestFit="1" customWidth="1"/>
    <col min="7431" max="7431" width="11.5703125" style="596" bestFit="1" customWidth="1"/>
    <col min="7432" max="7432" width="9.28515625" style="596" bestFit="1" customWidth="1"/>
    <col min="7433" max="7683" width="9.140625" style="596"/>
    <col min="7684" max="7684" width="11" style="596" bestFit="1" customWidth="1"/>
    <col min="7685" max="7685" width="14.7109375" style="596" bestFit="1" customWidth="1"/>
    <col min="7686" max="7686" width="11.42578125" style="596" bestFit="1" customWidth="1"/>
    <col min="7687" max="7687" width="11.5703125" style="596" bestFit="1" customWidth="1"/>
    <col min="7688" max="7688" width="9.28515625" style="596" bestFit="1" customWidth="1"/>
    <col min="7689" max="7939" width="9.140625" style="596"/>
    <col min="7940" max="7940" width="11" style="596" bestFit="1" customWidth="1"/>
    <col min="7941" max="7941" width="14.7109375" style="596" bestFit="1" customWidth="1"/>
    <col min="7942" max="7942" width="11.42578125" style="596" bestFit="1" customWidth="1"/>
    <col min="7943" max="7943" width="11.5703125" style="596" bestFit="1" customWidth="1"/>
    <col min="7944" max="7944" width="9.28515625" style="596" bestFit="1" customWidth="1"/>
    <col min="7945" max="8195" width="9.140625" style="596"/>
    <col min="8196" max="8196" width="11" style="596" bestFit="1" customWidth="1"/>
    <col min="8197" max="8197" width="14.7109375" style="596" bestFit="1" customWidth="1"/>
    <col min="8198" max="8198" width="11.42578125" style="596" bestFit="1" customWidth="1"/>
    <col min="8199" max="8199" width="11.5703125" style="596" bestFit="1" customWidth="1"/>
    <col min="8200" max="8200" width="9.28515625" style="596" bestFit="1" customWidth="1"/>
    <col min="8201" max="8451" width="9.140625" style="596"/>
    <col min="8452" max="8452" width="11" style="596" bestFit="1" customWidth="1"/>
    <col min="8453" max="8453" width="14.7109375" style="596" bestFit="1" customWidth="1"/>
    <col min="8454" max="8454" width="11.42578125" style="596" bestFit="1" customWidth="1"/>
    <col min="8455" max="8455" width="11.5703125" style="596" bestFit="1" customWidth="1"/>
    <col min="8456" max="8456" width="9.28515625" style="596" bestFit="1" customWidth="1"/>
    <col min="8457" max="8707" width="9.140625" style="596"/>
    <col min="8708" max="8708" width="11" style="596" bestFit="1" customWidth="1"/>
    <col min="8709" max="8709" width="14.7109375" style="596" bestFit="1" customWidth="1"/>
    <col min="8710" max="8710" width="11.42578125" style="596" bestFit="1" customWidth="1"/>
    <col min="8711" max="8711" width="11.5703125" style="596" bestFit="1" customWidth="1"/>
    <col min="8712" max="8712" width="9.28515625" style="596" bestFit="1" customWidth="1"/>
    <col min="8713" max="8963" width="9.140625" style="596"/>
    <col min="8964" max="8964" width="11" style="596" bestFit="1" customWidth="1"/>
    <col min="8965" max="8965" width="14.7109375" style="596" bestFit="1" customWidth="1"/>
    <col min="8966" max="8966" width="11.42578125" style="596" bestFit="1" customWidth="1"/>
    <col min="8967" max="8967" width="11.5703125" style="596" bestFit="1" customWidth="1"/>
    <col min="8968" max="8968" width="9.28515625" style="596" bestFit="1" customWidth="1"/>
    <col min="8969" max="9219" width="9.140625" style="596"/>
    <col min="9220" max="9220" width="11" style="596" bestFit="1" customWidth="1"/>
    <col min="9221" max="9221" width="14.7109375" style="596" bestFit="1" customWidth="1"/>
    <col min="9222" max="9222" width="11.42578125" style="596" bestFit="1" customWidth="1"/>
    <col min="9223" max="9223" width="11.5703125" style="596" bestFit="1" customWidth="1"/>
    <col min="9224" max="9224" width="9.28515625" style="596" bestFit="1" customWidth="1"/>
    <col min="9225" max="9475" width="9.140625" style="596"/>
    <col min="9476" max="9476" width="11" style="596" bestFit="1" customWidth="1"/>
    <col min="9477" max="9477" width="14.7109375" style="596" bestFit="1" customWidth="1"/>
    <col min="9478" max="9478" width="11.42578125" style="596" bestFit="1" customWidth="1"/>
    <col min="9479" max="9479" width="11.5703125" style="596" bestFit="1" customWidth="1"/>
    <col min="9480" max="9480" width="9.28515625" style="596" bestFit="1" customWidth="1"/>
    <col min="9481" max="9731" width="9.140625" style="596"/>
    <col min="9732" max="9732" width="11" style="596" bestFit="1" customWidth="1"/>
    <col min="9733" max="9733" width="14.7109375" style="596" bestFit="1" customWidth="1"/>
    <col min="9734" max="9734" width="11.42578125" style="596" bestFit="1" customWidth="1"/>
    <col min="9735" max="9735" width="11.5703125" style="596" bestFit="1" customWidth="1"/>
    <col min="9736" max="9736" width="9.28515625" style="596" bestFit="1" customWidth="1"/>
    <col min="9737" max="9987" width="9.140625" style="596"/>
    <col min="9988" max="9988" width="11" style="596" bestFit="1" customWidth="1"/>
    <col min="9989" max="9989" width="14.7109375" style="596" bestFit="1" customWidth="1"/>
    <col min="9990" max="9990" width="11.42578125" style="596" bestFit="1" customWidth="1"/>
    <col min="9991" max="9991" width="11.5703125" style="596" bestFit="1" customWidth="1"/>
    <col min="9992" max="9992" width="9.28515625" style="596" bestFit="1" customWidth="1"/>
    <col min="9993" max="10243" width="9.140625" style="596"/>
    <col min="10244" max="10244" width="11" style="596" bestFit="1" customWidth="1"/>
    <col min="10245" max="10245" width="14.7109375" style="596" bestFit="1" customWidth="1"/>
    <col min="10246" max="10246" width="11.42578125" style="596" bestFit="1" customWidth="1"/>
    <col min="10247" max="10247" width="11.5703125" style="596" bestFit="1" customWidth="1"/>
    <col min="10248" max="10248" width="9.28515625" style="596" bestFit="1" customWidth="1"/>
    <col min="10249" max="10499" width="9.140625" style="596"/>
    <col min="10500" max="10500" width="11" style="596" bestFit="1" customWidth="1"/>
    <col min="10501" max="10501" width="14.7109375" style="596" bestFit="1" customWidth="1"/>
    <col min="10502" max="10502" width="11.42578125" style="596" bestFit="1" customWidth="1"/>
    <col min="10503" max="10503" width="11.5703125" style="596" bestFit="1" customWidth="1"/>
    <col min="10504" max="10504" width="9.28515625" style="596" bestFit="1" customWidth="1"/>
    <col min="10505" max="10755" width="9.140625" style="596"/>
    <col min="10756" max="10756" width="11" style="596" bestFit="1" customWidth="1"/>
    <col min="10757" max="10757" width="14.7109375" style="596" bestFit="1" customWidth="1"/>
    <col min="10758" max="10758" width="11.42578125" style="596" bestFit="1" customWidth="1"/>
    <col min="10759" max="10759" width="11.5703125" style="596" bestFit="1" customWidth="1"/>
    <col min="10760" max="10760" width="9.28515625" style="596" bestFit="1" customWidth="1"/>
    <col min="10761" max="11011" width="9.140625" style="596"/>
    <col min="11012" max="11012" width="11" style="596" bestFit="1" customWidth="1"/>
    <col min="11013" max="11013" width="14.7109375" style="596" bestFit="1" customWidth="1"/>
    <col min="11014" max="11014" width="11.42578125" style="596" bestFit="1" customWidth="1"/>
    <col min="11015" max="11015" width="11.5703125" style="596" bestFit="1" customWidth="1"/>
    <col min="11016" max="11016" width="9.28515625" style="596" bestFit="1" customWidth="1"/>
    <col min="11017" max="11267" width="9.140625" style="596"/>
    <col min="11268" max="11268" width="11" style="596" bestFit="1" customWidth="1"/>
    <col min="11269" max="11269" width="14.7109375" style="596" bestFit="1" customWidth="1"/>
    <col min="11270" max="11270" width="11.42578125" style="596" bestFit="1" customWidth="1"/>
    <col min="11271" max="11271" width="11.5703125" style="596" bestFit="1" customWidth="1"/>
    <col min="11272" max="11272" width="9.28515625" style="596" bestFit="1" customWidth="1"/>
    <col min="11273" max="11523" width="9.140625" style="596"/>
    <col min="11524" max="11524" width="11" style="596" bestFit="1" customWidth="1"/>
    <col min="11525" max="11525" width="14.7109375" style="596" bestFit="1" customWidth="1"/>
    <col min="11526" max="11526" width="11.42578125" style="596" bestFit="1" customWidth="1"/>
    <col min="11527" max="11527" width="11.5703125" style="596" bestFit="1" customWidth="1"/>
    <col min="11528" max="11528" width="9.28515625" style="596" bestFit="1" customWidth="1"/>
    <col min="11529" max="11779" width="9.140625" style="596"/>
    <col min="11780" max="11780" width="11" style="596" bestFit="1" customWidth="1"/>
    <col min="11781" max="11781" width="14.7109375" style="596" bestFit="1" customWidth="1"/>
    <col min="11782" max="11782" width="11.42578125" style="596" bestFit="1" customWidth="1"/>
    <col min="11783" max="11783" width="11.5703125" style="596" bestFit="1" customWidth="1"/>
    <col min="11784" max="11784" width="9.28515625" style="596" bestFit="1" customWidth="1"/>
    <col min="11785" max="12035" width="9.140625" style="596"/>
    <col min="12036" max="12036" width="11" style="596" bestFit="1" customWidth="1"/>
    <col min="12037" max="12037" width="14.7109375" style="596" bestFit="1" customWidth="1"/>
    <col min="12038" max="12038" width="11.42578125" style="596" bestFit="1" customWidth="1"/>
    <col min="12039" max="12039" width="11.5703125" style="596" bestFit="1" customWidth="1"/>
    <col min="12040" max="12040" width="9.28515625" style="596" bestFit="1" customWidth="1"/>
    <col min="12041" max="12291" width="9.140625" style="596"/>
    <col min="12292" max="12292" width="11" style="596" bestFit="1" customWidth="1"/>
    <col min="12293" max="12293" width="14.7109375" style="596" bestFit="1" customWidth="1"/>
    <col min="12294" max="12294" width="11.42578125" style="596" bestFit="1" customWidth="1"/>
    <col min="12295" max="12295" width="11.5703125" style="596" bestFit="1" customWidth="1"/>
    <col min="12296" max="12296" width="9.28515625" style="596" bestFit="1" customWidth="1"/>
    <col min="12297" max="12547" width="9.140625" style="596"/>
    <col min="12548" max="12548" width="11" style="596" bestFit="1" customWidth="1"/>
    <col min="12549" max="12549" width="14.7109375" style="596" bestFit="1" customWidth="1"/>
    <col min="12550" max="12550" width="11.42578125" style="596" bestFit="1" customWidth="1"/>
    <col min="12551" max="12551" width="11.5703125" style="596" bestFit="1" customWidth="1"/>
    <col min="12552" max="12552" width="9.28515625" style="596" bestFit="1" customWidth="1"/>
    <col min="12553" max="12803" width="9.140625" style="596"/>
    <col min="12804" max="12804" width="11" style="596" bestFit="1" customWidth="1"/>
    <col min="12805" max="12805" width="14.7109375" style="596" bestFit="1" customWidth="1"/>
    <col min="12806" max="12806" width="11.42578125" style="596" bestFit="1" customWidth="1"/>
    <col min="12807" max="12807" width="11.5703125" style="596" bestFit="1" customWidth="1"/>
    <col min="12808" max="12808" width="9.28515625" style="596" bestFit="1" customWidth="1"/>
    <col min="12809" max="13059" width="9.140625" style="596"/>
    <col min="13060" max="13060" width="11" style="596" bestFit="1" customWidth="1"/>
    <col min="13061" max="13061" width="14.7109375" style="596" bestFit="1" customWidth="1"/>
    <col min="13062" max="13062" width="11.42578125" style="596" bestFit="1" customWidth="1"/>
    <col min="13063" max="13063" width="11.5703125" style="596" bestFit="1" customWidth="1"/>
    <col min="13064" max="13064" width="9.28515625" style="596" bestFit="1" customWidth="1"/>
    <col min="13065" max="13315" width="9.140625" style="596"/>
    <col min="13316" max="13316" width="11" style="596" bestFit="1" customWidth="1"/>
    <col min="13317" max="13317" width="14.7109375" style="596" bestFit="1" customWidth="1"/>
    <col min="13318" max="13318" width="11.42578125" style="596" bestFit="1" customWidth="1"/>
    <col min="13319" max="13319" width="11.5703125" style="596" bestFit="1" customWidth="1"/>
    <col min="13320" max="13320" width="9.28515625" style="596" bestFit="1" customWidth="1"/>
    <col min="13321" max="13571" width="9.140625" style="596"/>
    <col min="13572" max="13572" width="11" style="596" bestFit="1" customWidth="1"/>
    <col min="13573" max="13573" width="14.7109375" style="596" bestFit="1" customWidth="1"/>
    <col min="13574" max="13574" width="11.42578125" style="596" bestFit="1" customWidth="1"/>
    <col min="13575" max="13575" width="11.5703125" style="596" bestFit="1" customWidth="1"/>
    <col min="13576" max="13576" width="9.28515625" style="596" bestFit="1" customWidth="1"/>
    <col min="13577" max="13827" width="9.140625" style="596"/>
    <col min="13828" max="13828" width="11" style="596" bestFit="1" customWidth="1"/>
    <col min="13829" max="13829" width="14.7109375" style="596" bestFit="1" customWidth="1"/>
    <col min="13830" max="13830" width="11.42578125" style="596" bestFit="1" customWidth="1"/>
    <col min="13831" max="13831" width="11.5703125" style="596" bestFit="1" customWidth="1"/>
    <col min="13832" max="13832" width="9.28515625" style="596" bestFit="1" customWidth="1"/>
    <col min="13833" max="14083" width="9.140625" style="596"/>
    <col min="14084" max="14084" width="11" style="596" bestFit="1" customWidth="1"/>
    <col min="14085" max="14085" width="14.7109375" style="596" bestFit="1" customWidth="1"/>
    <col min="14086" max="14086" width="11.42578125" style="596" bestFit="1" customWidth="1"/>
    <col min="14087" max="14087" width="11.5703125" style="596" bestFit="1" customWidth="1"/>
    <col min="14088" max="14088" width="9.28515625" style="596" bestFit="1" customWidth="1"/>
    <col min="14089" max="14339" width="9.140625" style="596"/>
    <col min="14340" max="14340" width="11" style="596" bestFit="1" customWidth="1"/>
    <col min="14341" max="14341" width="14.7109375" style="596" bestFit="1" customWidth="1"/>
    <col min="14342" max="14342" width="11.42578125" style="596" bestFit="1" customWidth="1"/>
    <col min="14343" max="14343" width="11.5703125" style="596" bestFit="1" customWidth="1"/>
    <col min="14344" max="14344" width="9.28515625" style="596" bestFit="1" customWidth="1"/>
    <col min="14345" max="14595" width="9.140625" style="596"/>
    <col min="14596" max="14596" width="11" style="596" bestFit="1" customWidth="1"/>
    <col min="14597" max="14597" width="14.7109375" style="596" bestFit="1" customWidth="1"/>
    <col min="14598" max="14598" width="11.42578125" style="596" bestFit="1" customWidth="1"/>
    <col min="14599" max="14599" width="11.5703125" style="596" bestFit="1" customWidth="1"/>
    <col min="14600" max="14600" width="9.28515625" style="596" bestFit="1" customWidth="1"/>
    <col min="14601" max="14851" width="9.140625" style="596"/>
    <col min="14852" max="14852" width="11" style="596" bestFit="1" customWidth="1"/>
    <col min="14853" max="14853" width="14.7109375" style="596" bestFit="1" customWidth="1"/>
    <col min="14854" max="14854" width="11.42578125" style="596" bestFit="1" customWidth="1"/>
    <col min="14855" max="14855" width="11.5703125" style="596" bestFit="1" customWidth="1"/>
    <col min="14856" max="14856" width="9.28515625" style="596" bestFit="1" customWidth="1"/>
    <col min="14857" max="15107" width="9.140625" style="596"/>
    <col min="15108" max="15108" width="11" style="596" bestFit="1" customWidth="1"/>
    <col min="15109" max="15109" width="14.7109375" style="596" bestFit="1" customWidth="1"/>
    <col min="15110" max="15110" width="11.42578125" style="596" bestFit="1" customWidth="1"/>
    <col min="15111" max="15111" width="11.5703125" style="596" bestFit="1" customWidth="1"/>
    <col min="15112" max="15112" width="9.28515625" style="596" bestFit="1" customWidth="1"/>
    <col min="15113" max="15363" width="9.140625" style="596"/>
    <col min="15364" max="15364" width="11" style="596" bestFit="1" customWidth="1"/>
    <col min="15365" max="15365" width="14.7109375" style="596" bestFit="1" customWidth="1"/>
    <col min="15366" max="15366" width="11.42578125" style="596" bestFit="1" customWidth="1"/>
    <col min="15367" max="15367" width="11.5703125" style="596" bestFit="1" customWidth="1"/>
    <col min="15368" max="15368" width="9.28515625" style="596" bestFit="1" customWidth="1"/>
    <col min="15369" max="15619" width="9.140625" style="596"/>
    <col min="15620" max="15620" width="11" style="596" bestFit="1" customWidth="1"/>
    <col min="15621" max="15621" width="14.7109375" style="596" bestFit="1" customWidth="1"/>
    <col min="15622" max="15622" width="11.42578125" style="596" bestFit="1" customWidth="1"/>
    <col min="15623" max="15623" width="11.5703125" style="596" bestFit="1" customWidth="1"/>
    <col min="15624" max="15624" width="9.28515625" style="596" bestFit="1" customWidth="1"/>
    <col min="15625" max="15875" width="9.140625" style="596"/>
    <col min="15876" max="15876" width="11" style="596" bestFit="1" customWidth="1"/>
    <col min="15877" max="15877" width="14.7109375" style="596" bestFit="1" customWidth="1"/>
    <col min="15878" max="15878" width="11.42578125" style="596" bestFit="1" customWidth="1"/>
    <col min="15879" max="15879" width="11.5703125" style="596" bestFit="1" customWidth="1"/>
    <col min="15880" max="15880" width="9.28515625" style="596" bestFit="1" customWidth="1"/>
    <col min="15881" max="16131" width="9.140625" style="596"/>
    <col min="16132" max="16132" width="11" style="596" bestFit="1" customWidth="1"/>
    <col min="16133" max="16133" width="14.7109375" style="596" bestFit="1" customWidth="1"/>
    <col min="16134" max="16134" width="11.42578125" style="596" bestFit="1" customWidth="1"/>
    <col min="16135" max="16135" width="11.5703125" style="596" bestFit="1" customWidth="1"/>
    <col min="16136" max="16136" width="9.28515625" style="596" bestFit="1" customWidth="1"/>
    <col min="16137" max="16384" width="9.140625" style="596"/>
  </cols>
  <sheetData>
    <row r="1" spans="1:8">
      <c r="A1" s="617" t="s">
        <v>852</v>
      </c>
      <c r="B1" s="617" t="s">
        <v>853</v>
      </c>
      <c r="C1" s="617" t="s">
        <v>854</v>
      </c>
      <c r="D1" s="618" t="s">
        <v>855</v>
      </c>
      <c r="E1" s="617" t="s">
        <v>856</v>
      </c>
      <c r="F1" s="617" t="s">
        <v>857</v>
      </c>
      <c r="G1" s="617" t="s">
        <v>858</v>
      </c>
      <c r="H1" s="617" t="s">
        <v>859</v>
      </c>
    </row>
    <row r="2" spans="1:8">
      <c r="A2" s="611">
        <v>2562</v>
      </c>
      <c r="B2" s="611">
        <v>11</v>
      </c>
      <c r="C2" s="611">
        <v>2</v>
      </c>
      <c r="D2" s="619">
        <v>1500400120</v>
      </c>
      <c r="E2" s="620" t="s">
        <v>731</v>
      </c>
      <c r="F2" s="621">
        <v>2463817.98</v>
      </c>
      <c r="G2" s="622">
        <v>1676779.68</v>
      </c>
      <c r="H2" s="622">
        <v>68.056150803802481</v>
      </c>
    </row>
    <row r="3" spans="1:8">
      <c r="A3" s="603">
        <v>2562</v>
      </c>
      <c r="B3" s="603">
        <v>11</v>
      </c>
      <c r="C3" s="603">
        <v>2</v>
      </c>
      <c r="D3" s="623">
        <v>1500400113</v>
      </c>
      <c r="E3" s="596" t="s">
        <v>725</v>
      </c>
      <c r="F3" s="614">
        <v>1252867.56</v>
      </c>
      <c r="G3" s="602">
        <v>723670.87</v>
      </c>
      <c r="H3" s="602">
        <v>57.761162720184082</v>
      </c>
    </row>
    <row r="4" spans="1:8">
      <c r="A4" s="603">
        <v>2562</v>
      </c>
      <c r="B4" s="603">
        <v>11</v>
      </c>
      <c r="C4" s="603">
        <v>2</v>
      </c>
      <c r="D4" s="623">
        <v>1500400121</v>
      </c>
      <c r="E4" s="596" t="s">
        <v>839</v>
      </c>
      <c r="F4" s="614">
        <v>1480390</v>
      </c>
      <c r="G4" s="602">
        <v>517095.27</v>
      </c>
      <c r="H4" s="602">
        <v>34.929665155803541</v>
      </c>
    </row>
    <row r="5" spans="1:8">
      <c r="A5" s="603">
        <v>2562</v>
      </c>
      <c r="B5" s="603">
        <v>11</v>
      </c>
      <c r="C5" s="603">
        <v>2</v>
      </c>
      <c r="D5" s="623">
        <v>1500400122</v>
      </c>
      <c r="E5" s="596" t="s">
        <v>733</v>
      </c>
      <c r="F5" s="614">
        <v>2292317.64</v>
      </c>
      <c r="G5" s="602">
        <v>721048.63</v>
      </c>
      <c r="H5" s="602">
        <v>31.455005075125626</v>
      </c>
    </row>
    <row r="6" spans="1:8">
      <c r="A6" s="603">
        <v>2562</v>
      </c>
      <c r="B6" s="603">
        <v>11</v>
      </c>
      <c r="C6" s="603">
        <v>2</v>
      </c>
      <c r="D6" s="623">
        <v>1500400114</v>
      </c>
      <c r="E6" s="596" t="s">
        <v>726</v>
      </c>
      <c r="F6" s="614">
        <v>1880727.56</v>
      </c>
      <c r="G6" s="602">
        <v>529571.04</v>
      </c>
      <c r="H6" s="602">
        <v>28.157775281391633</v>
      </c>
    </row>
    <row r="7" spans="1:8">
      <c r="A7" s="603">
        <v>2562</v>
      </c>
      <c r="B7" s="603">
        <v>11</v>
      </c>
      <c r="C7" s="603">
        <v>2</v>
      </c>
      <c r="D7" s="623">
        <v>1500400123</v>
      </c>
      <c r="E7" s="596" t="s">
        <v>734</v>
      </c>
      <c r="F7" s="614">
        <v>2076760</v>
      </c>
      <c r="G7" s="602">
        <v>569894.81000000006</v>
      </c>
      <c r="H7" s="602">
        <v>27.441534409368444</v>
      </c>
    </row>
    <row r="8" spans="1:8">
      <c r="A8" s="603">
        <v>2562</v>
      </c>
      <c r="B8" s="603">
        <v>11</v>
      </c>
      <c r="C8" s="603">
        <v>2</v>
      </c>
      <c r="D8" s="623">
        <v>1500400118</v>
      </c>
      <c r="E8" s="596" t="s">
        <v>838</v>
      </c>
      <c r="F8" s="614">
        <v>2680479.2599999998</v>
      </c>
      <c r="G8" s="602">
        <v>721927.68000000005</v>
      </c>
      <c r="H8" s="602">
        <v>26.932783654517067</v>
      </c>
    </row>
    <row r="9" spans="1:8">
      <c r="A9" s="603">
        <v>2562</v>
      </c>
      <c r="B9" s="603">
        <v>11</v>
      </c>
      <c r="C9" s="603">
        <v>2</v>
      </c>
      <c r="D9" s="623">
        <v>1500400115</v>
      </c>
      <c r="E9" s="596" t="s">
        <v>727</v>
      </c>
      <c r="F9" s="614">
        <v>1649717.98</v>
      </c>
      <c r="G9" s="602">
        <v>433405.07</v>
      </c>
      <c r="H9" s="602">
        <v>26.271464289914572</v>
      </c>
    </row>
    <row r="10" spans="1:8">
      <c r="A10" s="603">
        <v>2562</v>
      </c>
      <c r="B10" s="603">
        <v>11</v>
      </c>
      <c r="C10" s="603">
        <v>2</v>
      </c>
      <c r="D10" s="623">
        <v>1500400117</v>
      </c>
      <c r="E10" s="596" t="s">
        <v>840</v>
      </c>
      <c r="F10" s="614">
        <v>2749012.77</v>
      </c>
      <c r="G10" s="602">
        <v>706176</v>
      </c>
      <c r="H10" s="602">
        <v>25.688349203266888</v>
      </c>
    </row>
    <row r="11" spans="1:8">
      <c r="A11" s="603">
        <v>2562</v>
      </c>
      <c r="B11" s="603">
        <v>11</v>
      </c>
      <c r="C11" s="603">
        <v>2</v>
      </c>
      <c r="D11" s="623">
        <v>1500400116</v>
      </c>
      <c r="E11" s="596" t="s">
        <v>728</v>
      </c>
      <c r="F11" s="614">
        <v>2788400.33</v>
      </c>
      <c r="G11" s="602">
        <v>663545.94999999995</v>
      </c>
      <c r="H11" s="602">
        <v>23.796652971992724</v>
      </c>
    </row>
    <row r="12" spans="1:8">
      <c r="A12" s="603">
        <v>2562</v>
      </c>
      <c r="B12" s="603">
        <v>11</v>
      </c>
      <c r="C12" s="603">
        <v>2</v>
      </c>
      <c r="D12" s="623">
        <v>1500400119</v>
      </c>
      <c r="E12" s="596" t="s">
        <v>730</v>
      </c>
      <c r="F12" s="614">
        <v>2972168.21</v>
      </c>
      <c r="G12" s="602">
        <v>660594.93000000005</v>
      </c>
      <c r="H12" s="602">
        <v>22.226027711937611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2"/>
  <dimension ref="A1:R745"/>
  <sheetViews>
    <sheetView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I109" sqref="I109"/>
    </sheetView>
  </sheetViews>
  <sheetFormatPr defaultRowHeight="12.75"/>
  <cols>
    <col min="1" max="1" width="2.42578125" customWidth="1"/>
    <col min="2" max="2" width="4" customWidth="1"/>
    <col min="3" max="3" width="32.42578125" bestFit="1" customWidth="1"/>
    <col min="4" max="7" width="9.140625" hidden="1" customWidth="1"/>
    <col min="8" max="8" width="17.28515625" customWidth="1"/>
    <col min="9" max="10" width="17.140625" style="466" bestFit="1" customWidth="1"/>
    <col min="11" max="11" width="9.140625" hidden="1" customWidth="1"/>
    <col min="12" max="12" width="17.140625" style="466" bestFit="1" customWidth="1"/>
    <col min="13" max="13" width="10.5703125" hidden="1" customWidth="1"/>
    <col min="14" max="14" width="17.140625" style="466" bestFit="1" customWidth="1"/>
    <col min="15" max="15" width="5.42578125" bestFit="1" customWidth="1"/>
    <col min="17" max="17" width="13.42578125" bestFit="1" customWidth="1"/>
    <col min="18" max="18" width="10.7109375" bestFit="1" customWidth="1"/>
  </cols>
  <sheetData>
    <row r="1" spans="1:18">
      <c r="A1" t="s">
        <v>587</v>
      </c>
    </row>
    <row r="2" spans="1:18">
      <c r="A2" t="s">
        <v>40</v>
      </c>
      <c r="E2">
        <v>2018</v>
      </c>
      <c r="F2" t="s">
        <v>41</v>
      </c>
      <c r="K2" t="s">
        <v>43</v>
      </c>
      <c r="N2" s="466" t="s">
        <v>780</v>
      </c>
    </row>
    <row r="3" spans="1:18">
      <c r="A3" t="s">
        <v>45</v>
      </c>
      <c r="D3" t="s">
        <v>72</v>
      </c>
      <c r="G3" t="s">
        <v>46</v>
      </c>
      <c r="N3" s="156">
        <v>2.1412037037037038E-3</v>
      </c>
      <c r="O3" s="156"/>
    </row>
    <row r="5" spans="1:18">
      <c r="C5" t="s">
        <v>588</v>
      </c>
      <c r="H5" t="s">
        <v>772</v>
      </c>
      <c r="I5" s="466" t="s">
        <v>767</v>
      </c>
      <c r="J5" s="466" t="s">
        <v>768</v>
      </c>
      <c r="L5" s="466" t="s">
        <v>769</v>
      </c>
      <c r="N5" s="466" t="s">
        <v>770</v>
      </c>
    </row>
    <row r="7" spans="1:18">
      <c r="C7" t="s">
        <v>589</v>
      </c>
      <c r="H7" s="157">
        <v>9328118200</v>
      </c>
      <c r="I7" s="466">
        <v>1392457150.74</v>
      </c>
      <c r="J7" s="466">
        <v>4307360892.0900002</v>
      </c>
      <c r="L7" s="466">
        <v>3104474911.8000002</v>
      </c>
      <c r="N7" s="466">
        <v>523825245.37</v>
      </c>
      <c r="O7" s="157"/>
    </row>
    <row r="8" spans="1:18">
      <c r="C8" t="s">
        <v>590</v>
      </c>
      <c r="H8">
        <v>56041685.25</v>
      </c>
      <c r="N8" s="466">
        <v>56041685.25</v>
      </c>
      <c r="Q8" s="467"/>
      <c r="R8" s="467"/>
    </row>
    <row r="9" spans="1:18" hidden="1">
      <c r="C9" t="s">
        <v>682</v>
      </c>
      <c r="H9">
        <v>54689279.25</v>
      </c>
      <c r="N9" s="466">
        <v>54689279.25</v>
      </c>
    </row>
    <row r="10" spans="1:18" hidden="1">
      <c r="C10" t="s">
        <v>683</v>
      </c>
      <c r="H10">
        <v>54689279.25</v>
      </c>
      <c r="N10" s="466">
        <v>54689279.25</v>
      </c>
    </row>
    <row r="11" spans="1:18" hidden="1">
      <c r="C11" t="s">
        <v>591</v>
      </c>
    </row>
    <row r="12" spans="1:18" hidden="1">
      <c r="C12" t="s">
        <v>592</v>
      </c>
    </row>
    <row r="13" spans="1:18" hidden="1">
      <c r="C13" t="s">
        <v>593</v>
      </c>
    </row>
    <row r="14" spans="1:18" hidden="1">
      <c r="C14" t="s">
        <v>592</v>
      </c>
    </row>
    <row r="15" spans="1:18" hidden="1">
      <c r="C15" t="s">
        <v>594</v>
      </c>
    </row>
    <row r="16" spans="1:18" hidden="1">
      <c r="C16" t="s">
        <v>592</v>
      </c>
    </row>
    <row r="17" spans="3:14" hidden="1">
      <c r="C17" t="s">
        <v>595</v>
      </c>
    </row>
    <row r="18" spans="3:14" hidden="1">
      <c r="C18" t="s">
        <v>592</v>
      </c>
    </row>
    <row r="19" spans="3:14" hidden="1">
      <c r="C19" t="s">
        <v>596</v>
      </c>
    </row>
    <row r="20" spans="3:14" hidden="1">
      <c r="C20" t="s">
        <v>592</v>
      </c>
    </row>
    <row r="21" spans="3:14" hidden="1">
      <c r="C21" t="s">
        <v>597</v>
      </c>
      <c r="H21">
        <v>459800</v>
      </c>
      <c r="N21" s="466">
        <v>459800</v>
      </c>
    </row>
    <row r="22" spans="3:14" hidden="1">
      <c r="C22" t="s">
        <v>592</v>
      </c>
      <c r="H22">
        <v>459800</v>
      </c>
      <c r="N22" s="466">
        <v>459800</v>
      </c>
    </row>
    <row r="23" spans="3:14" hidden="1">
      <c r="C23" t="s">
        <v>598</v>
      </c>
    </row>
    <row r="24" spans="3:14" hidden="1">
      <c r="C24" t="s">
        <v>592</v>
      </c>
    </row>
    <row r="25" spans="3:14" hidden="1">
      <c r="C25" t="s">
        <v>599</v>
      </c>
      <c r="H25">
        <v>293891</v>
      </c>
      <c r="N25" s="466">
        <v>293891</v>
      </c>
    </row>
    <row r="26" spans="3:14" hidden="1">
      <c r="C26" t="s">
        <v>592</v>
      </c>
      <c r="H26">
        <v>293891</v>
      </c>
      <c r="N26" s="466">
        <v>293891</v>
      </c>
    </row>
    <row r="27" spans="3:14" hidden="1">
      <c r="C27" t="s">
        <v>600</v>
      </c>
      <c r="H27">
        <v>27600</v>
      </c>
      <c r="N27" s="466">
        <v>27600</v>
      </c>
    </row>
    <row r="28" spans="3:14" hidden="1">
      <c r="C28" t="s">
        <v>592</v>
      </c>
      <c r="H28">
        <v>27600</v>
      </c>
      <c r="N28" s="466">
        <v>27600</v>
      </c>
    </row>
    <row r="29" spans="3:14" hidden="1">
      <c r="C29" t="s">
        <v>601</v>
      </c>
    </row>
    <row r="30" spans="3:14" hidden="1">
      <c r="C30" t="s">
        <v>592</v>
      </c>
    </row>
    <row r="31" spans="3:14" hidden="1">
      <c r="C31" t="s">
        <v>602</v>
      </c>
    </row>
    <row r="32" spans="3:14" hidden="1">
      <c r="C32" t="s">
        <v>592</v>
      </c>
    </row>
    <row r="33" spans="3:14" hidden="1">
      <c r="C33" t="s">
        <v>603</v>
      </c>
      <c r="H33">
        <v>232950</v>
      </c>
      <c r="N33" s="466">
        <v>232950</v>
      </c>
    </row>
    <row r="34" spans="3:14" hidden="1">
      <c r="C34" t="s">
        <v>592</v>
      </c>
      <c r="H34">
        <v>232950</v>
      </c>
      <c r="N34" s="466">
        <v>232950</v>
      </c>
    </row>
    <row r="35" spans="3:14" hidden="1">
      <c r="C35" t="s">
        <v>604</v>
      </c>
      <c r="H35">
        <v>183940</v>
      </c>
      <c r="N35" s="466">
        <v>183940</v>
      </c>
    </row>
    <row r="36" spans="3:14" hidden="1">
      <c r="C36" t="s">
        <v>592</v>
      </c>
      <c r="H36">
        <v>183940</v>
      </c>
      <c r="N36" s="466">
        <v>183940</v>
      </c>
    </row>
    <row r="37" spans="3:14" hidden="1">
      <c r="C37" t="s">
        <v>605</v>
      </c>
    </row>
    <row r="38" spans="3:14" hidden="1">
      <c r="C38" t="s">
        <v>592</v>
      </c>
    </row>
    <row r="39" spans="3:14" hidden="1">
      <c r="C39" t="s">
        <v>606</v>
      </c>
    </row>
    <row r="40" spans="3:14" hidden="1">
      <c r="C40" t="s">
        <v>592</v>
      </c>
    </row>
    <row r="41" spans="3:14" hidden="1">
      <c r="C41" t="s">
        <v>607</v>
      </c>
    </row>
    <row r="42" spans="3:14" hidden="1">
      <c r="C42" t="s">
        <v>592</v>
      </c>
    </row>
    <row r="43" spans="3:14" hidden="1">
      <c r="C43" t="s">
        <v>608</v>
      </c>
      <c r="H43">
        <v>55000</v>
      </c>
      <c r="N43" s="466">
        <v>55000</v>
      </c>
    </row>
    <row r="44" spans="3:14" hidden="1">
      <c r="C44" t="s">
        <v>592</v>
      </c>
      <c r="H44">
        <v>55000</v>
      </c>
      <c r="N44" s="466">
        <v>55000</v>
      </c>
    </row>
    <row r="45" spans="3:14" hidden="1">
      <c r="C45" t="s">
        <v>609</v>
      </c>
    </row>
    <row r="46" spans="3:14" hidden="1">
      <c r="C46" t="s">
        <v>592</v>
      </c>
    </row>
    <row r="47" spans="3:14" hidden="1">
      <c r="C47" t="s">
        <v>610</v>
      </c>
    </row>
    <row r="48" spans="3:14" hidden="1">
      <c r="C48" t="s">
        <v>592</v>
      </c>
    </row>
    <row r="49" spans="3:3" hidden="1">
      <c r="C49" t="s">
        <v>611</v>
      </c>
    </row>
    <row r="50" spans="3:3" hidden="1">
      <c r="C50" t="s">
        <v>592</v>
      </c>
    </row>
    <row r="51" spans="3:3" hidden="1">
      <c r="C51" t="s">
        <v>612</v>
      </c>
    </row>
    <row r="52" spans="3:3" hidden="1">
      <c r="C52" t="s">
        <v>592</v>
      </c>
    </row>
    <row r="53" spans="3:3" hidden="1">
      <c r="C53" t="s">
        <v>613</v>
      </c>
    </row>
    <row r="54" spans="3:3" hidden="1">
      <c r="C54" t="s">
        <v>592</v>
      </c>
    </row>
    <row r="55" spans="3:3" hidden="1">
      <c r="C55" t="s">
        <v>614</v>
      </c>
    </row>
    <row r="56" spans="3:3" hidden="1">
      <c r="C56" t="s">
        <v>592</v>
      </c>
    </row>
    <row r="57" spans="3:3" hidden="1">
      <c r="C57" t="s">
        <v>615</v>
      </c>
    </row>
    <row r="58" spans="3:3" hidden="1">
      <c r="C58" t="s">
        <v>592</v>
      </c>
    </row>
    <row r="59" spans="3:3" hidden="1">
      <c r="C59" t="s">
        <v>616</v>
      </c>
    </row>
    <row r="60" spans="3:3" hidden="1">
      <c r="C60" t="s">
        <v>592</v>
      </c>
    </row>
    <row r="61" spans="3:3" hidden="1">
      <c r="C61" t="s">
        <v>617</v>
      </c>
    </row>
    <row r="62" spans="3:3" hidden="1">
      <c r="C62" t="s">
        <v>592</v>
      </c>
    </row>
    <row r="63" spans="3:3" hidden="1">
      <c r="C63" t="s">
        <v>618</v>
      </c>
    </row>
    <row r="64" spans="3:3" hidden="1">
      <c r="C64" t="s">
        <v>592</v>
      </c>
    </row>
    <row r="65" spans="3:3" hidden="1">
      <c r="C65" t="s">
        <v>619</v>
      </c>
    </row>
    <row r="66" spans="3:3" hidden="1">
      <c r="C66" t="s">
        <v>592</v>
      </c>
    </row>
    <row r="67" spans="3:3" hidden="1">
      <c r="C67" t="s">
        <v>620</v>
      </c>
    </row>
    <row r="68" spans="3:3" hidden="1">
      <c r="C68" t="s">
        <v>592</v>
      </c>
    </row>
    <row r="69" spans="3:3" hidden="1">
      <c r="C69" t="s">
        <v>621</v>
      </c>
    </row>
    <row r="70" spans="3:3" hidden="1">
      <c r="C70" t="s">
        <v>592</v>
      </c>
    </row>
    <row r="71" spans="3:3" hidden="1">
      <c r="C71" t="s">
        <v>622</v>
      </c>
    </row>
    <row r="72" spans="3:3" hidden="1">
      <c r="C72" t="s">
        <v>592</v>
      </c>
    </row>
    <row r="73" spans="3:3" hidden="1">
      <c r="C73" t="s">
        <v>623</v>
      </c>
    </row>
    <row r="74" spans="3:3" hidden="1">
      <c r="C74" t="s">
        <v>592</v>
      </c>
    </row>
    <row r="75" spans="3:3" hidden="1">
      <c r="C75" t="s">
        <v>624</v>
      </c>
    </row>
    <row r="76" spans="3:3" hidden="1">
      <c r="C76" t="s">
        <v>592</v>
      </c>
    </row>
    <row r="77" spans="3:3" hidden="1">
      <c r="C77" t="s">
        <v>625</v>
      </c>
    </row>
    <row r="78" spans="3:3" hidden="1">
      <c r="C78" t="s">
        <v>592</v>
      </c>
    </row>
    <row r="79" spans="3:3" hidden="1">
      <c r="C79" t="s">
        <v>626</v>
      </c>
    </row>
    <row r="80" spans="3:3" hidden="1">
      <c r="C80" t="s">
        <v>592</v>
      </c>
    </row>
    <row r="81" spans="3:14" hidden="1">
      <c r="C81" t="s">
        <v>627</v>
      </c>
    </row>
    <row r="82" spans="3:14" hidden="1">
      <c r="C82" t="s">
        <v>592</v>
      </c>
    </row>
    <row r="83" spans="3:14" hidden="1">
      <c r="C83" t="s">
        <v>628</v>
      </c>
    </row>
    <row r="84" spans="3:14" hidden="1">
      <c r="C84" t="s">
        <v>592</v>
      </c>
    </row>
    <row r="85" spans="3:14" hidden="1">
      <c r="C85" t="s">
        <v>629</v>
      </c>
    </row>
    <row r="86" spans="3:14" hidden="1">
      <c r="C86" t="s">
        <v>592</v>
      </c>
    </row>
    <row r="87" spans="3:14" hidden="1">
      <c r="C87" t="s">
        <v>630</v>
      </c>
      <c r="H87">
        <v>49225</v>
      </c>
      <c r="N87" s="466">
        <v>49225</v>
      </c>
    </row>
    <row r="88" spans="3:14" hidden="1">
      <c r="C88" t="s">
        <v>592</v>
      </c>
      <c r="H88">
        <v>49225</v>
      </c>
      <c r="N88" s="466">
        <v>49225</v>
      </c>
    </row>
    <row r="89" spans="3:14" hidden="1">
      <c r="C89" t="s">
        <v>631</v>
      </c>
    </row>
    <row r="90" spans="3:14" hidden="1">
      <c r="C90" t="s">
        <v>592</v>
      </c>
    </row>
    <row r="91" spans="3:14" hidden="1">
      <c r="C91" t="s">
        <v>632</v>
      </c>
    </row>
    <row r="92" spans="3:14" hidden="1">
      <c r="C92" t="s">
        <v>592</v>
      </c>
    </row>
    <row r="93" spans="3:14" hidden="1">
      <c r="C93" t="s">
        <v>633</v>
      </c>
    </row>
    <row r="94" spans="3:14" hidden="1">
      <c r="C94" t="s">
        <v>592</v>
      </c>
    </row>
    <row r="95" spans="3:14" hidden="1">
      <c r="C95" t="s">
        <v>634</v>
      </c>
    </row>
    <row r="96" spans="3:14" hidden="1">
      <c r="C96" t="s">
        <v>592</v>
      </c>
    </row>
    <row r="97" spans="3:15" hidden="1">
      <c r="C97" t="s">
        <v>635</v>
      </c>
    </row>
    <row r="98" spans="3:15" hidden="1">
      <c r="C98" t="s">
        <v>592</v>
      </c>
    </row>
    <row r="99" spans="3:15" hidden="1">
      <c r="C99" t="s">
        <v>636</v>
      </c>
    </row>
    <row r="100" spans="3:15" hidden="1">
      <c r="C100" t="s">
        <v>592</v>
      </c>
    </row>
    <row r="101" spans="3:15">
      <c r="C101" t="s">
        <v>775</v>
      </c>
      <c r="H101">
        <v>50000</v>
      </c>
      <c r="N101" s="466">
        <v>50000</v>
      </c>
    </row>
    <row r="102" spans="3:15">
      <c r="C102" t="s">
        <v>592</v>
      </c>
      <c r="H102">
        <v>50000</v>
      </c>
      <c r="N102" s="466">
        <v>50000</v>
      </c>
    </row>
    <row r="103" spans="3:15">
      <c r="C103" t="s">
        <v>752</v>
      </c>
      <c r="N103" s="466">
        <v>-26707207.780000001</v>
      </c>
    </row>
    <row r="104" spans="3:15">
      <c r="C104" t="s">
        <v>682</v>
      </c>
      <c r="I104" s="466">
        <v>26707207.780000001</v>
      </c>
      <c r="N104" s="466">
        <v>-26707207.780000001</v>
      </c>
    </row>
    <row r="105" spans="3:15">
      <c r="C105" t="s">
        <v>683</v>
      </c>
      <c r="I105" s="466">
        <v>26707207.780000001</v>
      </c>
      <c r="N105" s="466">
        <v>-26707207.780000001</v>
      </c>
    </row>
    <row r="106" spans="3:15">
      <c r="C106" t="s">
        <v>735</v>
      </c>
    </row>
    <row r="107" spans="3:15">
      <c r="C107" s="581" t="s">
        <v>684</v>
      </c>
      <c r="D107" s="581"/>
      <c r="E107" s="581"/>
      <c r="F107" s="581"/>
      <c r="G107" s="581"/>
      <c r="H107" s="582">
        <v>197000000</v>
      </c>
      <c r="I107" s="589"/>
      <c r="J107" s="589">
        <v>122236989</v>
      </c>
      <c r="K107" s="581"/>
      <c r="L107" s="589">
        <v>62800000</v>
      </c>
      <c r="M107" s="581"/>
      <c r="N107" s="589">
        <v>11963011</v>
      </c>
      <c r="O107" s="582"/>
    </row>
    <row r="108" spans="3:15">
      <c r="C108" s="585" t="s">
        <v>682</v>
      </c>
      <c r="D108" s="585"/>
      <c r="E108" s="585"/>
      <c r="F108" s="585"/>
      <c r="G108" s="585"/>
      <c r="H108" s="586">
        <v>197000000</v>
      </c>
      <c r="I108" s="591"/>
      <c r="J108" s="591">
        <v>122236989</v>
      </c>
      <c r="K108" s="585"/>
      <c r="L108" s="591">
        <v>62800000</v>
      </c>
      <c r="M108" s="585"/>
      <c r="N108" s="591">
        <v>11963011</v>
      </c>
      <c r="O108" s="586"/>
    </row>
    <row r="109" spans="3:15">
      <c r="C109" t="s">
        <v>683</v>
      </c>
      <c r="H109" s="157">
        <v>197000000</v>
      </c>
      <c r="N109" s="466">
        <v>197000000</v>
      </c>
      <c r="O109" s="157"/>
    </row>
    <row r="110" spans="3:15">
      <c r="C110" t="s">
        <v>687</v>
      </c>
      <c r="H110" s="157"/>
      <c r="J110" s="466">
        <v>122236989</v>
      </c>
      <c r="L110" s="466">
        <v>62800000</v>
      </c>
      <c r="N110" s="466">
        <v>-185036989</v>
      </c>
      <c r="O110" s="157"/>
    </row>
    <row r="111" spans="3:15">
      <c r="C111" s="583" t="s">
        <v>685</v>
      </c>
      <c r="D111" s="583"/>
      <c r="E111" s="583"/>
      <c r="F111" s="583"/>
      <c r="G111" s="583"/>
      <c r="H111" s="584">
        <v>4340710</v>
      </c>
      <c r="I111" s="590"/>
      <c r="J111" s="590"/>
      <c r="K111" s="583"/>
      <c r="L111" s="590">
        <v>2490974.4500000002</v>
      </c>
      <c r="M111" s="583"/>
      <c r="N111" s="590">
        <v>1849735.55</v>
      </c>
      <c r="O111" s="584"/>
    </row>
    <row r="112" spans="3:15">
      <c r="C112" t="s">
        <v>682</v>
      </c>
      <c r="H112" s="157">
        <v>4340710</v>
      </c>
      <c r="L112" s="466">
        <v>2490974.4500000002</v>
      </c>
      <c r="N112" s="466">
        <v>1849735.55</v>
      </c>
      <c r="O112" s="157"/>
    </row>
    <row r="113" spans="3:15">
      <c r="C113" t="s">
        <v>683</v>
      </c>
      <c r="H113" s="157">
        <v>4340710</v>
      </c>
      <c r="N113" s="466">
        <v>4340710</v>
      </c>
      <c r="O113" s="157"/>
    </row>
    <row r="114" spans="3:15">
      <c r="C114" t="s">
        <v>696</v>
      </c>
      <c r="H114" s="157"/>
      <c r="L114" s="466">
        <v>269130</v>
      </c>
      <c r="N114" s="466">
        <v>-269130</v>
      </c>
      <c r="O114" s="157"/>
    </row>
    <row r="115" spans="3:15">
      <c r="C115" t="s">
        <v>687</v>
      </c>
      <c r="H115" s="157"/>
      <c r="L115" s="466">
        <v>1608804</v>
      </c>
      <c r="N115" s="466">
        <v>-1608804</v>
      </c>
      <c r="O115" s="157"/>
    </row>
    <row r="116" spans="3:15">
      <c r="C116" t="s">
        <v>735</v>
      </c>
      <c r="H116" s="157"/>
      <c r="L116" s="466">
        <v>613040.44999999995</v>
      </c>
      <c r="N116" s="466">
        <v>-613040.44999999995</v>
      </c>
      <c r="O116" s="157"/>
    </row>
    <row r="117" spans="3:15">
      <c r="C117" s="583" t="s">
        <v>686</v>
      </c>
      <c r="D117" s="583"/>
      <c r="E117" s="583"/>
      <c r="F117" s="583"/>
      <c r="G117" s="583"/>
      <c r="H117" s="584">
        <v>38453500</v>
      </c>
      <c r="I117" s="590"/>
      <c r="J117" s="590">
        <v>13170000</v>
      </c>
      <c r="K117" s="583"/>
      <c r="L117" s="590">
        <v>21953073.620000001</v>
      </c>
      <c r="M117" s="583"/>
      <c r="N117" s="590">
        <v>3330426.38</v>
      </c>
      <c r="O117" s="584"/>
    </row>
    <row r="118" spans="3:15">
      <c r="C118" t="s">
        <v>682</v>
      </c>
      <c r="H118" s="157">
        <v>25277500</v>
      </c>
      <c r="L118" s="466">
        <v>21953073.620000001</v>
      </c>
      <c r="N118" s="466">
        <v>3324426.38</v>
      </c>
      <c r="O118" s="157"/>
    </row>
    <row r="119" spans="3:15">
      <c r="C119" t="s">
        <v>683</v>
      </c>
      <c r="H119" s="157">
        <v>25277500</v>
      </c>
      <c r="N119" s="466">
        <v>25277500</v>
      </c>
      <c r="O119" s="157"/>
    </row>
    <row r="120" spans="3:15">
      <c r="C120" t="s">
        <v>687</v>
      </c>
      <c r="H120" s="157"/>
      <c r="L120" s="466">
        <v>21894902</v>
      </c>
      <c r="N120" s="466">
        <v>-21894902</v>
      </c>
      <c r="O120" s="157"/>
    </row>
    <row r="121" spans="3:15">
      <c r="C121" t="s">
        <v>735</v>
      </c>
      <c r="H121" s="157"/>
      <c r="L121" s="466">
        <v>58171.62</v>
      </c>
      <c r="N121" s="466">
        <v>-58171.62</v>
      </c>
      <c r="O121" s="157"/>
    </row>
    <row r="122" spans="3:15">
      <c r="C122" t="s">
        <v>747</v>
      </c>
      <c r="H122" s="157">
        <v>13176000</v>
      </c>
      <c r="J122" s="466">
        <v>13170000</v>
      </c>
      <c r="N122" s="466">
        <v>6000</v>
      </c>
      <c r="O122" s="157"/>
    </row>
    <row r="123" spans="3:15">
      <c r="C123" t="s">
        <v>748</v>
      </c>
      <c r="H123" s="157">
        <v>13176000</v>
      </c>
      <c r="J123" s="466">
        <v>13170000</v>
      </c>
      <c r="N123" s="466">
        <v>6000</v>
      </c>
      <c r="O123" s="157"/>
    </row>
    <row r="124" spans="3:15">
      <c r="C124" s="583" t="s">
        <v>637</v>
      </c>
      <c r="D124" s="583"/>
      <c r="E124" s="583"/>
      <c r="F124" s="583"/>
      <c r="G124" s="583"/>
      <c r="H124" s="584">
        <v>352284300</v>
      </c>
      <c r="I124" s="590"/>
      <c r="J124" s="590">
        <v>343427000</v>
      </c>
      <c r="K124" s="583"/>
      <c r="L124" s="590">
        <v>1367836.32</v>
      </c>
      <c r="M124" s="583"/>
      <c r="N124" s="590">
        <v>7489463.6799999997</v>
      </c>
      <c r="O124" s="584"/>
    </row>
    <row r="125" spans="3:15">
      <c r="C125" t="s">
        <v>682</v>
      </c>
      <c r="H125" s="157">
        <v>352284300</v>
      </c>
      <c r="J125" s="466">
        <v>343427000</v>
      </c>
      <c r="L125" s="466">
        <v>1367836.32</v>
      </c>
      <c r="N125" s="466">
        <v>7489463.6799999997</v>
      </c>
      <c r="O125" s="157"/>
    </row>
    <row r="126" spans="3:15">
      <c r="C126" t="s">
        <v>683</v>
      </c>
      <c r="H126" s="157">
        <v>352284300</v>
      </c>
      <c r="N126" s="466">
        <v>352284300</v>
      </c>
      <c r="O126" s="157"/>
    </row>
    <row r="127" spans="3:15">
      <c r="C127" t="s">
        <v>687</v>
      </c>
      <c r="J127" s="466">
        <v>343427000</v>
      </c>
      <c r="L127" s="466">
        <v>1338837</v>
      </c>
      <c r="N127" s="466">
        <v>-344765837</v>
      </c>
      <c r="O127" s="157"/>
    </row>
    <row r="128" spans="3:15">
      <c r="C128" t="s">
        <v>735</v>
      </c>
      <c r="L128" s="466">
        <v>28999.32</v>
      </c>
      <c r="N128" s="466">
        <v>-28999.32</v>
      </c>
    </row>
    <row r="129" spans="3:15">
      <c r="C129" t="s">
        <v>633</v>
      </c>
    </row>
    <row r="130" spans="3:15">
      <c r="C130" t="s">
        <v>592</v>
      </c>
    </row>
    <row r="131" spans="3:15">
      <c r="C131" s="583" t="s">
        <v>688</v>
      </c>
      <c r="D131" s="583"/>
      <c r="E131" s="583"/>
      <c r="F131" s="583"/>
      <c r="G131" s="583"/>
      <c r="H131" s="584">
        <v>139912400</v>
      </c>
      <c r="I131" s="590"/>
      <c r="J131" s="590">
        <v>129767826</v>
      </c>
      <c r="K131" s="583"/>
      <c r="L131" s="590">
        <v>436691.08</v>
      </c>
      <c r="M131" s="583"/>
      <c r="N131" s="590">
        <v>9707882.9199999999</v>
      </c>
      <c r="O131" s="584"/>
    </row>
    <row r="132" spans="3:15">
      <c r="C132" t="s">
        <v>682</v>
      </c>
      <c r="H132" s="157">
        <v>139912400</v>
      </c>
      <c r="J132" s="466">
        <v>129767826</v>
      </c>
      <c r="L132" s="466">
        <v>436691.08</v>
      </c>
      <c r="N132" s="466">
        <v>9707882.9199999999</v>
      </c>
      <c r="O132" s="157"/>
    </row>
    <row r="133" spans="3:15">
      <c r="C133" t="s">
        <v>683</v>
      </c>
      <c r="H133" s="157">
        <v>139912400</v>
      </c>
      <c r="N133" s="466">
        <v>139912400</v>
      </c>
      <c r="O133" s="157"/>
    </row>
    <row r="134" spans="3:15">
      <c r="C134" t="s">
        <v>687</v>
      </c>
      <c r="H134" s="157"/>
      <c r="J134" s="466">
        <v>129767826</v>
      </c>
      <c r="L134" s="466">
        <v>401869</v>
      </c>
      <c r="N134" s="466">
        <v>-130169695</v>
      </c>
      <c r="O134" s="157"/>
    </row>
    <row r="135" spans="3:15">
      <c r="C135" t="s">
        <v>735</v>
      </c>
      <c r="H135" s="157"/>
      <c r="L135" s="466">
        <v>34822.080000000002</v>
      </c>
      <c r="N135" s="466">
        <v>-34822.080000000002</v>
      </c>
      <c r="O135" s="157"/>
    </row>
    <row r="136" spans="3:15">
      <c r="C136" s="583" t="s">
        <v>638</v>
      </c>
      <c r="D136" s="583"/>
      <c r="E136" s="583"/>
      <c r="F136" s="583"/>
      <c r="G136" s="583"/>
      <c r="H136" s="584">
        <v>70033100</v>
      </c>
      <c r="I136" s="590">
        <v>1145900</v>
      </c>
      <c r="J136" s="590">
        <v>63573800</v>
      </c>
      <c r="K136" s="583"/>
      <c r="L136" s="590">
        <v>5313400</v>
      </c>
      <c r="M136" s="583"/>
      <c r="N136" s="590"/>
      <c r="O136" s="584"/>
    </row>
    <row r="137" spans="3:15">
      <c r="C137" t="s">
        <v>682</v>
      </c>
      <c r="H137" s="157">
        <v>69256500</v>
      </c>
      <c r="I137" s="466">
        <v>1145900</v>
      </c>
      <c r="J137" s="466">
        <v>63573800</v>
      </c>
      <c r="L137" s="466">
        <v>4536800</v>
      </c>
      <c r="O137" s="157"/>
    </row>
    <row r="138" spans="3:15">
      <c r="C138" t="s">
        <v>683</v>
      </c>
      <c r="H138" s="157">
        <v>69256500</v>
      </c>
      <c r="N138" s="466">
        <v>69256500</v>
      </c>
      <c r="O138" s="157"/>
    </row>
    <row r="139" spans="3:15">
      <c r="C139" t="s">
        <v>687</v>
      </c>
      <c r="H139" s="157"/>
      <c r="I139" s="466">
        <v>1145900</v>
      </c>
      <c r="J139" s="466">
        <v>63573800</v>
      </c>
      <c r="L139" s="466">
        <v>4433335</v>
      </c>
      <c r="N139" s="466">
        <v>-69153035</v>
      </c>
      <c r="O139" s="157"/>
    </row>
    <row r="140" spans="3:15">
      <c r="C140" t="s">
        <v>735</v>
      </c>
      <c r="H140" s="157"/>
      <c r="L140" s="466">
        <v>103465</v>
      </c>
      <c r="N140" s="466">
        <v>-103465</v>
      </c>
      <c r="O140" s="157"/>
    </row>
    <row r="141" spans="3:15">
      <c r="C141" t="s">
        <v>594</v>
      </c>
      <c r="H141" s="157">
        <v>776600</v>
      </c>
      <c r="L141" s="466">
        <v>776600</v>
      </c>
      <c r="O141" s="157"/>
    </row>
    <row r="142" spans="3:15">
      <c r="C142" t="s">
        <v>592</v>
      </c>
      <c r="H142" s="157">
        <v>776600</v>
      </c>
      <c r="L142" s="466">
        <v>776600</v>
      </c>
      <c r="O142" s="157"/>
    </row>
    <row r="143" spans="3:15">
      <c r="C143" s="583" t="s">
        <v>639</v>
      </c>
      <c r="D143" s="583"/>
      <c r="E143" s="583"/>
      <c r="F143" s="583"/>
      <c r="G143" s="583"/>
      <c r="H143" s="584">
        <v>64629700</v>
      </c>
      <c r="I143" s="590"/>
      <c r="J143" s="590">
        <v>48916224</v>
      </c>
      <c r="K143" s="583"/>
      <c r="L143" s="590">
        <v>14484324</v>
      </c>
      <c r="M143" s="583"/>
      <c r="N143" s="590">
        <v>1229152</v>
      </c>
      <c r="O143" s="584"/>
    </row>
    <row r="144" spans="3:15">
      <c r="C144" t="s">
        <v>682</v>
      </c>
      <c r="H144" s="157">
        <v>59847100</v>
      </c>
      <c r="J144" s="466">
        <v>44226224</v>
      </c>
      <c r="L144" s="466">
        <v>14484324</v>
      </c>
      <c r="N144" s="466">
        <v>1136552</v>
      </c>
      <c r="O144" s="157"/>
    </row>
    <row r="145" spans="3:15">
      <c r="C145" t="s">
        <v>683</v>
      </c>
      <c r="H145" s="157">
        <v>59847100</v>
      </c>
      <c r="N145" s="466">
        <v>59847100</v>
      </c>
      <c r="O145" s="157"/>
    </row>
    <row r="146" spans="3:15">
      <c r="C146" t="s">
        <v>687</v>
      </c>
      <c r="H146" s="157"/>
      <c r="J146" s="466">
        <v>44226224</v>
      </c>
      <c r="L146" s="466">
        <v>7936369</v>
      </c>
      <c r="N146" s="466">
        <v>-52162593</v>
      </c>
      <c r="O146" s="157"/>
    </row>
    <row r="147" spans="3:15">
      <c r="C147" t="s">
        <v>735</v>
      </c>
      <c r="H147" s="157"/>
      <c r="L147" s="466">
        <v>6547955</v>
      </c>
      <c r="N147" s="466">
        <v>-6547955</v>
      </c>
      <c r="O147" s="157"/>
    </row>
    <row r="148" spans="3:15">
      <c r="C148" t="s">
        <v>619</v>
      </c>
      <c r="H148" s="157">
        <v>2382600</v>
      </c>
      <c r="J148" s="466">
        <v>2290000</v>
      </c>
      <c r="N148" s="466">
        <v>92600</v>
      </c>
      <c r="O148" s="157"/>
    </row>
    <row r="149" spans="3:15">
      <c r="C149" t="s">
        <v>592</v>
      </c>
      <c r="H149" s="157">
        <v>2382600</v>
      </c>
      <c r="J149" s="466">
        <v>2290000</v>
      </c>
      <c r="N149" s="466">
        <v>92600</v>
      </c>
      <c r="O149" s="157"/>
    </row>
    <row r="150" spans="3:15">
      <c r="C150" t="s">
        <v>778</v>
      </c>
      <c r="H150" s="157">
        <v>2400000</v>
      </c>
      <c r="J150" s="466">
        <v>2400000</v>
      </c>
      <c r="O150" s="157"/>
    </row>
    <row r="151" spans="3:15">
      <c r="C151" t="s">
        <v>592</v>
      </c>
      <c r="H151" s="157">
        <v>2400000</v>
      </c>
      <c r="J151" s="466">
        <v>2400000</v>
      </c>
      <c r="O151" s="157"/>
    </row>
    <row r="152" spans="3:15">
      <c r="C152" s="583" t="s">
        <v>640</v>
      </c>
      <c r="D152" s="583"/>
      <c r="E152" s="583"/>
      <c r="F152" s="583"/>
      <c r="G152" s="583"/>
      <c r="H152" s="584">
        <v>60972910</v>
      </c>
      <c r="I152" s="590"/>
      <c r="J152" s="590">
        <v>28027920</v>
      </c>
      <c r="K152" s="583"/>
      <c r="L152" s="590">
        <v>31777797</v>
      </c>
      <c r="M152" s="583"/>
      <c r="N152" s="590">
        <v>1167193</v>
      </c>
      <c r="O152" s="584"/>
    </row>
    <row r="153" spans="3:15">
      <c r="C153" t="s">
        <v>682</v>
      </c>
      <c r="H153" s="157">
        <v>53188310</v>
      </c>
      <c r="J153" s="466">
        <v>25587920</v>
      </c>
      <c r="L153" s="466">
        <v>26478497</v>
      </c>
      <c r="N153" s="466">
        <v>1121893</v>
      </c>
      <c r="O153" s="157"/>
    </row>
    <row r="154" spans="3:15">
      <c r="C154" t="s">
        <v>683</v>
      </c>
      <c r="H154" s="157">
        <v>53188310</v>
      </c>
      <c r="N154" s="466">
        <v>53188310</v>
      </c>
      <c r="O154" s="157"/>
    </row>
    <row r="155" spans="3:15">
      <c r="C155" t="s">
        <v>687</v>
      </c>
      <c r="H155" s="157"/>
      <c r="J155" s="466">
        <v>25587920</v>
      </c>
      <c r="L155" s="466">
        <v>26237997</v>
      </c>
      <c r="N155" s="466">
        <v>-51825917</v>
      </c>
      <c r="O155" s="157"/>
    </row>
    <row r="156" spans="3:15">
      <c r="C156" t="s">
        <v>735</v>
      </c>
      <c r="H156" s="157"/>
      <c r="L156" s="466">
        <v>240500</v>
      </c>
      <c r="N156" s="466">
        <v>-240500</v>
      </c>
      <c r="O156" s="157"/>
    </row>
    <row r="157" spans="3:15">
      <c r="C157" t="s">
        <v>602</v>
      </c>
      <c r="H157" s="157">
        <v>7784600</v>
      </c>
      <c r="J157" s="466">
        <v>2440000</v>
      </c>
      <c r="L157" s="466">
        <v>5299300</v>
      </c>
      <c r="N157" s="466">
        <v>45300</v>
      </c>
      <c r="O157" s="157"/>
    </row>
    <row r="158" spans="3:15">
      <c r="C158" t="s">
        <v>592</v>
      </c>
      <c r="H158" s="157">
        <v>7784600</v>
      </c>
      <c r="J158" s="466">
        <v>2440000</v>
      </c>
      <c r="L158" s="466">
        <v>5299300</v>
      </c>
      <c r="N158" s="466">
        <v>45300</v>
      </c>
      <c r="O158" s="157"/>
    </row>
    <row r="159" spans="3:15">
      <c r="C159" s="583" t="s">
        <v>689</v>
      </c>
      <c r="D159" s="583"/>
      <c r="E159" s="583"/>
      <c r="F159" s="583"/>
      <c r="G159" s="583"/>
      <c r="H159" s="584">
        <v>148626175</v>
      </c>
      <c r="I159" s="590">
        <v>59431260</v>
      </c>
      <c r="J159" s="590">
        <v>59779171</v>
      </c>
      <c r="K159" s="583"/>
      <c r="L159" s="590">
        <v>20940815</v>
      </c>
      <c r="M159" s="583"/>
      <c r="N159" s="590">
        <v>8474929</v>
      </c>
      <c r="O159" s="584"/>
    </row>
    <row r="160" spans="3:15">
      <c r="C160" t="s">
        <v>682</v>
      </c>
      <c r="H160" s="157">
        <v>148626175</v>
      </c>
      <c r="I160" s="466">
        <v>59431260</v>
      </c>
      <c r="J160" s="466">
        <v>59779171</v>
      </c>
      <c r="L160" s="466">
        <v>20940815</v>
      </c>
      <c r="N160" s="466">
        <v>8474929</v>
      </c>
      <c r="O160" s="157"/>
    </row>
    <row r="161" spans="3:15">
      <c r="C161" t="s">
        <v>683</v>
      </c>
      <c r="H161" s="157">
        <v>148626175</v>
      </c>
      <c r="I161" s="466">
        <v>40389500</v>
      </c>
      <c r="N161" s="466">
        <v>108236675</v>
      </c>
      <c r="O161" s="157"/>
    </row>
    <row r="162" spans="3:15">
      <c r="C162" t="s">
        <v>687</v>
      </c>
      <c r="H162" s="157"/>
      <c r="I162" s="466">
        <v>19041760</v>
      </c>
      <c r="J162" s="466">
        <v>58008307</v>
      </c>
      <c r="L162" s="466">
        <v>15299990</v>
      </c>
      <c r="N162" s="466">
        <v>-92350057</v>
      </c>
      <c r="O162" s="157"/>
    </row>
    <row r="163" spans="3:15">
      <c r="C163" t="s">
        <v>735</v>
      </c>
      <c r="H163" s="157"/>
      <c r="J163" s="466">
        <v>1770864</v>
      </c>
      <c r="L163" s="466">
        <v>5640825</v>
      </c>
      <c r="N163" s="466">
        <v>-7411689</v>
      </c>
      <c r="O163" s="157"/>
    </row>
    <row r="164" spans="3:15">
      <c r="C164" s="583" t="s">
        <v>690</v>
      </c>
      <c r="D164" s="583"/>
      <c r="E164" s="583"/>
      <c r="F164" s="583"/>
      <c r="G164" s="583"/>
      <c r="H164" s="584">
        <v>98962500</v>
      </c>
      <c r="I164" s="590">
        <v>24632990</v>
      </c>
      <c r="J164" s="590">
        <v>53406500</v>
      </c>
      <c r="K164" s="583"/>
      <c r="L164" s="590">
        <v>20923010</v>
      </c>
      <c r="M164" s="583"/>
      <c r="N164" s="590"/>
      <c r="O164" s="584"/>
    </row>
    <row r="165" spans="3:15">
      <c r="C165" t="s">
        <v>682</v>
      </c>
      <c r="H165" s="157">
        <v>95802800</v>
      </c>
      <c r="I165" s="466">
        <v>21473290</v>
      </c>
      <c r="J165" s="466">
        <v>53406500</v>
      </c>
      <c r="L165" s="466">
        <v>20923010</v>
      </c>
      <c r="O165" s="157"/>
    </row>
    <row r="166" spans="3:15">
      <c r="C166" t="s">
        <v>683</v>
      </c>
      <c r="H166" s="157">
        <v>95802800</v>
      </c>
      <c r="I166" s="466">
        <v>21473290</v>
      </c>
      <c r="N166" s="466">
        <v>74329510</v>
      </c>
      <c r="O166" s="157"/>
    </row>
    <row r="167" spans="3:15">
      <c r="C167" t="s">
        <v>687</v>
      </c>
      <c r="H167" s="157"/>
      <c r="J167" s="466">
        <v>51816500</v>
      </c>
      <c r="L167" s="466">
        <v>17191198</v>
      </c>
      <c r="N167" s="466">
        <v>-69007698</v>
      </c>
      <c r="O167" s="157"/>
    </row>
    <row r="168" spans="3:15">
      <c r="C168" t="s">
        <v>735</v>
      </c>
      <c r="H168" s="157"/>
      <c r="J168" s="466">
        <v>1590000</v>
      </c>
      <c r="L168" s="466">
        <v>3731812</v>
      </c>
      <c r="N168" s="466">
        <v>-5321812</v>
      </c>
      <c r="O168" s="157"/>
    </row>
    <row r="169" spans="3:15">
      <c r="C169" t="s">
        <v>633</v>
      </c>
      <c r="H169" s="157">
        <v>851300</v>
      </c>
      <c r="I169" s="466">
        <v>851300</v>
      </c>
      <c r="O169" s="157"/>
    </row>
    <row r="170" spans="3:15">
      <c r="C170" t="s">
        <v>592</v>
      </c>
      <c r="H170" s="157">
        <v>851300</v>
      </c>
      <c r="I170" s="466">
        <v>851300</v>
      </c>
      <c r="O170" s="157"/>
    </row>
    <row r="171" spans="3:15">
      <c r="C171" t="s">
        <v>773</v>
      </c>
      <c r="H171" s="157">
        <v>2308400</v>
      </c>
      <c r="I171" s="466">
        <v>2308400</v>
      </c>
      <c r="O171" s="157"/>
    </row>
    <row r="172" spans="3:15">
      <c r="C172" t="s">
        <v>592</v>
      </c>
      <c r="H172" s="157">
        <v>2308400</v>
      </c>
      <c r="I172" s="466">
        <v>2308400</v>
      </c>
      <c r="O172" s="157"/>
    </row>
    <row r="173" spans="3:15">
      <c r="C173" s="583" t="s">
        <v>691</v>
      </c>
      <c r="D173" s="583"/>
      <c r="E173" s="583"/>
      <c r="F173" s="583"/>
      <c r="G173" s="583"/>
      <c r="H173" s="584">
        <v>86119600</v>
      </c>
      <c r="I173" s="590">
        <v>34000000</v>
      </c>
      <c r="J173" s="590">
        <v>30873920</v>
      </c>
      <c r="K173" s="583"/>
      <c r="L173" s="590">
        <v>15824400</v>
      </c>
      <c r="M173" s="583"/>
      <c r="N173" s="590">
        <v>5421280</v>
      </c>
      <c r="O173" s="584"/>
    </row>
    <row r="174" spans="3:15">
      <c r="C174" t="s">
        <v>682</v>
      </c>
      <c r="H174" s="157">
        <v>86119600</v>
      </c>
      <c r="I174" s="466">
        <v>34000000</v>
      </c>
      <c r="J174" s="466">
        <v>30873920</v>
      </c>
      <c r="L174" s="466">
        <v>15824400</v>
      </c>
      <c r="N174" s="466">
        <v>5421280</v>
      </c>
      <c r="O174" s="157"/>
    </row>
    <row r="175" spans="3:15">
      <c r="C175" t="s">
        <v>683</v>
      </c>
      <c r="H175" s="157">
        <v>86119600</v>
      </c>
      <c r="I175" s="466">
        <v>34000000</v>
      </c>
      <c r="N175" s="466">
        <v>52119600</v>
      </c>
      <c r="O175" s="157"/>
    </row>
    <row r="176" spans="3:15">
      <c r="C176" t="s">
        <v>687</v>
      </c>
      <c r="H176" s="157"/>
      <c r="J176" s="466">
        <v>30873920</v>
      </c>
      <c r="L176" s="466">
        <v>14086335</v>
      </c>
      <c r="N176" s="466">
        <v>-44960255</v>
      </c>
      <c r="O176" s="157"/>
    </row>
    <row r="177" spans="3:15">
      <c r="C177" t="s">
        <v>735</v>
      </c>
      <c r="H177" s="157"/>
      <c r="L177" s="466">
        <v>1738065</v>
      </c>
      <c r="N177" s="466">
        <v>-1738065</v>
      </c>
      <c r="O177" s="157"/>
    </row>
    <row r="178" spans="3:15">
      <c r="C178" s="583" t="s">
        <v>692</v>
      </c>
      <c r="D178" s="583"/>
      <c r="E178" s="583"/>
      <c r="F178" s="583"/>
      <c r="G178" s="583"/>
      <c r="H178" s="584">
        <v>75476520</v>
      </c>
      <c r="I178" s="590">
        <v>7200000</v>
      </c>
      <c r="J178" s="590">
        <v>50012171</v>
      </c>
      <c r="K178" s="583"/>
      <c r="L178" s="590">
        <v>12183880</v>
      </c>
      <c r="M178" s="583"/>
      <c r="N178" s="590">
        <v>6080469</v>
      </c>
      <c r="O178" s="584"/>
    </row>
    <row r="179" spans="3:15">
      <c r="C179" t="s">
        <v>682</v>
      </c>
      <c r="H179" s="157">
        <v>75476520</v>
      </c>
      <c r="I179" s="466">
        <v>7200000</v>
      </c>
      <c r="J179" s="466">
        <v>50012171</v>
      </c>
      <c r="L179" s="466">
        <v>12183880</v>
      </c>
      <c r="N179" s="466">
        <v>6080469</v>
      </c>
      <c r="O179" s="157"/>
    </row>
    <row r="180" spans="3:15">
      <c r="C180" t="s">
        <v>683</v>
      </c>
      <c r="H180" s="157">
        <v>75476520</v>
      </c>
      <c r="I180" s="466">
        <v>7200000</v>
      </c>
      <c r="N180" s="466">
        <v>68276520</v>
      </c>
      <c r="O180" s="157"/>
    </row>
    <row r="181" spans="3:15">
      <c r="C181" t="s">
        <v>687</v>
      </c>
      <c r="H181" s="157"/>
      <c r="J181" s="466">
        <v>50012171</v>
      </c>
      <c r="L181" s="466">
        <v>11386220</v>
      </c>
      <c r="N181" s="466">
        <v>-61398391</v>
      </c>
      <c r="O181" s="157"/>
    </row>
    <row r="182" spans="3:15">
      <c r="C182" t="s">
        <v>735</v>
      </c>
      <c r="H182" s="157"/>
      <c r="L182" s="466">
        <v>797660</v>
      </c>
      <c r="N182" s="466">
        <v>-797660</v>
      </c>
      <c r="O182" s="157"/>
    </row>
    <row r="183" spans="3:15">
      <c r="C183" s="583" t="s">
        <v>693</v>
      </c>
      <c r="D183" s="583"/>
      <c r="E183" s="583"/>
      <c r="F183" s="583"/>
      <c r="G183" s="583"/>
      <c r="H183" s="584">
        <v>73100900</v>
      </c>
      <c r="I183" s="590">
        <v>8850000</v>
      </c>
      <c r="J183" s="590">
        <v>35074200</v>
      </c>
      <c r="K183" s="583"/>
      <c r="L183" s="590">
        <v>27535345</v>
      </c>
      <c r="M183" s="583"/>
      <c r="N183" s="590">
        <v>1641355</v>
      </c>
      <c r="O183" s="584"/>
    </row>
    <row r="184" spans="3:15">
      <c r="C184" t="s">
        <v>682</v>
      </c>
      <c r="H184" s="157">
        <v>73100900</v>
      </c>
      <c r="I184" s="466">
        <v>8850000</v>
      </c>
      <c r="J184" s="466">
        <v>35074200</v>
      </c>
      <c r="L184" s="466">
        <v>27535345</v>
      </c>
      <c r="N184" s="466">
        <v>1641355</v>
      </c>
      <c r="O184" s="157"/>
    </row>
    <row r="185" spans="3:15">
      <c r="C185" t="s">
        <v>683</v>
      </c>
      <c r="H185" s="157">
        <v>73100900</v>
      </c>
      <c r="N185" s="466">
        <v>73100900</v>
      </c>
      <c r="O185" s="157"/>
    </row>
    <row r="186" spans="3:15">
      <c r="C186" t="s">
        <v>687</v>
      </c>
      <c r="H186" s="157"/>
      <c r="I186" s="466">
        <v>8850000</v>
      </c>
      <c r="J186" s="466">
        <v>35074200</v>
      </c>
      <c r="L186" s="466">
        <v>26577590</v>
      </c>
      <c r="N186" s="466">
        <v>-70501790</v>
      </c>
      <c r="O186" s="157"/>
    </row>
    <row r="187" spans="3:15">
      <c r="C187" t="s">
        <v>735</v>
      </c>
      <c r="H187" s="157"/>
      <c r="L187" s="466">
        <v>957755</v>
      </c>
      <c r="N187" s="466">
        <v>-957755</v>
      </c>
      <c r="O187" s="157"/>
    </row>
    <row r="188" spans="3:15">
      <c r="C188" s="583" t="s">
        <v>641</v>
      </c>
      <c r="D188" s="583"/>
      <c r="E188" s="583"/>
      <c r="F188" s="583"/>
      <c r="G188" s="583"/>
      <c r="H188" s="584">
        <v>118360400</v>
      </c>
      <c r="I188" s="590">
        <v>39590000</v>
      </c>
      <c r="J188" s="590">
        <v>43376805</v>
      </c>
      <c r="K188" s="583"/>
      <c r="L188" s="590">
        <v>29467821</v>
      </c>
      <c r="M188" s="583"/>
      <c r="N188" s="590">
        <v>5925774</v>
      </c>
      <c r="O188" s="584"/>
    </row>
    <row r="189" spans="3:15">
      <c r="C189" t="s">
        <v>682</v>
      </c>
      <c r="H189" s="157">
        <v>112059500</v>
      </c>
      <c r="I189" s="466">
        <v>39590000</v>
      </c>
      <c r="J189" s="466">
        <v>39698615</v>
      </c>
      <c r="L189" s="466">
        <v>28152071</v>
      </c>
      <c r="N189" s="466">
        <v>4618814</v>
      </c>
      <c r="O189" s="157"/>
    </row>
    <row r="190" spans="3:15">
      <c r="C190" t="s">
        <v>683</v>
      </c>
      <c r="H190" s="157">
        <v>112059500</v>
      </c>
      <c r="I190" s="466">
        <v>39590000</v>
      </c>
      <c r="N190" s="466">
        <v>72469500</v>
      </c>
      <c r="O190" s="157"/>
    </row>
    <row r="191" spans="3:15">
      <c r="C191" t="s">
        <v>687</v>
      </c>
      <c r="H191" s="157"/>
      <c r="J191" s="466">
        <v>39448615</v>
      </c>
      <c r="L191" s="466">
        <v>25948886</v>
      </c>
      <c r="N191" s="466">
        <v>-65397501</v>
      </c>
      <c r="O191" s="157"/>
    </row>
    <row r="192" spans="3:15">
      <c r="C192" t="s">
        <v>735</v>
      </c>
      <c r="H192" s="157"/>
      <c r="J192" s="466">
        <v>250000</v>
      </c>
      <c r="L192" s="466">
        <v>2203185</v>
      </c>
      <c r="N192" s="466">
        <v>-2453185</v>
      </c>
      <c r="O192" s="157"/>
    </row>
    <row r="193" spans="3:15">
      <c r="C193" t="s">
        <v>632</v>
      </c>
      <c r="H193" s="157">
        <v>5483400</v>
      </c>
      <c r="J193" s="466">
        <v>3295750</v>
      </c>
      <c r="L193" s="466">
        <v>1063850</v>
      </c>
      <c r="N193" s="466">
        <v>1123800</v>
      </c>
      <c r="O193" s="157"/>
    </row>
    <row r="194" spans="3:15">
      <c r="C194" t="s">
        <v>592</v>
      </c>
      <c r="H194" s="157">
        <v>5483400</v>
      </c>
      <c r="J194" s="466">
        <v>3295750</v>
      </c>
      <c r="L194" s="466">
        <v>1063850</v>
      </c>
      <c r="N194" s="466">
        <v>1123800</v>
      </c>
      <c r="O194" s="157"/>
    </row>
    <row r="195" spans="3:15">
      <c r="C195" t="s">
        <v>633</v>
      </c>
      <c r="H195" s="157">
        <v>817500</v>
      </c>
      <c r="J195" s="466">
        <v>382440</v>
      </c>
      <c r="L195" s="466">
        <v>251900</v>
      </c>
      <c r="N195" s="466">
        <v>183160</v>
      </c>
      <c r="O195" s="157"/>
    </row>
    <row r="196" spans="3:15">
      <c r="C196" t="s">
        <v>592</v>
      </c>
      <c r="H196" s="157">
        <v>817500</v>
      </c>
      <c r="J196" s="466">
        <v>382440</v>
      </c>
      <c r="L196" s="466">
        <v>251900</v>
      </c>
      <c r="N196" s="466">
        <v>183160</v>
      </c>
      <c r="O196" s="157"/>
    </row>
    <row r="197" spans="3:15">
      <c r="C197" s="583" t="s">
        <v>642</v>
      </c>
      <c r="D197" s="583"/>
      <c r="E197" s="583"/>
      <c r="F197" s="583"/>
      <c r="G197" s="583"/>
      <c r="H197" s="584">
        <v>91889289</v>
      </c>
      <c r="I197" s="590"/>
      <c r="J197" s="590">
        <v>20550000</v>
      </c>
      <c r="K197" s="583"/>
      <c r="L197" s="590">
        <v>70754939</v>
      </c>
      <c r="M197" s="583"/>
      <c r="N197" s="590">
        <v>584350</v>
      </c>
      <c r="O197" s="584"/>
    </row>
    <row r="198" spans="3:15">
      <c r="C198" t="s">
        <v>682</v>
      </c>
      <c r="H198" s="157">
        <v>91461680</v>
      </c>
      <c r="J198" s="466">
        <v>20550000</v>
      </c>
      <c r="L198" s="466">
        <v>70327330</v>
      </c>
      <c r="N198" s="466">
        <v>584350</v>
      </c>
      <c r="O198" s="157"/>
    </row>
    <row r="199" spans="3:15">
      <c r="C199" t="s">
        <v>683</v>
      </c>
      <c r="H199" s="157">
        <v>91461680</v>
      </c>
      <c r="N199" s="466">
        <v>91461680</v>
      </c>
      <c r="O199" s="157"/>
    </row>
    <row r="200" spans="3:15">
      <c r="C200" t="s">
        <v>696</v>
      </c>
      <c r="H200" s="157"/>
      <c r="L200" s="466">
        <v>80000</v>
      </c>
      <c r="N200" s="466">
        <v>-80000</v>
      </c>
      <c r="O200" s="157"/>
    </row>
    <row r="201" spans="3:15">
      <c r="C201" t="s">
        <v>687</v>
      </c>
      <c r="J201" s="466">
        <v>20550000</v>
      </c>
      <c r="L201" s="466">
        <v>68752680</v>
      </c>
      <c r="N201" s="466">
        <v>-89302680</v>
      </c>
      <c r="O201" s="157"/>
    </row>
    <row r="202" spans="3:15">
      <c r="C202" t="s">
        <v>735</v>
      </c>
      <c r="H202" s="157"/>
      <c r="L202" s="466">
        <v>1494650</v>
      </c>
      <c r="N202" s="466">
        <v>-1494650</v>
      </c>
      <c r="O202" s="157"/>
    </row>
    <row r="203" spans="3:15">
      <c r="C203" t="s">
        <v>599</v>
      </c>
      <c r="H203" s="157">
        <v>427609</v>
      </c>
      <c r="L203" s="466">
        <v>427609</v>
      </c>
      <c r="O203" s="157"/>
    </row>
    <row r="204" spans="3:15">
      <c r="C204" t="s">
        <v>592</v>
      </c>
      <c r="H204" s="157">
        <v>427609</v>
      </c>
      <c r="L204" s="466">
        <v>427609</v>
      </c>
      <c r="O204" s="157"/>
    </row>
    <row r="205" spans="3:15">
      <c r="C205" s="583" t="s">
        <v>694</v>
      </c>
      <c r="D205" s="583"/>
      <c r="E205" s="583"/>
      <c r="F205" s="583"/>
      <c r="G205" s="583"/>
      <c r="H205" s="584">
        <v>83430100</v>
      </c>
      <c r="I205" s="590">
        <v>3000000</v>
      </c>
      <c r="J205" s="590">
        <v>16107072.75</v>
      </c>
      <c r="K205" s="583"/>
      <c r="L205" s="590">
        <v>64087650</v>
      </c>
      <c r="M205" s="583"/>
      <c r="N205" s="590">
        <v>235377.25</v>
      </c>
      <c r="O205" s="584"/>
    </row>
    <row r="206" spans="3:15">
      <c r="C206" t="s">
        <v>682</v>
      </c>
      <c r="H206" s="157">
        <v>83430100</v>
      </c>
      <c r="I206" s="466">
        <v>3000000</v>
      </c>
      <c r="J206" s="466">
        <v>16107072.75</v>
      </c>
      <c r="L206" s="466">
        <v>64087650</v>
      </c>
      <c r="N206" s="466">
        <v>235377.25</v>
      </c>
      <c r="O206" s="157"/>
    </row>
    <row r="207" spans="3:15">
      <c r="C207" t="s">
        <v>683</v>
      </c>
      <c r="H207" s="157">
        <v>83430100</v>
      </c>
      <c r="N207" s="466">
        <v>83430100</v>
      </c>
      <c r="O207" s="157"/>
    </row>
    <row r="208" spans="3:15">
      <c r="C208" t="s">
        <v>687</v>
      </c>
      <c r="H208" s="157"/>
      <c r="I208" s="466">
        <v>3000000</v>
      </c>
      <c r="J208" s="466">
        <v>16107072.75</v>
      </c>
      <c r="L208" s="466">
        <v>63167745</v>
      </c>
      <c r="N208" s="466">
        <v>-82274817.75</v>
      </c>
      <c r="O208" s="157"/>
    </row>
    <row r="209" spans="3:15">
      <c r="C209" t="s">
        <v>735</v>
      </c>
      <c r="L209" s="466">
        <v>919905</v>
      </c>
      <c r="N209" s="466">
        <v>-919905</v>
      </c>
      <c r="O209" s="157"/>
    </row>
    <row r="210" spans="3:15">
      <c r="C210" s="583" t="s">
        <v>643</v>
      </c>
      <c r="D210" s="583"/>
      <c r="E210" s="583"/>
      <c r="F210" s="583"/>
      <c r="G210" s="583"/>
      <c r="H210" s="584">
        <v>127833600</v>
      </c>
      <c r="I210" s="590"/>
      <c r="J210" s="590">
        <v>101751575.86</v>
      </c>
      <c r="K210" s="583"/>
      <c r="L210" s="590">
        <v>20968490</v>
      </c>
      <c r="M210" s="583"/>
      <c r="N210" s="590">
        <v>5113534.1399999997</v>
      </c>
      <c r="O210" s="584"/>
    </row>
    <row r="211" spans="3:15">
      <c r="C211" t="s">
        <v>682</v>
      </c>
      <c r="H211" s="157">
        <v>124523100</v>
      </c>
      <c r="J211" s="466">
        <v>99175375.859999999</v>
      </c>
      <c r="L211" s="466">
        <v>20467650</v>
      </c>
      <c r="N211" s="466">
        <v>4880074.1399999997</v>
      </c>
      <c r="O211" s="157"/>
    </row>
    <row r="212" spans="3:15">
      <c r="C212" t="s">
        <v>683</v>
      </c>
      <c r="H212" s="157">
        <v>124523100</v>
      </c>
      <c r="N212" s="466">
        <v>124523100</v>
      </c>
      <c r="O212" s="157"/>
    </row>
    <row r="213" spans="3:15">
      <c r="C213" t="s">
        <v>687</v>
      </c>
      <c r="H213" s="157"/>
      <c r="J213" s="466">
        <v>99175375.859999999</v>
      </c>
      <c r="L213" s="466">
        <v>20006100</v>
      </c>
      <c r="N213" s="466">
        <v>-119181475.86</v>
      </c>
      <c r="O213" s="157"/>
    </row>
    <row r="214" spans="3:15">
      <c r="C214" t="s">
        <v>735</v>
      </c>
      <c r="H214" s="157"/>
      <c r="L214" s="466">
        <v>461550</v>
      </c>
      <c r="N214" s="466">
        <v>-461550</v>
      </c>
      <c r="O214" s="157"/>
    </row>
    <row r="215" spans="3:15">
      <c r="C215" t="s">
        <v>591</v>
      </c>
      <c r="H215" s="157">
        <v>3310500</v>
      </c>
      <c r="J215" s="466">
        <v>2576200</v>
      </c>
      <c r="L215" s="466">
        <v>500840</v>
      </c>
      <c r="N215" s="466">
        <v>233460</v>
      </c>
      <c r="O215" s="157"/>
    </row>
    <row r="216" spans="3:15">
      <c r="C216" t="s">
        <v>592</v>
      </c>
      <c r="H216" s="157">
        <v>3310500</v>
      </c>
      <c r="J216" s="466">
        <v>2576200</v>
      </c>
      <c r="L216" s="466">
        <v>500840</v>
      </c>
      <c r="N216" s="466">
        <v>233460</v>
      </c>
      <c r="O216" s="157"/>
    </row>
    <row r="217" spans="3:15">
      <c r="C217" s="583" t="s">
        <v>644</v>
      </c>
      <c r="D217" s="583"/>
      <c r="E217" s="583"/>
      <c r="F217" s="583"/>
      <c r="G217" s="583"/>
      <c r="H217" s="584">
        <v>45874300</v>
      </c>
      <c r="I217" s="590"/>
      <c r="J217" s="590">
        <v>35928300</v>
      </c>
      <c r="K217" s="583"/>
      <c r="L217" s="590">
        <v>8796385</v>
      </c>
      <c r="M217" s="583"/>
      <c r="N217" s="590">
        <v>1149615</v>
      </c>
      <c r="O217" s="584"/>
    </row>
    <row r="218" spans="3:15">
      <c r="C218" t="s">
        <v>682</v>
      </c>
      <c r="H218" s="157">
        <v>40569400</v>
      </c>
      <c r="J218" s="466">
        <v>30643300</v>
      </c>
      <c r="L218" s="466">
        <v>8796385</v>
      </c>
      <c r="N218" s="466">
        <v>1129715</v>
      </c>
      <c r="O218" s="157"/>
    </row>
    <row r="219" spans="3:15">
      <c r="C219" t="s">
        <v>683</v>
      </c>
      <c r="H219" s="157">
        <v>40569400</v>
      </c>
      <c r="N219" s="466">
        <v>40569400</v>
      </c>
      <c r="O219" s="157"/>
    </row>
    <row r="220" spans="3:15">
      <c r="C220" t="s">
        <v>687</v>
      </c>
      <c r="H220" s="157"/>
      <c r="J220" s="466">
        <v>30643300</v>
      </c>
      <c r="L220" s="466">
        <v>7777185</v>
      </c>
      <c r="N220" s="466">
        <v>-38420485</v>
      </c>
      <c r="O220" s="157"/>
    </row>
    <row r="221" spans="3:15">
      <c r="C221" t="s">
        <v>735</v>
      </c>
      <c r="H221" s="157"/>
      <c r="L221" s="466">
        <v>1019200</v>
      </c>
      <c r="N221" s="466">
        <v>-1019200</v>
      </c>
      <c r="O221" s="157"/>
    </row>
    <row r="222" spans="3:15">
      <c r="C222" t="s">
        <v>622</v>
      </c>
      <c r="H222" s="157">
        <v>5304900</v>
      </c>
      <c r="J222" s="466">
        <v>5285000</v>
      </c>
      <c r="N222" s="466">
        <v>19900</v>
      </c>
      <c r="O222" s="157"/>
    </row>
    <row r="223" spans="3:15">
      <c r="C223" t="s">
        <v>592</v>
      </c>
      <c r="H223" s="157">
        <v>5304900</v>
      </c>
      <c r="J223" s="466">
        <v>5285000</v>
      </c>
      <c r="N223" s="466">
        <v>19900</v>
      </c>
      <c r="O223" s="157"/>
    </row>
    <row r="224" spans="3:15">
      <c r="C224" s="583" t="s">
        <v>695</v>
      </c>
      <c r="D224" s="583"/>
      <c r="E224" s="583"/>
      <c r="F224" s="583"/>
      <c r="G224" s="583"/>
      <c r="H224" s="584">
        <v>111427800</v>
      </c>
      <c r="I224" s="590">
        <v>29000000</v>
      </c>
      <c r="J224" s="590">
        <v>37246204</v>
      </c>
      <c r="K224" s="583"/>
      <c r="L224" s="590">
        <v>43424552.5</v>
      </c>
      <c r="M224" s="583"/>
      <c r="N224" s="590">
        <v>1757043.5</v>
      </c>
      <c r="O224" s="584"/>
    </row>
    <row r="225" spans="3:15">
      <c r="C225" t="s">
        <v>682</v>
      </c>
      <c r="H225" s="157">
        <v>111427800</v>
      </c>
      <c r="I225" s="466">
        <v>29000000</v>
      </c>
      <c r="J225" s="466">
        <v>37246204</v>
      </c>
      <c r="L225" s="466">
        <v>43424552.5</v>
      </c>
      <c r="N225" s="466">
        <v>1757043.5</v>
      </c>
      <c r="O225" s="157"/>
    </row>
    <row r="226" spans="3:15">
      <c r="C226" t="s">
        <v>683</v>
      </c>
      <c r="H226" s="157">
        <v>111427800</v>
      </c>
      <c r="I226" s="466">
        <v>29000000</v>
      </c>
      <c r="N226" s="466">
        <v>82427800</v>
      </c>
      <c r="O226" s="157"/>
    </row>
    <row r="227" spans="3:15">
      <c r="C227" t="s">
        <v>696</v>
      </c>
      <c r="L227" s="466">
        <v>2579400</v>
      </c>
      <c r="N227" s="466">
        <v>-2579400</v>
      </c>
      <c r="O227" s="157"/>
    </row>
    <row r="228" spans="3:15">
      <c r="C228" t="s">
        <v>687</v>
      </c>
      <c r="J228" s="466">
        <v>36281204</v>
      </c>
      <c r="L228" s="466">
        <v>22162717.5</v>
      </c>
      <c r="N228" s="466">
        <v>-58443921.5</v>
      </c>
      <c r="O228" s="157"/>
    </row>
    <row r="229" spans="3:15">
      <c r="C229" t="s">
        <v>735</v>
      </c>
      <c r="J229" s="466">
        <v>965000</v>
      </c>
      <c r="L229" s="466">
        <v>18682435</v>
      </c>
      <c r="N229" s="466">
        <v>-19647435</v>
      </c>
      <c r="O229" s="157"/>
    </row>
    <row r="230" spans="3:15">
      <c r="C230" s="583" t="s">
        <v>697</v>
      </c>
      <c r="D230" s="583"/>
      <c r="E230" s="583"/>
      <c r="F230" s="583"/>
      <c r="G230" s="583"/>
      <c r="H230" s="584">
        <v>102719600</v>
      </c>
      <c r="I230" s="590">
        <v>9139131</v>
      </c>
      <c r="J230" s="590">
        <v>70927689</v>
      </c>
      <c r="K230" s="583"/>
      <c r="L230" s="590">
        <v>22425915</v>
      </c>
      <c r="M230" s="583"/>
      <c r="N230" s="590">
        <v>226865</v>
      </c>
      <c r="O230" s="584"/>
    </row>
    <row r="231" spans="3:15">
      <c r="C231" t="s">
        <v>682</v>
      </c>
      <c r="H231" s="157">
        <v>102719600</v>
      </c>
      <c r="I231" s="466">
        <v>9139131</v>
      </c>
      <c r="J231" s="466">
        <v>70927689</v>
      </c>
      <c r="L231" s="466">
        <v>22425915</v>
      </c>
      <c r="N231" s="466">
        <v>226865</v>
      </c>
      <c r="O231" s="157"/>
    </row>
    <row r="232" spans="3:15">
      <c r="C232" t="s">
        <v>683</v>
      </c>
      <c r="H232" s="157">
        <v>102719600</v>
      </c>
      <c r="N232" s="466">
        <v>102719600</v>
      </c>
      <c r="O232" s="157"/>
    </row>
    <row r="233" spans="3:15">
      <c r="C233" t="s">
        <v>687</v>
      </c>
      <c r="H233" s="157"/>
      <c r="I233" s="466">
        <v>9139131</v>
      </c>
      <c r="J233" s="466">
        <v>65863689</v>
      </c>
      <c r="L233" s="466">
        <v>19302415</v>
      </c>
      <c r="N233" s="466">
        <v>-94305235</v>
      </c>
      <c r="O233" s="157"/>
    </row>
    <row r="234" spans="3:15">
      <c r="C234" t="s">
        <v>735</v>
      </c>
      <c r="J234" s="466">
        <v>5064000</v>
      </c>
      <c r="L234" s="466">
        <v>3123500</v>
      </c>
      <c r="N234" s="466">
        <v>-8187500</v>
      </c>
      <c r="O234" s="157"/>
    </row>
    <row r="235" spans="3:15">
      <c r="C235" s="583" t="s">
        <v>645</v>
      </c>
      <c r="D235" s="583"/>
      <c r="E235" s="583"/>
      <c r="F235" s="583"/>
      <c r="G235" s="583"/>
      <c r="H235" s="584">
        <v>66944100</v>
      </c>
      <c r="I235" s="590">
        <v>9101775</v>
      </c>
      <c r="J235" s="590">
        <v>39055299.75</v>
      </c>
      <c r="K235" s="583"/>
      <c r="L235" s="590">
        <v>16749755.25</v>
      </c>
      <c r="M235" s="583"/>
      <c r="N235" s="590">
        <v>2037270</v>
      </c>
      <c r="O235" s="584"/>
    </row>
    <row r="236" spans="3:15">
      <c r="C236" t="s">
        <v>682</v>
      </c>
      <c r="H236" s="157">
        <v>60704100</v>
      </c>
      <c r="I236" s="466">
        <v>9101775</v>
      </c>
      <c r="J236" s="466">
        <v>39055299.75</v>
      </c>
      <c r="L236" s="466">
        <v>10509755.25</v>
      </c>
      <c r="N236" s="466">
        <v>2037270</v>
      </c>
      <c r="O236" s="157"/>
    </row>
    <row r="237" spans="3:15">
      <c r="C237" t="s">
        <v>683</v>
      </c>
      <c r="H237" s="157">
        <v>60704100</v>
      </c>
      <c r="I237" s="466">
        <v>9101775</v>
      </c>
      <c r="N237" s="466">
        <v>51602325</v>
      </c>
      <c r="O237" s="157"/>
    </row>
    <row r="238" spans="3:15">
      <c r="C238" t="s">
        <v>687</v>
      </c>
      <c r="H238" s="157"/>
      <c r="J238" s="466">
        <v>34857299.75</v>
      </c>
      <c r="L238" s="466">
        <v>9933365.25</v>
      </c>
      <c r="N238" s="466">
        <v>-44790665</v>
      </c>
      <c r="O238" s="157"/>
    </row>
    <row r="239" spans="3:15">
      <c r="C239" t="s">
        <v>735</v>
      </c>
      <c r="H239" s="157"/>
      <c r="J239" s="466">
        <v>4198000</v>
      </c>
      <c r="L239" s="466">
        <v>576390</v>
      </c>
      <c r="N239" s="466">
        <v>-4774390</v>
      </c>
      <c r="O239" s="157"/>
    </row>
    <row r="240" spans="3:15">
      <c r="C240" t="s">
        <v>600</v>
      </c>
      <c r="H240" s="157">
        <v>6240000</v>
      </c>
      <c r="L240" s="466">
        <v>6240000</v>
      </c>
      <c r="O240" s="157"/>
    </row>
    <row r="241" spans="3:15">
      <c r="C241" t="s">
        <v>592</v>
      </c>
      <c r="H241" s="157">
        <v>6240000</v>
      </c>
      <c r="L241" s="466">
        <v>6240000</v>
      </c>
      <c r="O241" s="157"/>
    </row>
    <row r="242" spans="3:15">
      <c r="C242" s="583" t="s">
        <v>698</v>
      </c>
      <c r="D242" s="583"/>
      <c r="E242" s="583"/>
      <c r="F242" s="583"/>
      <c r="G242" s="583"/>
      <c r="H242" s="584">
        <v>107093800</v>
      </c>
      <c r="I242" s="590"/>
      <c r="J242" s="590">
        <v>45879215</v>
      </c>
      <c r="K242" s="583"/>
      <c r="L242" s="590">
        <v>59878210</v>
      </c>
      <c r="M242" s="583"/>
      <c r="N242" s="590">
        <v>1336375</v>
      </c>
      <c r="O242" s="584"/>
    </row>
    <row r="243" spans="3:15">
      <c r="C243" t="s">
        <v>682</v>
      </c>
      <c r="H243" s="157">
        <v>107093800</v>
      </c>
      <c r="J243" s="466">
        <v>45879215</v>
      </c>
      <c r="L243" s="466">
        <v>59878210</v>
      </c>
      <c r="N243" s="466">
        <v>1336375</v>
      </c>
      <c r="O243" s="157"/>
    </row>
    <row r="244" spans="3:15">
      <c r="C244" t="s">
        <v>683</v>
      </c>
      <c r="H244" s="157">
        <v>107093800</v>
      </c>
      <c r="N244" s="466">
        <v>107093800</v>
      </c>
      <c r="O244" s="157"/>
    </row>
    <row r="245" spans="3:15">
      <c r="C245" t="s">
        <v>696</v>
      </c>
      <c r="H245" s="157"/>
      <c r="L245" s="466">
        <v>327600</v>
      </c>
      <c r="N245" s="466">
        <v>-327600</v>
      </c>
      <c r="O245" s="157"/>
    </row>
    <row r="246" spans="3:15">
      <c r="C246" t="s">
        <v>687</v>
      </c>
      <c r="H246" s="157"/>
      <c r="J246" s="466">
        <v>45879215</v>
      </c>
      <c r="L246" s="466">
        <v>57053600</v>
      </c>
      <c r="N246" s="466">
        <v>-102932815</v>
      </c>
      <c r="O246" s="157"/>
    </row>
    <row r="247" spans="3:15">
      <c r="C247" t="s">
        <v>735</v>
      </c>
      <c r="H247" s="157"/>
      <c r="L247" s="466">
        <v>2497010</v>
      </c>
      <c r="N247" s="466">
        <v>-2497010</v>
      </c>
      <c r="O247" s="157"/>
    </row>
    <row r="248" spans="3:15">
      <c r="C248" s="583" t="s">
        <v>699</v>
      </c>
      <c r="D248" s="583"/>
      <c r="E248" s="583"/>
      <c r="F248" s="583"/>
      <c r="G248" s="583"/>
      <c r="H248" s="584">
        <v>191431600</v>
      </c>
      <c r="I248" s="590">
        <v>8131600</v>
      </c>
      <c r="J248" s="590">
        <v>56538140.299999997</v>
      </c>
      <c r="K248" s="583"/>
      <c r="L248" s="590">
        <v>119903040.7</v>
      </c>
      <c r="M248" s="583"/>
      <c r="N248" s="590">
        <v>6858819</v>
      </c>
      <c r="O248" s="584"/>
    </row>
    <row r="249" spans="3:15">
      <c r="C249" t="s">
        <v>682</v>
      </c>
      <c r="H249" s="157">
        <v>191431600</v>
      </c>
      <c r="I249" s="466">
        <v>8131600</v>
      </c>
      <c r="J249" s="466">
        <v>56538140.299999997</v>
      </c>
      <c r="L249" s="466">
        <v>119903040.7</v>
      </c>
      <c r="N249" s="466">
        <v>6858819</v>
      </c>
      <c r="O249" s="157"/>
    </row>
    <row r="250" spans="3:15">
      <c r="C250" t="s">
        <v>683</v>
      </c>
      <c r="H250" s="157">
        <v>191431600</v>
      </c>
      <c r="N250" s="466">
        <v>191431600</v>
      </c>
      <c r="O250" s="157"/>
    </row>
    <row r="251" spans="3:15">
      <c r="C251" t="s">
        <v>687</v>
      </c>
      <c r="H251" s="157"/>
      <c r="I251" s="466">
        <v>8131600</v>
      </c>
      <c r="J251" s="466">
        <v>53797990.299999997</v>
      </c>
      <c r="L251" s="466">
        <v>68967738.700000003</v>
      </c>
      <c r="N251" s="466">
        <v>-130897329</v>
      </c>
      <c r="O251" s="157"/>
    </row>
    <row r="252" spans="3:15">
      <c r="C252" t="s">
        <v>735</v>
      </c>
      <c r="H252" s="157"/>
      <c r="J252" s="466">
        <v>2740150</v>
      </c>
      <c r="L252" s="466">
        <v>50935302</v>
      </c>
      <c r="N252" s="466">
        <v>-53675452</v>
      </c>
      <c r="O252" s="157"/>
    </row>
    <row r="253" spans="3:15">
      <c r="C253" s="583" t="s">
        <v>700</v>
      </c>
      <c r="D253" s="583"/>
      <c r="E253" s="583"/>
      <c r="F253" s="583"/>
      <c r="G253" s="583"/>
      <c r="H253" s="584">
        <v>243081500</v>
      </c>
      <c r="I253" s="590">
        <v>34565500</v>
      </c>
      <c r="J253" s="590">
        <v>123306496.01000001</v>
      </c>
      <c r="K253" s="583"/>
      <c r="L253" s="590">
        <v>59918111</v>
      </c>
      <c r="M253" s="583"/>
      <c r="N253" s="590">
        <v>25291392.989999998</v>
      </c>
      <c r="O253" s="584"/>
    </row>
    <row r="254" spans="3:15">
      <c r="C254" t="s">
        <v>682</v>
      </c>
      <c r="H254" s="157">
        <v>243081500</v>
      </c>
      <c r="I254" s="466">
        <v>34565500</v>
      </c>
      <c r="J254" s="466">
        <v>123306496.01000001</v>
      </c>
      <c r="L254" s="466">
        <v>59918111</v>
      </c>
      <c r="N254" s="466">
        <v>25291392.989999998</v>
      </c>
      <c r="O254" s="157"/>
    </row>
    <row r="255" spans="3:15">
      <c r="C255" t="s">
        <v>683</v>
      </c>
      <c r="H255" s="157">
        <v>243081500</v>
      </c>
      <c r="I255" s="466">
        <v>34565500</v>
      </c>
      <c r="N255" s="466">
        <v>208516000</v>
      </c>
      <c r="O255" s="157"/>
    </row>
    <row r="256" spans="3:15">
      <c r="C256" t="s">
        <v>687</v>
      </c>
      <c r="H256" s="157"/>
      <c r="J256" s="466">
        <v>123216796.01000001</v>
      </c>
      <c r="L256" s="466">
        <v>52374501</v>
      </c>
      <c r="N256" s="466">
        <v>-175591297.00999999</v>
      </c>
      <c r="O256" s="157"/>
    </row>
    <row r="257" spans="3:15">
      <c r="C257" t="s">
        <v>735</v>
      </c>
      <c r="H257" s="157"/>
      <c r="J257" s="466">
        <v>89700</v>
      </c>
      <c r="L257" s="466">
        <v>7543610</v>
      </c>
      <c r="N257" s="466">
        <v>-7633310</v>
      </c>
      <c r="O257" s="157"/>
    </row>
    <row r="258" spans="3:15">
      <c r="C258" s="583" t="s">
        <v>646</v>
      </c>
      <c r="D258" s="583"/>
      <c r="E258" s="583"/>
      <c r="F258" s="583"/>
      <c r="G258" s="583"/>
      <c r="H258" s="584">
        <v>234488200</v>
      </c>
      <c r="I258" s="590">
        <v>70068252</v>
      </c>
      <c r="J258" s="590">
        <v>89542673</v>
      </c>
      <c r="K258" s="583"/>
      <c r="L258" s="590">
        <v>60990320</v>
      </c>
      <c r="M258" s="583"/>
      <c r="N258" s="590">
        <v>13886955</v>
      </c>
      <c r="O258" s="584"/>
    </row>
    <row r="259" spans="3:15">
      <c r="C259" t="s">
        <v>682</v>
      </c>
      <c r="H259" s="157">
        <v>187243100</v>
      </c>
      <c r="I259" s="466">
        <v>43978042</v>
      </c>
      <c r="J259" s="466">
        <v>76158803</v>
      </c>
      <c r="L259" s="466">
        <v>59470670</v>
      </c>
      <c r="N259" s="466">
        <v>7635585</v>
      </c>
      <c r="O259" s="157"/>
    </row>
    <row r="260" spans="3:15">
      <c r="C260" t="s">
        <v>683</v>
      </c>
      <c r="H260" s="157">
        <v>187243100</v>
      </c>
      <c r="I260" s="466">
        <v>43978042</v>
      </c>
      <c r="N260" s="466">
        <v>143265058</v>
      </c>
      <c r="O260" s="157"/>
    </row>
    <row r="261" spans="3:15">
      <c r="C261" t="s">
        <v>687</v>
      </c>
      <c r="J261" s="466">
        <v>49645720</v>
      </c>
      <c r="L261" s="466">
        <v>32788971</v>
      </c>
      <c r="N261" s="466">
        <v>-82434691</v>
      </c>
      <c r="O261" s="157"/>
    </row>
    <row r="262" spans="3:15">
      <c r="C262" t="s">
        <v>735</v>
      </c>
      <c r="H262" s="157"/>
      <c r="J262" s="466">
        <v>26513083</v>
      </c>
      <c r="L262" s="466">
        <v>26681699</v>
      </c>
      <c r="N262" s="466">
        <v>-53194782</v>
      </c>
      <c r="O262" s="157"/>
    </row>
    <row r="263" spans="3:15">
      <c r="C263" t="s">
        <v>624</v>
      </c>
      <c r="H263" s="157">
        <v>47245100</v>
      </c>
      <c r="I263" s="466">
        <v>26090210</v>
      </c>
      <c r="J263" s="466">
        <v>13383870</v>
      </c>
      <c r="L263" s="466">
        <v>1519650</v>
      </c>
      <c r="N263" s="466">
        <v>6251370</v>
      </c>
      <c r="O263" s="157"/>
    </row>
    <row r="264" spans="3:15">
      <c r="C264" t="s">
        <v>592</v>
      </c>
      <c r="H264" s="157">
        <v>47245100</v>
      </c>
      <c r="I264" s="466">
        <v>26090210</v>
      </c>
      <c r="J264" s="466">
        <v>13383870</v>
      </c>
      <c r="L264" s="466">
        <v>1519650</v>
      </c>
      <c r="N264" s="466">
        <v>6251370</v>
      </c>
      <c r="O264" s="157"/>
    </row>
    <row r="265" spans="3:15">
      <c r="C265" s="583" t="s">
        <v>701</v>
      </c>
      <c r="D265" s="583"/>
      <c r="E265" s="583"/>
      <c r="F265" s="583"/>
      <c r="G265" s="583"/>
      <c r="H265" s="584">
        <v>269658900</v>
      </c>
      <c r="I265" s="590">
        <v>12994400</v>
      </c>
      <c r="J265" s="590">
        <v>125749824</v>
      </c>
      <c r="K265" s="583"/>
      <c r="L265" s="590">
        <v>130914676</v>
      </c>
      <c r="M265" s="583"/>
      <c r="N265" s="590"/>
      <c r="O265" s="584"/>
    </row>
    <row r="266" spans="3:15">
      <c r="C266" t="s">
        <v>682</v>
      </c>
      <c r="H266" s="157">
        <v>269658900</v>
      </c>
      <c r="I266" s="466">
        <v>12994400</v>
      </c>
      <c r="J266" s="466">
        <v>125749824</v>
      </c>
      <c r="L266" s="466">
        <v>130914676</v>
      </c>
      <c r="O266" s="157"/>
    </row>
    <row r="267" spans="3:15">
      <c r="C267" t="s">
        <v>683</v>
      </c>
      <c r="H267" s="157">
        <v>269658900</v>
      </c>
      <c r="I267" s="466">
        <v>12994400</v>
      </c>
      <c r="N267" s="466">
        <v>256664500</v>
      </c>
      <c r="O267" s="157"/>
    </row>
    <row r="268" spans="3:15">
      <c r="C268" t="s">
        <v>696</v>
      </c>
      <c r="H268" s="157"/>
      <c r="L268" s="466">
        <v>5003710</v>
      </c>
      <c r="N268" s="466">
        <v>-5003710</v>
      </c>
      <c r="O268" s="157"/>
    </row>
    <row r="269" spans="3:15">
      <c r="C269" t="s">
        <v>687</v>
      </c>
      <c r="H269" s="157"/>
      <c r="J269" s="466">
        <v>115313874</v>
      </c>
      <c r="L269" s="466">
        <v>77272406</v>
      </c>
      <c r="N269" s="466">
        <v>-192586280</v>
      </c>
      <c r="O269" s="157"/>
    </row>
    <row r="270" spans="3:15">
      <c r="C270" t="s">
        <v>735</v>
      </c>
      <c r="J270" s="466">
        <v>10435950</v>
      </c>
      <c r="L270" s="466">
        <v>48638560</v>
      </c>
      <c r="N270" s="466">
        <v>-59074510</v>
      </c>
      <c r="O270" s="157"/>
    </row>
    <row r="271" spans="3:15">
      <c r="C271" s="583" t="s">
        <v>647</v>
      </c>
      <c r="D271" s="583"/>
      <c r="E271" s="583"/>
      <c r="F271" s="583"/>
      <c r="G271" s="583"/>
      <c r="H271" s="584">
        <v>238750400</v>
      </c>
      <c r="I271" s="590">
        <v>14179460</v>
      </c>
      <c r="J271" s="590">
        <v>110743800</v>
      </c>
      <c r="K271" s="583"/>
      <c r="L271" s="590">
        <v>113610240</v>
      </c>
      <c r="M271" s="583"/>
      <c r="N271" s="590">
        <v>216900</v>
      </c>
      <c r="O271" s="584"/>
    </row>
    <row r="272" spans="3:15">
      <c r="C272" t="s">
        <v>682</v>
      </c>
      <c r="H272" s="157">
        <v>235750500</v>
      </c>
      <c r="I272" s="466">
        <v>14179460</v>
      </c>
      <c r="J272" s="466">
        <v>109423800</v>
      </c>
      <c r="L272" s="466">
        <v>112147240</v>
      </c>
      <c r="O272" s="157"/>
    </row>
    <row r="273" spans="3:15">
      <c r="C273" t="s">
        <v>683</v>
      </c>
      <c r="H273" s="157">
        <v>235750500</v>
      </c>
      <c r="I273" s="466">
        <v>14179460</v>
      </c>
      <c r="N273" s="466">
        <v>221571040</v>
      </c>
      <c r="O273" s="157"/>
    </row>
    <row r="274" spans="3:15">
      <c r="C274" t="s">
        <v>687</v>
      </c>
      <c r="H274" s="157"/>
      <c r="J274" s="466">
        <v>106843800</v>
      </c>
      <c r="L274" s="466">
        <v>50438030</v>
      </c>
      <c r="N274" s="466">
        <v>-157281830</v>
      </c>
      <c r="O274" s="157"/>
    </row>
    <row r="275" spans="3:15">
      <c r="C275" t="s">
        <v>735</v>
      </c>
      <c r="H275" s="157"/>
      <c r="J275" s="466">
        <v>2580000</v>
      </c>
      <c r="L275" s="466">
        <v>61709210</v>
      </c>
      <c r="N275" s="466">
        <v>-64289210</v>
      </c>
      <c r="O275" s="157"/>
    </row>
    <row r="276" spans="3:15">
      <c r="C276" t="s">
        <v>595</v>
      </c>
      <c r="H276" s="157">
        <v>2999900</v>
      </c>
      <c r="J276" s="466">
        <v>1320000</v>
      </c>
      <c r="L276" s="466">
        <v>1463000</v>
      </c>
      <c r="N276" s="466">
        <v>216900</v>
      </c>
      <c r="O276" s="157"/>
    </row>
    <row r="277" spans="3:15">
      <c r="C277" t="s">
        <v>592</v>
      </c>
      <c r="H277" s="157">
        <v>2999900</v>
      </c>
      <c r="J277" s="466">
        <v>1320000</v>
      </c>
      <c r="L277" s="466">
        <v>1463000</v>
      </c>
      <c r="N277" s="466">
        <v>216900</v>
      </c>
      <c r="O277" s="157"/>
    </row>
    <row r="278" spans="3:15">
      <c r="C278" s="583" t="s">
        <v>648</v>
      </c>
      <c r="D278" s="583"/>
      <c r="E278" s="583"/>
      <c r="F278" s="583"/>
      <c r="G278" s="583"/>
      <c r="H278" s="584">
        <v>128489740</v>
      </c>
      <c r="I278" s="590"/>
      <c r="J278" s="590">
        <v>55428397</v>
      </c>
      <c r="K278" s="583"/>
      <c r="L278" s="590">
        <v>57199414</v>
      </c>
      <c r="M278" s="583"/>
      <c r="N278" s="590">
        <v>15861929</v>
      </c>
      <c r="O278" s="584"/>
    </row>
    <row r="279" spans="3:15">
      <c r="C279" t="s">
        <v>682</v>
      </c>
      <c r="H279" s="157">
        <v>122885840</v>
      </c>
      <c r="J279" s="466">
        <v>55428397</v>
      </c>
      <c r="L279" s="466">
        <v>53052964</v>
      </c>
      <c r="N279" s="466">
        <v>14404479</v>
      </c>
      <c r="O279" s="157"/>
    </row>
    <row r="280" spans="3:15">
      <c r="C280" t="s">
        <v>683</v>
      </c>
      <c r="H280" s="157">
        <v>122885840</v>
      </c>
      <c r="N280" s="466">
        <v>122885840</v>
      </c>
      <c r="O280" s="157"/>
    </row>
    <row r="281" spans="3:15">
      <c r="C281" t="s">
        <v>687</v>
      </c>
      <c r="H281" s="157"/>
      <c r="J281" s="466">
        <v>55428397</v>
      </c>
      <c r="L281" s="466">
        <v>19646170</v>
      </c>
      <c r="N281" s="466">
        <v>-75074567</v>
      </c>
      <c r="O281" s="157"/>
    </row>
    <row r="282" spans="3:15">
      <c r="C282" t="s">
        <v>735</v>
      </c>
      <c r="H282" s="157"/>
      <c r="L282" s="466">
        <v>33406794</v>
      </c>
      <c r="N282" s="466">
        <v>-33406794</v>
      </c>
      <c r="O282" s="157"/>
    </row>
    <row r="283" spans="3:15">
      <c r="C283" t="s">
        <v>605</v>
      </c>
      <c r="H283" s="157">
        <v>5603900</v>
      </c>
      <c r="L283" s="466">
        <v>4146450</v>
      </c>
      <c r="N283" s="466">
        <v>1457450</v>
      </c>
      <c r="O283" s="157"/>
    </row>
    <row r="284" spans="3:15">
      <c r="C284" t="s">
        <v>592</v>
      </c>
      <c r="H284" s="157">
        <v>5603900</v>
      </c>
      <c r="L284" s="466">
        <v>4146450</v>
      </c>
      <c r="N284" s="466">
        <v>1457450</v>
      </c>
      <c r="O284" s="157"/>
    </row>
    <row r="285" spans="3:15">
      <c r="C285" s="583" t="s">
        <v>702</v>
      </c>
      <c r="D285" s="583"/>
      <c r="E285" s="583"/>
      <c r="F285" s="583"/>
      <c r="G285" s="583"/>
      <c r="H285" s="584">
        <v>162988300</v>
      </c>
      <c r="I285" s="590">
        <v>7000000</v>
      </c>
      <c r="J285" s="590">
        <v>64374200</v>
      </c>
      <c r="K285" s="583"/>
      <c r="L285" s="590">
        <v>88986226</v>
      </c>
      <c r="M285" s="583"/>
      <c r="N285" s="590">
        <v>2627874</v>
      </c>
      <c r="O285" s="584"/>
    </row>
    <row r="286" spans="3:15">
      <c r="C286" t="s">
        <v>682</v>
      </c>
      <c r="H286" s="157">
        <v>162988300</v>
      </c>
      <c r="I286" s="466">
        <v>7000000</v>
      </c>
      <c r="J286" s="466">
        <v>64374200</v>
      </c>
      <c r="L286" s="466">
        <v>88986226</v>
      </c>
      <c r="N286" s="466">
        <v>2627874</v>
      </c>
      <c r="O286" s="157"/>
    </row>
    <row r="287" spans="3:15">
      <c r="C287" t="s">
        <v>683</v>
      </c>
      <c r="H287" s="157">
        <v>162988300</v>
      </c>
      <c r="N287" s="466">
        <v>162988300</v>
      </c>
      <c r="O287" s="157"/>
    </row>
    <row r="288" spans="3:15">
      <c r="C288" t="s">
        <v>687</v>
      </c>
      <c r="H288" s="157"/>
      <c r="I288" s="466">
        <v>7000000</v>
      </c>
      <c r="J288" s="466">
        <v>54851750</v>
      </c>
      <c r="L288" s="466">
        <v>42345072</v>
      </c>
      <c r="N288" s="466">
        <v>-104196822</v>
      </c>
      <c r="O288" s="157"/>
    </row>
    <row r="289" spans="3:15">
      <c r="C289" s="587" t="s">
        <v>735</v>
      </c>
      <c r="D289" s="587"/>
      <c r="E289" s="587"/>
      <c r="F289" s="587"/>
      <c r="G289" s="587"/>
      <c r="H289" s="588"/>
      <c r="I289" s="592"/>
      <c r="J289" s="592">
        <v>9522450</v>
      </c>
      <c r="K289" s="587"/>
      <c r="L289" s="592">
        <v>46641154</v>
      </c>
      <c r="M289" s="587"/>
      <c r="N289" s="592">
        <v>-56163604</v>
      </c>
      <c r="O289" s="588"/>
    </row>
    <row r="290" spans="3:15">
      <c r="C290" s="583" t="s">
        <v>703</v>
      </c>
      <c r="D290" s="583"/>
      <c r="E290" s="583"/>
      <c r="F290" s="583"/>
      <c r="G290" s="583"/>
      <c r="H290" s="584">
        <v>97872900</v>
      </c>
      <c r="I290" s="590">
        <v>50711800</v>
      </c>
      <c r="J290" s="590">
        <v>22949000</v>
      </c>
      <c r="K290" s="583"/>
      <c r="L290" s="590">
        <v>21993324.52</v>
      </c>
      <c r="M290" s="583"/>
      <c r="N290" s="590">
        <v>2218775.48</v>
      </c>
      <c r="O290" s="584"/>
    </row>
    <row r="291" spans="3:15">
      <c r="C291" t="s">
        <v>682</v>
      </c>
      <c r="H291" s="157">
        <v>97872900</v>
      </c>
      <c r="I291" s="466">
        <v>50711800</v>
      </c>
      <c r="J291" s="466">
        <v>22949000</v>
      </c>
      <c r="L291" s="466">
        <v>21993324.52</v>
      </c>
      <c r="N291" s="466">
        <v>2218775.48</v>
      </c>
      <c r="O291" s="157"/>
    </row>
    <row r="292" spans="3:15">
      <c r="C292" t="s">
        <v>683</v>
      </c>
      <c r="H292" s="157">
        <v>97872900</v>
      </c>
      <c r="N292" s="466">
        <v>97872900</v>
      </c>
      <c r="O292" s="157"/>
    </row>
    <row r="293" spans="3:15">
      <c r="C293" t="s">
        <v>687</v>
      </c>
      <c r="H293" s="157"/>
      <c r="I293" s="466">
        <v>50711800</v>
      </c>
      <c r="J293" s="466">
        <v>22949000</v>
      </c>
      <c r="L293" s="466">
        <v>20542217.52</v>
      </c>
      <c r="N293" s="466">
        <v>-94203017.519999996</v>
      </c>
      <c r="O293" s="157"/>
    </row>
    <row r="294" spans="3:15">
      <c r="C294" t="s">
        <v>735</v>
      </c>
      <c r="H294" s="157"/>
      <c r="L294" s="466">
        <v>1451107</v>
      </c>
      <c r="N294" s="466">
        <v>-1451107</v>
      </c>
      <c r="O294" s="157"/>
    </row>
    <row r="295" spans="3:15">
      <c r="C295" s="583" t="s">
        <v>704</v>
      </c>
      <c r="D295" s="583"/>
      <c r="E295" s="583"/>
      <c r="F295" s="583"/>
      <c r="G295" s="583"/>
      <c r="H295" s="584">
        <v>86011000</v>
      </c>
      <c r="I295" s="590">
        <v>3135910</v>
      </c>
      <c r="J295" s="590">
        <v>71921660</v>
      </c>
      <c r="K295" s="583"/>
      <c r="L295" s="590">
        <v>10953430</v>
      </c>
      <c r="M295" s="583"/>
      <c r="N295" s="590"/>
      <c r="O295" s="584"/>
    </row>
    <row r="296" spans="3:15">
      <c r="C296" t="s">
        <v>682</v>
      </c>
      <c r="H296" s="157">
        <v>86011000</v>
      </c>
      <c r="I296" s="466">
        <v>3135910</v>
      </c>
      <c r="J296" s="466">
        <v>71921660</v>
      </c>
      <c r="L296" s="466">
        <v>10953430</v>
      </c>
      <c r="O296" s="157"/>
    </row>
    <row r="297" spans="3:15">
      <c r="C297" t="s">
        <v>683</v>
      </c>
      <c r="H297" s="157">
        <v>86011000</v>
      </c>
      <c r="I297" s="466">
        <v>3135910</v>
      </c>
      <c r="N297" s="466">
        <v>82875090</v>
      </c>
      <c r="O297" s="157"/>
    </row>
    <row r="298" spans="3:15">
      <c r="C298" t="s">
        <v>687</v>
      </c>
      <c r="H298" s="157"/>
      <c r="J298" s="466">
        <v>71921660</v>
      </c>
      <c r="L298" s="466">
        <v>8677405</v>
      </c>
      <c r="N298" s="466">
        <v>-80599065</v>
      </c>
      <c r="O298" s="157"/>
    </row>
    <row r="299" spans="3:15">
      <c r="C299" t="s">
        <v>735</v>
      </c>
      <c r="H299" s="157"/>
      <c r="L299" s="466">
        <v>2276025</v>
      </c>
      <c r="N299" s="466">
        <v>-2276025</v>
      </c>
      <c r="O299" s="157"/>
    </row>
    <row r="300" spans="3:15">
      <c r="C300" s="583" t="s">
        <v>649</v>
      </c>
      <c r="D300" s="583"/>
      <c r="E300" s="583"/>
      <c r="F300" s="583"/>
      <c r="G300" s="583"/>
      <c r="H300" s="584">
        <v>291478875</v>
      </c>
      <c r="I300" s="590">
        <v>126895100</v>
      </c>
      <c r="J300" s="590">
        <v>107539500</v>
      </c>
      <c r="K300" s="583"/>
      <c r="L300" s="590">
        <v>57044075</v>
      </c>
      <c r="M300" s="583"/>
      <c r="N300" s="590">
        <v>200</v>
      </c>
      <c r="O300" s="584"/>
    </row>
    <row r="301" spans="3:15">
      <c r="C301" t="s">
        <v>682</v>
      </c>
      <c r="H301" s="157">
        <v>287883600</v>
      </c>
      <c r="I301" s="466">
        <v>125169500</v>
      </c>
      <c r="J301" s="466">
        <v>107539500</v>
      </c>
      <c r="L301" s="466">
        <v>55174600</v>
      </c>
      <c r="O301" s="157"/>
    </row>
    <row r="302" spans="3:15">
      <c r="C302" t="s">
        <v>683</v>
      </c>
      <c r="H302" s="157">
        <v>287883600</v>
      </c>
      <c r="N302" s="466">
        <v>287883600</v>
      </c>
      <c r="O302" s="157"/>
    </row>
    <row r="303" spans="3:15">
      <c r="C303" t="s">
        <v>696</v>
      </c>
      <c r="H303" s="157"/>
      <c r="L303" s="466">
        <v>1341300</v>
      </c>
      <c r="N303" s="466">
        <v>-1341300</v>
      </c>
      <c r="O303" s="157"/>
    </row>
    <row r="304" spans="3:15">
      <c r="C304" t="s">
        <v>687</v>
      </c>
      <c r="H304" s="157"/>
      <c r="I304" s="466">
        <v>125169500</v>
      </c>
      <c r="J304" s="466">
        <v>106409500</v>
      </c>
      <c r="L304" s="466">
        <v>43750220</v>
      </c>
      <c r="N304" s="466">
        <v>-275329220</v>
      </c>
      <c r="O304" s="157"/>
    </row>
    <row r="305" spans="3:15">
      <c r="C305" t="s">
        <v>735</v>
      </c>
      <c r="H305" s="157"/>
      <c r="J305" s="466">
        <v>1130000</v>
      </c>
      <c r="L305" s="466">
        <v>10083080</v>
      </c>
      <c r="N305" s="466">
        <v>-11213080</v>
      </c>
      <c r="O305" s="157"/>
    </row>
    <row r="306" spans="3:15">
      <c r="C306" t="s">
        <v>630</v>
      </c>
      <c r="H306" s="157">
        <v>1787175</v>
      </c>
      <c r="L306" s="466">
        <v>1786975</v>
      </c>
      <c r="N306" s="466">
        <v>200</v>
      </c>
      <c r="O306" s="157"/>
    </row>
    <row r="307" spans="3:15">
      <c r="C307" t="s">
        <v>592</v>
      </c>
      <c r="H307" s="157">
        <v>1787175</v>
      </c>
      <c r="L307" s="466">
        <v>1786975</v>
      </c>
      <c r="N307" s="466">
        <v>200</v>
      </c>
      <c r="O307" s="157"/>
    </row>
    <row r="308" spans="3:15">
      <c r="C308" t="s">
        <v>633</v>
      </c>
      <c r="H308" s="157">
        <v>923100</v>
      </c>
      <c r="I308" s="466">
        <v>840600</v>
      </c>
      <c r="L308" s="466">
        <v>82500</v>
      </c>
      <c r="O308" s="157"/>
    </row>
    <row r="309" spans="3:15">
      <c r="C309" t="s">
        <v>592</v>
      </c>
      <c r="H309" s="157">
        <v>923100</v>
      </c>
      <c r="I309" s="466">
        <v>840600</v>
      </c>
      <c r="L309" s="466">
        <v>82500</v>
      </c>
      <c r="O309" s="157"/>
    </row>
    <row r="310" spans="3:15">
      <c r="C310" t="s">
        <v>758</v>
      </c>
      <c r="H310" s="157">
        <v>885000</v>
      </c>
      <c r="I310" s="466">
        <v>885000</v>
      </c>
      <c r="O310" s="157"/>
    </row>
    <row r="311" spans="3:15">
      <c r="C311" t="s">
        <v>592</v>
      </c>
      <c r="H311" s="157">
        <v>885000</v>
      </c>
      <c r="I311" s="466">
        <v>885000</v>
      </c>
      <c r="O311" s="157"/>
    </row>
    <row r="312" spans="3:15">
      <c r="C312" s="583" t="s">
        <v>705</v>
      </c>
      <c r="D312" s="583"/>
      <c r="E312" s="583"/>
      <c r="F312" s="583"/>
      <c r="G312" s="583"/>
      <c r="H312" s="584">
        <v>213004000</v>
      </c>
      <c r="I312" s="590"/>
      <c r="J312" s="590">
        <v>106720600</v>
      </c>
      <c r="K312" s="583"/>
      <c r="L312" s="590">
        <v>105664692</v>
      </c>
      <c r="M312" s="583"/>
      <c r="N312" s="590">
        <v>618708</v>
      </c>
      <c r="O312" s="584"/>
    </row>
    <row r="313" spans="3:15">
      <c r="C313" t="s">
        <v>682</v>
      </c>
      <c r="H313" s="157">
        <v>213004000</v>
      </c>
      <c r="J313" s="466">
        <v>106720600</v>
      </c>
      <c r="L313" s="466">
        <v>105664692</v>
      </c>
      <c r="N313" s="466">
        <v>618708</v>
      </c>
      <c r="O313" s="157"/>
    </row>
    <row r="314" spans="3:15">
      <c r="C314" t="s">
        <v>683</v>
      </c>
      <c r="H314" s="157">
        <v>213004000</v>
      </c>
      <c r="N314" s="466">
        <v>213004000</v>
      </c>
      <c r="O314" s="157"/>
    </row>
    <row r="315" spans="3:15">
      <c r="C315" t="s">
        <v>696</v>
      </c>
      <c r="H315" s="157"/>
      <c r="L315" s="466">
        <v>63000</v>
      </c>
      <c r="N315" s="466">
        <v>-63000</v>
      </c>
      <c r="O315" s="157"/>
    </row>
    <row r="316" spans="3:15">
      <c r="C316" t="s">
        <v>687</v>
      </c>
      <c r="H316" s="157"/>
      <c r="J316" s="466">
        <v>102283500</v>
      </c>
      <c r="L316" s="466">
        <v>96714456</v>
      </c>
      <c r="N316" s="466">
        <v>-198997956</v>
      </c>
      <c r="O316" s="157"/>
    </row>
    <row r="317" spans="3:15">
      <c r="C317" t="s">
        <v>735</v>
      </c>
      <c r="H317" s="157"/>
      <c r="J317" s="466">
        <v>4437100</v>
      </c>
      <c r="L317" s="466">
        <v>8887236</v>
      </c>
      <c r="N317" s="466">
        <v>-13324336</v>
      </c>
      <c r="O317" s="157"/>
    </row>
    <row r="318" spans="3:15">
      <c r="C318" s="583" t="s">
        <v>706</v>
      </c>
      <c r="D318" s="583"/>
      <c r="E318" s="583"/>
      <c r="F318" s="583"/>
      <c r="G318" s="583"/>
      <c r="H318" s="584">
        <v>131153400</v>
      </c>
      <c r="I318" s="590">
        <v>25342900</v>
      </c>
      <c r="J318" s="590">
        <v>96178950</v>
      </c>
      <c r="K318" s="583"/>
      <c r="L318" s="590">
        <v>9631550</v>
      </c>
      <c r="M318" s="583"/>
      <c r="N318" s="590"/>
      <c r="O318" s="584"/>
    </row>
    <row r="319" spans="3:15">
      <c r="C319" t="s">
        <v>682</v>
      </c>
      <c r="H319" s="157">
        <v>131153400</v>
      </c>
      <c r="I319" s="466">
        <v>25342900</v>
      </c>
      <c r="J319" s="466">
        <v>96178950</v>
      </c>
      <c r="L319" s="466">
        <v>9631550</v>
      </c>
      <c r="O319" s="157"/>
    </row>
    <row r="320" spans="3:15">
      <c r="C320" t="s">
        <v>683</v>
      </c>
      <c r="H320" s="157">
        <v>131153400</v>
      </c>
      <c r="I320" s="466">
        <v>25342900</v>
      </c>
      <c r="N320" s="466">
        <v>105810500</v>
      </c>
      <c r="O320" s="157"/>
    </row>
    <row r="321" spans="3:15">
      <c r="C321" t="s">
        <v>687</v>
      </c>
      <c r="H321" s="157"/>
      <c r="J321" s="466">
        <v>95290950</v>
      </c>
      <c r="L321" s="466">
        <v>7446678</v>
      </c>
      <c r="N321" s="466">
        <v>-102737628</v>
      </c>
      <c r="O321" s="157"/>
    </row>
    <row r="322" spans="3:15">
      <c r="C322" t="s">
        <v>735</v>
      </c>
      <c r="H322" s="157"/>
      <c r="J322" s="466">
        <v>888000</v>
      </c>
      <c r="L322" s="466">
        <v>2184872</v>
      </c>
      <c r="N322" s="466">
        <v>-3072872</v>
      </c>
      <c r="O322" s="157"/>
    </row>
    <row r="323" spans="3:15">
      <c r="C323" s="583" t="s">
        <v>650</v>
      </c>
      <c r="D323" s="583"/>
      <c r="E323" s="583"/>
      <c r="F323" s="583"/>
      <c r="G323" s="583"/>
      <c r="H323" s="584">
        <v>126035800</v>
      </c>
      <c r="I323" s="590">
        <v>67939728.5</v>
      </c>
      <c r="J323" s="590">
        <v>35857270.5</v>
      </c>
      <c r="K323" s="583"/>
      <c r="L323" s="590">
        <v>22238801</v>
      </c>
      <c r="M323" s="583"/>
      <c r="N323" s="590"/>
      <c r="O323" s="584"/>
    </row>
    <row r="324" spans="3:15">
      <c r="C324" t="s">
        <v>682</v>
      </c>
      <c r="H324" s="157">
        <v>124444800</v>
      </c>
      <c r="I324" s="466">
        <v>67551079.5</v>
      </c>
      <c r="J324" s="466">
        <v>34805970.5</v>
      </c>
      <c r="L324" s="466">
        <v>22087750</v>
      </c>
      <c r="O324" s="157"/>
    </row>
    <row r="325" spans="3:15">
      <c r="C325" t="s">
        <v>683</v>
      </c>
      <c r="H325" s="157">
        <v>124444800</v>
      </c>
      <c r="I325" s="466">
        <v>67551079.5</v>
      </c>
      <c r="N325" s="466">
        <v>56893720.5</v>
      </c>
      <c r="O325" s="157"/>
    </row>
    <row r="326" spans="3:15">
      <c r="C326" t="s">
        <v>696</v>
      </c>
      <c r="H326" s="157"/>
      <c r="L326" s="466">
        <v>77200</v>
      </c>
      <c r="N326" s="466">
        <v>-77200</v>
      </c>
      <c r="O326" s="157"/>
    </row>
    <row r="327" spans="3:15">
      <c r="C327" t="s">
        <v>687</v>
      </c>
      <c r="H327" s="157"/>
      <c r="J327" s="466">
        <v>34805970.5</v>
      </c>
      <c r="L327" s="466">
        <v>17491055</v>
      </c>
      <c r="N327" s="466">
        <v>-52297025.5</v>
      </c>
      <c r="O327" s="157"/>
    </row>
    <row r="328" spans="3:15">
      <c r="C328" t="s">
        <v>735</v>
      </c>
      <c r="H328" s="157"/>
      <c r="L328" s="466">
        <v>4519495</v>
      </c>
      <c r="N328" s="466">
        <v>-4519495</v>
      </c>
      <c r="O328" s="157"/>
    </row>
    <row r="329" spans="3:15">
      <c r="C329" t="s">
        <v>615</v>
      </c>
      <c r="H329" s="157">
        <v>1591000</v>
      </c>
      <c r="I329" s="466">
        <v>388649</v>
      </c>
      <c r="J329" s="466">
        <v>1051300</v>
      </c>
      <c r="L329" s="466">
        <v>151051</v>
      </c>
      <c r="O329" s="157"/>
    </row>
    <row r="330" spans="3:15">
      <c r="C330" t="s">
        <v>592</v>
      </c>
      <c r="H330" s="157">
        <v>1591000</v>
      </c>
      <c r="I330" s="466">
        <v>388649</v>
      </c>
      <c r="J330" s="466">
        <v>1051300</v>
      </c>
      <c r="L330" s="466">
        <v>151051</v>
      </c>
      <c r="O330" s="157"/>
    </row>
    <row r="331" spans="3:15">
      <c r="C331" s="583" t="s">
        <v>651</v>
      </c>
      <c r="D331" s="583"/>
      <c r="E331" s="583"/>
      <c r="F331" s="583"/>
      <c r="G331" s="583"/>
      <c r="H331" s="584">
        <v>86484060</v>
      </c>
      <c r="I331" s="590">
        <v>12300000</v>
      </c>
      <c r="J331" s="590">
        <v>4757000</v>
      </c>
      <c r="K331" s="583"/>
      <c r="L331" s="590">
        <v>69372060</v>
      </c>
      <c r="M331" s="583"/>
      <c r="N331" s="590">
        <v>55000</v>
      </c>
      <c r="O331" s="584"/>
    </row>
    <row r="332" spans="3:15">
      <c r="C332" t="s">
        <v>682</v>
      </c>
      <c r="H332" s="157">
        <v>76608200</v>
      </c>
      <c r="I332" s="466">
        <v>12300000</v>
      </c>
      <c r="J332" s="466">
        <v>4613000</v>
      </c>
      <c r="L332" s="466">
        <v>59640200</v>
      </c>
      <c r="N332" s="466">
        <v>55000</v>
      </c>
      <c r="O332" s="157"/>
    </row>
    <row r="333" spans="3:15">
      <c r="C333" t="s">
        <v>683</v>
      </c>
      <c r="H333" s="157">
        <v>76608200</v>
      </c>
      <c r="N333" s="466">
        <v>76608200</v>
      </c>
      <c r="O333" s="157"/>
    </row>
    <row r="334" spans="3:15">
      <c r="C334" t="s">
        <v>687</v>
      </c>
      <c r="H334" s="157"/>
      <c r="I334" s="466">
        <v>12300000</v>
      </c>
      <c r="J334" s="466">
        <v>4613000</v>
      </c>
      <c r="L334" s="466">
        <v>34639050</v>
      </c>
      <c r="N334" s="466">
        <v>-51552050</v>
      </c>
      <c r="O334" s="157"/>
    </row>
    <row r="335" spans="3:15">
      <c r="C335" t="s">
        <v>735</v>
      </c>
      <c r="H335" s="157"/>
      <c r="L335" s="466">
        <v>25001150</v>
      </c>
      <c r="N335" s="466">
        <v>-25001150</v>
      </c>
      <c r="O335" s="157"/>
    </row>
    <row r="336" spans="3:15">
      <c r="C336" t="s">
        <v>604</v>
      </c>
      <c r="H336" s="157">
        <v>5775860</v>
      </c>
      <c r="L336" s="466">
        <v>5775860</v>
      </c>
      <c r="O336" s="157"/>
    </row>
    <row r="337" spans="3:15">
      <c r="C337" t="s">
        <v>592</v>
      </c>
      <c r="H337" s="157">
        <v>5775860</v>
      </c>
      <c r="L337" s="466">
        <v>5775860</v>
      </c>
      <c r="O337" s="157"/>
    </row>
    <row r="338" spans="3:15">
      <c r="C338" t="s">
        <v>760</v>
      </c>
      <c r="H338" s="157">
        <v>715000</v>
      </c>
      <c r="L338" s="466">
        <v>715000</v>
      </c>
      <c r="O338" s="157"/>
    </row>
    <row r="339" spans="3:15">
      <c r="C339" t="s">
        <v>592</v>
      </c>
      <c r="H339" s="157">
        <v>715000</v>
      </c>
      <c r="L339" s="466">
        <v>715000</v>
      </c>
      <c r="O339" s="157"/>
    </row>
    <row r="340" spans="3:15">
      <c r="C340" t="s">
        <v>761</v>
      </c>
      <c r="H340" s="157">
        <v>1896000</v>
      </c>
      <c r="J340" s="466">
        <v>144000</v>
      </c>
      <c r="L340" s="466">
        <v>1752000</v>
      </c>
      <c r="O340" s="157"/>
    </row>
    <row r="341" spans="3:15">
      <c r="C341" t="s">
        <v>592</v>
      </c>
      <c r="H341" s="157">
        <v>1896000</v>
      </c>
      <c r="J341" s="466">
        <v>144000</v>
      </c>
      <c r="L341" s="466">
        <v>1752000</v>
      </c>
      <c r="O341" s="157"/>
    </row>
    <row r="342" spans="3:15">
      <c r="C342" t="s">
        <v>762</v>
      </c>
      <c r="H342" s="157">
        <v>1060000</v>
      </c>
      <c r="L342" s="466">
        <v>1060000</v>
      </c>
      <c r="O342" s="157"/>
    </row>
    <row r="343" spans="3:15">
      <c r="C343" t="s">
        <v>592</v>
      </c>
      <c r="H343" s="157">
        <v>1060000</v>
      </c>
      <c r="L343" s="466">
        <v>1060000</v>
      </c>
      <c r="O343" s="157"/>
    </row>
    <row r="344" spans="3:15">
      <c r="C344" t="s">
        <v>763</v>
      </c>
      <c r="H344" s="157">
        <v>429000</v>
      </c>
      <c r="L344" s="466">
        <v>429000</v>
      </c>
      <c r="O344" s="157"/>
    </row>
    <row r="345" spans="3:15">
      <c r="C345" t="s">
        <v>592</v>
      </c>
      <c r="H345" s="157">
        <v>429000</v>
      </c>
      <c r="L345" s="466">
        <v>429000</v>
      </c>
      <c r="O345" s="157"/>
    </row>
    <row r="346" spans="3:15">
      <c r="C346" s="583" t="s">
        <v>707</v>
      </c>
      <c r="D346" s="583"/>
      <c r="E346" s="583"/>
      <c r="F346" s="583"/>
      <c r="G346" s="583"/>
      <c r="H346" s="584">
        <v>196497700</v>
      </c>
      <c r="I346" s="590">
        <v>13369165</v>
      </c>
      <c r="J346" s="590">
        <v>70085200</v>
      </c>
      <c r="K346" s="583"/>
      <c r="L346" s="590">
        <v>113093335</v>
      </c>
      <c r="M346" s="583"/>
      <c r="N346" s="590">
        <v>-50000</v>
      </c>
      <c r="O346" s="584"/>
    </row>
    <row r="347" spans="3:15">
      <c r="C347" t="s">
        <v>682</v>
      </c>
      <c r="H347" s="157">
        <v>196497700</v>
      </c>
      <c r="I347" s="466">
        <v>13369165</v>
      </c>
      <c r="J347" s="466">
        <v>70035200</v>
      </c>
      <c r="L347" s="466">
        <v>113093335</v>
      </c>
      <c r="O347" s="157"/>
    </row>
    <row r="348" spans="3:15">
      <c r="C348" t="s">
        <v>683</v>
      </c>
      <c r="H348" s="157">
        <v>196497700</v>
      </c>
      <c r="N348" s="466">
        <v>196497700</v>
      </c>
      <c r="O348" s="157"/>
    </row>
    <row r="349" spans="3:15">
      <c r="C349" t="s">
        <v>696</v>
      </c>
      <c r="H349" s="157"/>
      <c r="J349" s="466">
        <v>3179000</v>
      </c>
      <c r="L349" s="466">
        <v>63190</v>
      </c>
      <c r="N349" s="466">
        <v>-3242190</v>
      </c>
      <c r="O349" s="157"/>
    </row>
    <row r="350" spans="3:15">
      <c r="C350" t="s">
        <v>687</v>
      </c>
      <c r="H350" s="157"/>
      <c r="I350" s="466">
        <v>13369165</v>
      </c>
      <c r="J350" s="466">
        <v>38357200</v>
      </c>
      <c r="L350" s="466">
        <v>61054590</v>
      </c>
      <c r="N350" s="466">
        <v>-112780955</v>
      </c>
      <c r="O350" s="157"/>
    </row>
    <row r="351" spans="3:15">
      <c r="C351" t="s">
        <v>735</v>
      </c>
      <c r="H351" s="157"/>
      <c r="J351" s="466">
        <v>28499000</v>
      </c>
      <c r="L351" s="466">
        <v>51975555</v>
      </c>
      <c r="N351" s="466">
        <v>-80474555</v>
      </c>
      <c r="O351" s="157"/>
    </row>
    <row r="352" spans="3:15">
      <c r="C352" t="s">
        <v>775</v>
      </c>
      <c r="H352" s="157"/>
      <c r="J352" s="466">
        <v>50000</v>
      </c>
      <c r="N352" s="466">
        <v>-50000</v>
      </c>
      <c r="O352" s="157"/>
    </row>
    <row r="353" spans="3:15">
      <c r="C353" t="s">
        <v>592</v>
      </c>
      <c r="H353" s="157"/>
      <c r="J353" s="466">
        <v>50000</v>
      </c>
      <c r="N353" s="466">
        <v>-50000</v>
      </c>
      <c r="O353" s="157"/>
    </row>
    <row r="354" spans="3:15">
      <c r="C354" s="583" t="s">
        <v>652</v>
      </c>
      <c r="D354" s="583"/>
      <c r="E354" s="583"/>
      <c r="F354" s="583"/>
      <c r="G354" s="583"/>
      <c r="H354" s="584">
        <v>163877800</v>
      </c>
      <c r="I354" s="590">
        <v>7464043.1100000003</v>
      </c>
      <c r="J354" s="590">
        <v>86619853.890000001</v>
      </c>
      <c r="K354" s="583"/>
      <c r="L354" s="590">
        <v>69793903</v>
      </c>
      <c r="M354" s="583"/>
      <c r="N354" s="590"/>
      <c r="O354" s="584"/>
    </row>
    <row r="355" spans="3:15">
      <c r="C355" t="s">
        <v>682</v>
      </c>
      <c r="H355" s="157">
        <v>154770200</v>
      </c>
      <c r="I355" s="466">
        <v>7464043.1100000003</v>
      </c>
      <c r="J355" s="466">
        <v>86313903.890000001</v>
      </c>
      <c r="L355" s="466">
        <v>60992253</v>
      </c>
      <c r="O355" s="157"/>
    </row>
    <row r="356" spans="3:15">
      <c r="C356" t="s">
        <v>683</v>
      </c>
      <c r="H356" s="157">
        <v>154770200</v>
      </c>
      <c r="N356" s="466">
        <v>154770200</v>
      </c>
      <c r="O356" s="157"/>
    </row>
    <row r="357" spans="3:15">
      <c r="C357" t="s">
        <v>696</v>
      </c>
      <c r="H357" s="157"/>
      <c r="L357" s="466">
        <v>2583600</v>
      </c>
      <c r="N357" s="466">
        <v>-2583600</v>
      </c>
      <c r="O357" s="157"/>
    </row>
    <row r="358" spans="3:15">
      <c r="C358" t="s">
        <v>687</v>
      </c>
      <c r="H358" s="157"/>
      <c r="I358" s="466">
        <v>7464043.1100000003</v>
      </c>
      <c r="J358" s="466">
        <v>86313903.890000001</v>
      </c>
      <c r="L358" s="466">
        <v>49501513</v>
      </c>
      <c r="N358" s="466">
        <v>-143279460</v>
      </c>
      <c r="O358" s="157"/>
    </row>
    <row r="359" spans="3:15">
      <c r="C359" t="s">
        <v>735</v>
      </c>
      <c r="H359" s="157"/>
      <c r="L359" s="466">
        <v>8907140</v>
      </c>
      <c r="N359" s="466">
        <v>-8907140</v>
      </c>
      <c r="O359" s="157"/>
    </row>
    <row r="360" spans="3:15">
      <c r="C360" t="s">
        <v>597</v>
      </c>
      <c r="H360" s="157">
        <v>2290700</v>
      </c>
      <c r="L360" s="466">
        <v>2290700</v>
      </c>
      <c r="O360" s="157"/>
    </row>
    <row r="361" spans="3:15">
      <c r="C361" t="s">
        <v>592</v>
      </c>
      <c r="H361" s="157">
        <v>2290700</v>
      </c>
      <c r="L361" s="466">
        <v>2290700</v>
      </c>
      <c r="O361" s="157"/>
    </row>
    <row r="362" spans="3:15">
      <c r="C362" t="s">
        <v>754</v>
      </c>
      <c r="H362" s="157">
        <v>331900</v>
      </c>
      <c r="J362" s="466">
        <v>165950</v>
      </c>
      <c r="L362" s="466">
        <v>165950</v>
      </c>
      <c r="O362" s="157"/>
    </row>
    <row r="363" spans="3:15" s="587" customFormat="1">
      <c r="C363" s="587" t="s">
        <v>592</v>
      </c>
      <c r="H363" s="588">
        <v>331900</v>
      </c>
      <c r="I363" s="592"/>
      <c r="J363" s="592">
        <v>165950</v>
      </c>
      <c r="L363" s="592">
        <v>165950</v>
      </c>
      <c r="N363" s="592"/>
      <c r="O363" s="588"/>
    </row>
    <row r="364" spans="3:15">
      <c r="C364" t="s">
        <v>755</v>
      </c>
      <c r="H364" s="157">
        <v>500000</v>
      </c>
      <c r="J364" s="466">
        <v>140000</v>
      </c>
      <c r="L364" s="466">
        <v>360000</v>
      </c>
      <c r="O364" s="157"/>
    </row>
    <row r="365" spans="3:15">
      <c r="C365" t="s">
        <v>592</v>
      </c>
      <c r="H365" s="157">
        <v>500000</v>
      </c>
      <c r="J365" s="466">
        <v>140000</v>
      </c>
      <c r="L365" s="466">
        <v>360000</v>
      </c>
      <c r="O365" s="157"/>
    </row>
    <row r="366" spans="3:15">
      <c r="C366" t="s">
        <v>759</v>
      </c>
      <c r="H366" s="157">
        <v>1890000</v>
      </c>
      <c r="L366" s="466">
        <v>1890000</v>
      </c>
      <c r="O366" s="157"/>
    </row>
    <row r="367" spans="3:15">
      <c r="C367" t="s">
        <v>592</v>
      </c>
      <c r="H367" s="157">
        <v>1890000</v>
      </c>
      <c r="L367" s="466">
        <v>1890000</v>
      </c>
      <c r="O367" s="157"/>
    </row>
    <row r="368" spans="3:15">
      <c r="C368" t="s">
        <v>764</v>
      </c>
      <c r="H368" s="157">
        <v>2835000</v>
      </c>
      <c r="L368" s="466">
        <v>2835000</v>
      </c>
      <c r="O368" s="157"/>
    </row>
    <row r="369" spans="3:15">
      <c r="C369" t="s">
        <v>592</v>
      </c>
      <c r="H369" s="157">
        <v>2835000</v>
      </c>
      <c r="L369" s="466">
        <v>2835000</v>
      </c>
      <c r="O369" s="157"/>
    </row>
    <row r="370" spans="3:15">
      <c r="C370" t="s">
        <v>765</v>
      </c>
      <c r="H370" s="157">
        <v>1260000</v>
      </c>
      <c r="L370" s="466">
        <v>1260000</v>
      </c>
      <c r="O370" s="157"/>
    </row>
    <row r="371" spans="3:15">
      <c r="C371" t="s">
        <v>592</v>
      </c>
      <c r="H371" s="157">
        <v>1260000</v>
      </c>
      <c r="L371" s="466">
        <v>1260000</v>
      </c>
      <c r="O371" s="157"/>
    </row>
    <row r="372" spans="3:15">
      <c r="C372" s="583" t="s">
        <v>708</v>
      </c>
      <c r="D372" s="583"/>
      <c r="E372" s="583"/>
      <c r="F372" s="583"/>
      <c r="G372" s="583"/>
      <c r="H372" s="584">
        <v>154533900</v>
      </c>
      <c r="I372" s="590"/>
      <c r="J372" s="590">
        <v>60129760</v>
      </c>
      <c r="K372" s="583"/>
      <c r="L372" s="590">
        <v>94239575</v>
      </c>
      <c r="M372" s="583"/>
      <c r="N372" s="590">
        <v>164565</v>
      </c>
      <c r="O372" s="584"/>
    </row>
    <row r="373" spans="3:15">
      <c r="C373" t="s">
        <v>682</v>
      </c>
      <c r="H373" s="157">
        <v>154533900</v>
      </c>
      <c r="J373" s="466">
        <v>60129760</v>
      </c>
      <c r="L373" s="466">
        <v>94239575</v>
      </c>
      <c r="N373" s="466">
        <v>164565</v>
      </c>
      <c r="O373" s="157"/>
    </row>
    <row r="374" spans="3:15">
      <c r="C374" t="s">
        <v>683</v>
      </c>
      <c r="H374" s="157">
        <v>154533900</v>
      </c>
      <c r="N374" s="466">
        <v>154533900</v>
      </c>
      <c r="O374" s="157"/>
    </row>
    <row r="375" spans="3:15">
      <c r="C375" t="s">
        <v>687</v>
      </c>
      <c r="H375" s="157"/>
      <c r="J375" s="466">
        <v>60129760</v>
      </c>
      <c r="L375" s="466">
        <v>74483420</v>
      </c>
      <c r="N375" s="466">
        <v>-134613180</v>
      </c>
      <c r="O375" s="157"/>
    </row>
    <row r="376" spans="3:15">
      <c r="C376" t="s">
        <v>735</v>
      </c>
      <c r="H376" s="157"/>
      <c r="L376" s="466">
        <v>19756155</v>
      </c>
      <c r="N376" s="466">
        <v>-19756155</v>
      </c>
      <c r="O376" s="157"/>
    </row>
    <row r="377" spans="3:15">
      <c r="C377" t="s">
        <v>749</v>
      </c>
      <c r="H377" s="157"/>
      <c r="O377" s="157"/>
    </row>
    <row r="378" spans="3:15">
      <c r="C378" s="583" t="s">
        <v>653</v>
      </c>
      <c r="D378" s="583"/>
      <c r="E378" s="583"/>
      <c r="F378" s="583"/>
      <c r="G378" s="583"/>
      <c r="H378" s="584">
        <v>148416700</v>
      </c>
      <c r="I378" s="590">
        <v>96150000</v>
      </c>
      <c r="J378" s="590">
        <v>23670100.140000001</v>
      </c>
      <c r="K378" s="583"/>
      <c r="L378" s="590">
        <v>27298940</v>
      </c>
      <c r="M378" s="583"/>
      <c r="N378" s="590">
        <v>1297659.8600000001</v>
      </c>
      <c r="O378" s="584"/>
    </row>
    <row r="379" spans="3:15">
      <c r="C379" t="s">
        <v>682</v>
      </c>
      <c r="H379" s="157">
        <v>140018700</v>
      </c>
      <c r="I379" s="466">
        <v>89250000</v>
      </c>
      <c r="J379" s="466">
        <v>22938100</v>
      </c>
      <c r="L379" s="466">
        <v>27298940</v>
      </c>
      <c r="N379" s="466">
        <v>531660</v>
      </c>
      <c r="O379" s="157"/>
    </row>
    <row r="380" spans="3:15">
      <c r="C380" s="587" t="s">
        <v>683</v>
      </c>
      <c r="D380" s="587"/>
      <c r="E380" s="587"/>
      <c r="F380" s="587"/>
      <c r="G380" s="587"/>
      <c r="H380" s="588">
        <v>140018700</v>
      </c>
      <c r="I380" s="592">
        <v>89250000</v>
      </c>
      <c r="J380" s="592"/>
      <c r="K380" s="587"/>
      <c r="L380" s="592"/>
      <c r="M380" s="587"/>
      <c r="N380" s="592">
        <v>50768700</v>
      </c>
      <c r="O380" s="588"/>
    </row>
    <row r="381" spans="3:15">
      <c r="C381" t="s">
        <v>687</v>
      </c>
      <c r="H381" s="157"/>
      <c r="J381" s="466">
        <v>22192100</v>
      </c>
      <c r="L381" s="466">
        <v>27028615</v>
      </c>
      <c r="N381" s="466">
        <v>-49220715</v>
      </c>
      <c r="O381" s="157"/>
    </row>
    <row r="382" spans="3:15">
      <c r="C382" t="s">
        <v>735</v>
      </c>
      <c r="H382" s="157"/>
      <c r="J382" s="466">
        <v>746000</v>
      </c>
      <c r="L382" s="466">
        <v>270325</v>
      </c>
      <c r="N382" s="466">
        <v>-1016325</v>
      </c>
      <c r="O382" s="157"/>
    </row>
    <row r="383" spans="3:15">
      <c r="C383" t="s">
        <v>610</v>
      </c>
      <c r="H383" s="157">
        <v>8398000</v>
      </c>
      <c r="I383" s="466">
        <v>6900000</v>
      </c>
      <c r="J383" s="466">
        <v>732000.14</v>
      </c>
      <c r="N383" s="466">
        <v>765999.86</v>
      </c>
      <c r="O383" s="157"/>
    </row>
    <row r="384" spans="3:15">
      <c r="C384" t="s">
        <v>592</v>
      </c>
      <c r="H384" s="157">
        <v>8398000</v>
      </c>
      <c r="I384" s="466">
        <v>6900000</v>
      </c>
      <c r="J384" s="466">
        <v>732000.14</v>
      </c>
      <c r="N384" s="466">
        <v>765999.86</v>
      </c>
      <c r="O384" s="157"/>
    </row>
    <row r="385" spans="3:15">
      <c r="C385" s="583" t="s">
        <v>709</v>
      </c>
      <c r="D385" s="583"/>
      <c r="E385" s="583"/>
      <c r="F385" s="583"/>
      <c r="G385" s="583"/>
      <c r="H385" s="584">
        <v>46436600</v>
      </c>
      <c r="I385" s="590">
        <v>7572400</v>
      </c>
      <c r="J385" s="590">
        <v>31492852.120000001</v>
      </c>
      <c r="K385" s="583"/>
      <c r="L385" s="590">
        <v>6230222</v>
      </c>
      <c r="M385" s="583"/>
      <c r="N385" s="590">
        <v>1141125.8799999999</v>
      </c>
      <c r="O385" s="584"/>
    </row>
    <row r="386" spans="3:15">
      <c r="C386" t="s">
        <v>682</v>
      </c>
      <c r="H386" s="157">
        <v>46436600</v>
      </c>
      <c r="I386" s="466">
        <v>7572400</v>
      </c>
      <c r="J386" s="466">
        <v>31492852.120000001</v>
      </c>
      <c r="L386" s="466">
        <v>6230222</v>
      </c>
      <c r="N386" s="466">
        <v>1141125.8799999999</v>
      </c>
      <c r="O386" s="157"/>
    </row>
    <row r="387" spans="3:15">
      <c r="C387" t="s">
        <v>683</v>
      </c>
      <c r="H387" s="157">
        <v>46436600</v>
      </c>
      <c r="I387" s="466">
        <v>7572400</v>
      </c>
      <c r="N387" s="466">
        <v>38864200</v>
      </c>
      <c r="O387" s="157"/>
    </row>
    <row r="388" spans="3:15">
      <c r="C388" t="s">
        <v>687</v>
      </c>
      <c r="H388" s="157"/>
      <c r="J388" s="466">
        <v>31172852.120000001</v>
      </c>
      <c r="L388" s="466">
        <v>5083322</v>
      </c>
      <c r="N388" s="466">
        <v>-36256174.119999997</v>
      </c>
      <c r="O388" s="157"/>
    </row>
    <row r="389" spans="3:15">
      <c r="C389" t="s">
        <v>735</v>
      </c>
      <c r="H389" s="157"/>
      <c r="J389" s="466">
        <v>320000</v>
      </c>
      <c r="L389" s="466">
        <v>1146900</v>
      </c>
      <c r="N389" s="466">
        <v>-1466900</v>
      </c>
      <c r="O389" s="157"/>
    </row>
    <row r="390" spans="3:15">
      <c r="C390" s="581" t="s">
        <v>654</v>
      </c>
      <c r="D390" s="581"/>
      <c r="E390" s="581"/>
      <c r="F390" s="581"/>
      <c r="G390" s="581"/>
      <c r="H390" s="582">
        <v>168338800</v>
      </c>
      <c r="I390" s="589"/>
      <c r="J390" s="589">
        <v>45223117</v>
      </c>
      <c r="K390" s="581"/>
      <c r="L390" s="589">
        <v>22690426.949999999</v>
      </c>
      <c r="M390" s="581"/>
      <c r="N390" s="589">
        <v>100425256.05</v>
      </c>
      <c r="O390" s="582"/>
    </row>
    <row r="391" spans="3:15">
      <c r="C391" s="585" t="s">
        <v>682</v>
      </c>
      <c r="D391" s="585"/>
      <c r="E391" s="585"/>
      <c r="F391" s="585"/>
      <c r="G391" s="585"/>
      <c r="H391" s="586">
        <v>157625600</v>
      </c>
      <c r="I391" s="591"/>
      <c r="J391" s="591">
        <v>44649117</v>
      </c>
      <c r="K391" s="585"/>
      <c r="L391" s="591">
        <v>22690426.949999999</v>
      </c>
      <c r="M391" s="585"/>
      <c r="N391" s="591">
        <v>90286056.049999997</v>
      </c>
      <c r="O391" s="586"/>
    </row>
    <row r="392" spans="3:15">
      <c r="C392" s="585" t="s">
        <v>683</v>
      </c>
      <c r="D392" s="585"/>
      <c r="E392" s="585"/>
      <c r="F392" s="585"/>
      <c r="G392" s="585"/>
      <c r="H392" s="586">
        <v>157625600</v>
      </c>
      <c r="I392" s="591"/>
      <c r="J392" s="591"/>
      <c r="K392" s="585"/>
      <c r="L392" s="591"/>
      <c r="M392" s="585"/>
      <c r="N392" s="591">
        <v>157625600</v>
      </c>
      <c r="O392" s="586"/>
    </row>
    <row r="393" spans="3:15">
      <c r="C393" s="585" t="s">
        <v>687</v>
      </c>
      <c r="D393" s="585"/>
      <c r="E393" s="585"/>
      <c r="F393" s="585"/>
      <c r="G393" s="585"/>
      <c r="H393" s="586"/>
      <c r="I393" s="591"/>
      <c r="J393" s="591">
        <v>44649117</v>
      </c>
      <c r="K393" s="585"/>
      <c r="L393" s="591">
        <v>22690426.949999999</v>
      </c>
      <c r="M393" s="585"/>
      <c r="N393" s="591">
        <v>-67339543.950000003</v>
      </c>
      <c r="O393" s="586"/>
    </row>
    <row r="394" spans="3:15">
      <c r="C394" s="585" t="s">
        <v>618</v>
      </c>
      <c r="D394" s="585"/>
      <c r="E394" s="585"/>
      <c r="F394" s="585"/>
      <c r="G394" s="585"/>
      <c r="H394" s="586">
        <v>10006300</v>
      </c>
      <c r="I394" s="591"/>
      <c r="J394" s="591"/>
      <c r="K394" s="585"/>
      <c r="L394" s="591"/>
      <c r="M394" s="585"/>
      <c r="N394" s="591">
        <v>10006300</v>
      </c>
      <c r="O394" s="586"/>
    </row>
    <row r="395" spans="3:15">
      <c r="C395" s="585" t="s">
        <v>592</v>
      </c>
      <c r="D395" s="585"/>
      <c r="E395" s="585"/>
      <c r="F395" s="585"/>
      <c r="G395" s="585"/>
      <c r="H395" s="586">
        <v>10006300</v>
      </c>
      <c r="I395" s="591"/>
      <c r="J395" s="591"/>
      <c r="K395" s="585"/>
      <c r="L395" s="591"/>
      <c r="M395" s="585"/>
      <c r="N395" s="591">
        <v>10006300</v>
      </c>
      <c r="O395" s="586"/>
    </row>
    <row r="396" spans="3:15">
      <c r="C396" s="585" t="s">
        <v>633</v>
      </c>
      <c r="D396" s="585"/>
      <c r="E396" s="585"/>
      <c r="F396" s="585"/>
      <c r="G396" s="585"/>
      <c r="H396" s="586">
        <v>706900</v>
      </c>
      <c r="I396" s="591"/>
      <c r="J396" s="591">
        <v>574000</v>
      </c>
      <c r="K396" s="585"/>
      <c r="L396" s="591"/>
      <c r="M396" s="585"/>
      <c r="N396" s="591">
        <v>132900</v>
      </c>
      <c r="O396" s="586"/>
    </row>
    <row r="397" spans="3:15">
      <c r="C397" s="585" t="s">
        <v>592</v>
      </c>
      <c r="D397" s="585"/>
      <c r="E397" s="585"/>
      <c r="F397" s="585"/>
      <c r="G397" s="585"/>
      <c r="H397" s="586">
        <v>706900</v>
      </c>
      <c r="I397" s="591"/>
      <c r="J397" s="591">
        <v>574000</v>
      </c>
      <c r="K397" s="585"/>
      <c r="L397" s="591"/>
      <c r="M397" s="585"/>
      <c r="N397" s="591">
        <v>132900</v>
      </c>
      <c r="O397" s="586"/>
    </row>
    <row r="398" spans="3:15">
      <c r="C398" s="583" t="s">
        <v>710</v>
      </c>
      <c r="D398" s="583"/>
      <c r="E398" s="583"/>
      <c r="F398" s="583"/>
      <c r="G398" s="583"/>
      <c r="H398" s="584">
        <v>77133500</v>
      </c>
      <c r="I398" s="590">
        <v>8351382</v>
      </c>
      <c r="J398" s="590">
        <v>38435739</v>
      </c>
      <c r="K398" s="583"/>
      <c r="L398" s="590">
        <v>23937651</v>
      </c>
      <c r="M398" s="583"/>
      <c r="N398" s="590">
        <v>6408728</v>
      </c>
      <c r="O398" s="584"/>
    </row>
    <row r="399" spans="3:15">
      <c r="C399" t="s">
        <v>682</v>
      </c>
      <c r="H399" s="157">
        <v>77133500</v>
      </c>
      <c r="I399" s="466">
        <v>8351382</v>
      </c>
      <c r="J399" s="466">
        <v>38435739</v>
      </c>
      <c r="L399" s="466">
        <v>23937651</v>
      </c>
      <c r="N399" s="466">
        <v>6408728</v>
      </c>
      <c r="O399" s="157"/>
    </row>
    <row r="400" spans="3:15">
      <c r="C400" t="s">
        <v>683</v>
      </c>
      <c r="H400" s="157">
        <v>77133500</v>
      </c>
      <c r="N400" s="466">
        <v>77133500</v>
      </c>
      <c r="O400" s="157"/>
    </row>
    <row r="401" spans="3:15">
      <c r="C401" t="s">
        <v>687</v>
      </c>
      <c r="H401" s="157"/>
      <c r="I401" s="466">
        <v>8351382</v>
      </c>
      <c r="J401" s="466">
        <v>38435739</v>
      </c>
      <c r="L401" s="466">
        <v>23937651</v>
      </c>
      <c r="N401" s="466">
        <v>-70724772</v>
      </c>
      <c r="O401" s="157"/>
    </row>
    <row r="402" spans="3:15">
      <c r="C402" s="583" t="s">
        <v>655</v>
      </c>
      <c r="D402" s="583"/>
      <c r="E402" s="583"/>
      <c r="F402" s="583"/>
      <c r="G402" s="583"/>
      <c r="H402" s="584">
        <v>69997730</v>
      </c>
      <c r="I402" s="590">
        <v>12132619.300000001</v>
      </c>
      <c r="J402" s="590">
        <v>35781794.700000003</v>
      </c>
      <c r="K402" s="583"/>
      <c r="L402" s="590">
        <v>22083316</v>
      </c>
      <c r="M402" s="583"/>
      <c r="N402" s="590"/>
      <c r="O402" s="584"/>
    </row>
    <row r="403" spans="3:15">
      <c r="C403" t="s">
        <v>682</v>
      </c>
      <c r="H403" s="157">
        <v>67698330</v>
      </c>
      <c r="I403" s="466">
        <v>12104719.300000001</v>
      </c>
      <c r="J403" s="466">
        <v>34710394.700000003</v>
      </c>
      <c r="L403" s="466">
        <v>20883216</v>
      </c>
      <c r="O403" s="157"/>
    </row>
    <row r="404" spans="3:15">
      <c r="C404" t="s">
        <v>683</v>
      </c>
      <c r="H404" s="157">
        <v>67698330</v>
      </c>
      <c r="I404" s="466">
        <v>2818759.3</v>
      </c>
      <c r="N404" s="466">
        <v>64879570.700000003</v>
      </c>
      <c r="O404" s="157"/>
    </row>
    <row r="405" spans="3:15">
      <c r="C405" t="s">
        <v>687</v>
      </c>
      <c r="H405" s="157"/>
      <c r="I405" s="466">
        <v>9285960</v>
      </c>
      <c r="J405" s="466">
        <v>29680804.699999999</v>
      </c>
      <c r="L405" s="466">
        <v>15166251</v>
      </c>
      <c r="N405" s="466">
        <v>-54133015.700000003</v>
      </c>
      <c r="O405" s="157"/>
    </row>
    <row r="406" spans="3:15">
      <c r="C406" t="s">
        <v>735</v>
      </c>
      <c r="H406" s="157"/>
      <c r="J406" s="466">
        <v>5029590</v>
      </c>
      <c r="L406" s="466">
        <v>5716965</v>
      </c>
      <c r="N406" s="466">
        <v>-10746555</v>
      </c>
      <c r="O406" s="157"/>
    </row>
    <row r="407" spans="3:15">
      <c r="C407" t="s">
        <v>609</v>
      </c>
      <c r="H407" s="157">
        <v>2299400</v>
      </c>
      <c r="I407" s="466">
        <v>27900</v>
      </c>
      <c r="J407" s="466">
        <v>1071400</v>
      </c>
      <c r="L407" s="466">
        <v>1200100</v>
      </c>
      <c r="O407" s="157"/>
    </row>
    <row r="408" spans="3:15">
      <c r="C408" t="s">
        <v>592</v>
      </c>
      <c r="H408" s="157">
        <v>2299400</v>
      </c>
      <c r="I408" s="466">
        <v>27900</v>
      </c>
      <c r="J408" s="466">
        <v>1071400</v>
      </c>
      <c r="L408" s="466">
        <v>1200100</v>
      </c>
      <c r="O408" s="157"/>
    </row>
    <row r="409" spans="3:15">
      <c r="C409" s="583" t="s">
        <v>656</v>
      </c>
      <c r="D409" s="583"/>
      <c r="E409" s="583"/>
      <c r="F409" s="583"/>
      <c r="G409" s="583"/>
      <c r="H409" s="584">
        <v>60691070</v>
      </c>
      <c r="I409" s="590">
        <v>1620000</v>
      </c>
      <c r="J409" s="590">
        <v>42346430</v>
      </c>
      <c r="K409" s="583"/>
      <c r="L409" s="590">
        <v>16590820</v>
      </c>
      <c r="M409" s="583"/>
      <c r="N409" s="590">
        <v>133820</v>
      </c>
      <c r="O409" s="584"/>
    </row>
    <row r="410" spans="3:15">
      <c r="C410" t="s">
        <v>682</v>
      </c>
      <c r="H410" s="157">
        <v>59395070</v>
      </c>
      <c r="I410" s="466">
        <v>1620000</v>
      </c>
      <c r="J410" s="466">
        <v>41898975</v>
      </c>
      <c r="L410" s="466">
        <v>15744820</v>
      </c>
      <c r="N410" s="466">
        <v>131275</v>
      </c>
      <c r="O410" s="157"/>
    </row>
    <row r="411" spans="3:15">
      <c r="C411" t="s">
        <v>683</v>
      </c>
      <c r="H411" s="157">
        <v>59395070</v>
      </c>
      <c r="I411" s="466">
        <v>1620000</v>
      </c>
      <c r="N411" s="466">
        <v>57775070</v>
      </c>
      <c r="O411" s="157"/>
    </row>
    <row r="412" spans="3:15">
      <c r="C412" t="s">
        <v>687</v>
      </c>
      <c r="H412" s="157"/>
      <c r="J412" s="466">
        <v>41898975</v>
      </c>
      <c r="L412" s="466">
        <v>15640480</v>
      </c>
      <c r="N412" s="466">
        <v>-57539455</v>
      </c>
      <c r="O412" s="157"/>
    </row>
    <row r="413" spans="3:15">
      <c r="C413" t="s">
        <v>735</v>
      </c>
      <c r="H413" s="157"/>
      <c r="L413" s="466">
        <v>104340</v>
      </c>
      <c r="N413" s="466">
        <v>-104340</v>
      </c>
      <c r="O413" s="157"/>
    </row>
    <row r="414" spans="3:15">
      <c r="C414" t="s">
        <v>608</v>
      </c>
      <c r="H414" s="157">
        <v>846000</v>
      </c>
      <c r="L414" s="466">
        <v>846000</v>
      </c>
      <c r="O414" s="157"/>
    </row>
    <row r="415" spans="3:15">
      <c r="C415" t="s">
        <v>592</v>
      </c>
      <c r="H415" s="157">
        <v>846000</v>
      </c>
      <c r="L415" s="466">
        <v>846000</v>
      </c>
      <c r="O415" s="157"/>
    </row>
    <row r="416" spans="3:15">
      <c r="C416" t="s">
        <v>756</v>
      </c>
      <c r="H416" s="157">
        <v>450000</v>
      </c>
      <c r="J416" s="466">
        <v>447455</v>
      </c>
      <c r="N416" s="466">
        <v>2545</v>
      </c>
      <c r="O416" s="157"/>
    </row>
    <row r="417" spans="3:15">
      <c r="C417" t="s">
        <v>592</v>
      </c>
      <c r="H417" s="157">
        <v>450000</v>
      </c>
      <c r="J417" s="466">
        <v>447455</v>
      </c>
      <c r="N417" s="466">
        <v>2545</v>
      </c>
      <c r="O417" s="157"/>
    </row>
    <row r="418" spans="3:15">
      <c r="C418" s="583" t="s">
        <v>657</v>
      </c>
      <c r="D418" s="583"/>
      <c r="E418" s="583"/>
      <c r="F418" s="583"/>
      <c r="G418" s="583"/>
      <c r="H418" s="584">
        <v>94363163</v>
      </c>
      <c r="I418" s="590">
        <v>6372567</v>
      </c>
      <c r="J418" s="590">
        <v>30479400</v>
      </c>
      <c r="K418" s="583"/>
      <c r="L418" s="590">
        <v>55462328</v>
      </c>
      <c r="M418" s="583"/>
      <c r="N418" s="590">
        <v>2048868</v>
      </c>
      <c r="O418" s="584"/>
    </row>
    <row r="419" spans="3:15">
      <c r="C419" t="s">
        <v>682</v>
      </c>
      <c r="H419" s="157">
        <v>89750413</v>
      </c>
      <c r="I419" s="466">
        <v>5551667</v>
      </c>
      <c r="J419" s="466">
        <v>28910400</v>
      </c>
      <c r="L419" s="466">
        <v>53239478</v>
      </c>
      <c r="N419" s="466">
        <v>2048868</v>
      </c>
      <c r="O419" s="157"/>
    </row>
    <row r="420" spans="3:15">
      <c r="C420" t="s">
        <v>683</v>
      </c>
      <c r="H420" s="157">
        <v>89750413</v>
      </c>
      <c r="I420" s="466">
        <v>5551667</v>
      </c>
      <c r="N420" s="466">
        <v>84198746</v>
      </c>
      <c r="O420" s="157"/>
    </row>
    <row r="421" spans="3:15">
      <c r="C421" t="s">
        <v>696</v>
      </c>
      <c r="H421" s="157"/>
      <c r="L421" s="466">
        <v>2995200</v>
      </c>
      <c r="N421" s="466">
        <v>-2995200</v>
      </c>
      <c r="O421" s="157"/>
    </row>
    <row r="422" spans="3:15">
      <c r="C422" t="s">
        <v>687</v>
      </c>
      <c r="H422" s="157"/>
      <c r="J422" s="466">
        <v>28910400</v>
      </c>
      <c r="L422" s="466">
        <v>50244278</v>
      </c>
      <c r="N422" s="466">
        <v>-79154678</v>
      </c>
      <c r="O422" s="157"/>
    </row>
    <row r="423" spans="3:15">
      <c r="C423" t="s">
        <v>603</v>
      </c>
      <c r="H423" s="157">
        <v>3650750</v>
      </c>
      <c r="I423" s="466">
        <v>820900</v>
      </c>
      <c r="J423" s="466">
        <v>607000</v>
      </c>
      <c r="L423" s="466">
        <v>2222850</v>
      </c>
      <c r="O423" s="157"/>
    </row>
    <row r="424" spans="3:15">
      <c r="C424" t="s">
        <v>592</v>
      </c>
      <c r="H424" s="157">
        <v>3650750</v>
      </c>
      <c r="I424" s="466">
        <v>820900</v>
      </c>
      <c r="J424" s="466">
        <v>607000</v>
      </c>
      <c r="L424" s="466">
        <v>2222850</v>
      </c>
      <c r="O424" s="157"/>
    </row>
    <row r="425" spans="3:15">
      <c r="C425" t="s">
        <v>757</v>
      </c>
      <c r="H425" s="157">
        <v>450000</v>
      </c>
      <c r="J425" s="466">
        <v>450000</v>
      </c>
      <c r="O425" s="157"/>
    </row>
    <row r="426" spans="3:15">
      <c r="C426" t="s">
        <v>592</v>
      </c>
      <c r="H426" s="157">
        <v>450000</v>
      </c>
      <c r="J426" s="466">
        <v>450000</v>
      </c>
      <c r="O426" s="157"/>
    </row>
    <row r="427" spans="3:15">
      <c r="C427" t="s">
        <v>771</v>
      </c>
      <c r="H427" s="157">
        <v>512000</v>
      </c>
      <c r="J427" s="466">
        <v>512000</v>
      </c>
      <c r="O427" s="157"/>
    </row>
    <row r="428" spans="3:15">
      <c r="C428" t="s">
        <v>592</v>
      </c>
      <c r="H428" s="157">
        <v>512000</v>
      </c>
      <c r="J428" s="466">
        <v>512000</v>
      </c>
      <c r="O428" s="157"/>
    </row>
    <row r="429" spans="3:15">
      <c r="C429" s="583" t="s">
        <v>658</v>
      </c>
      <c r="D429" s="583"/>
      <c r="E429" s="583"/>
      <c r="F429" s="583"/>
      <c r="G429" s="583"/>
      <c r="H429" s="584">
        <v>127841166</v>
      </c>
      <c r="I429" s="590">
        <v>92290146</v>
      </c>
      <c r="J429" s="590">
        <v>12189795</v>
      </c>
      <c r="K429" s="583"/>
      <c r="L429" s="590">
        <v>21564656</v>
      </c>
      <c r="M429" s="583"/>
      <c r="N429" s="590">
        <v>1796569</v>
      </c>
      <c r="O429" s="584"/>
    </row>
    <row r="430" spans="3:15">
      <c r="C430" t="s">
        <v>682</v>
      </c>
      <c r="H430" s="157">
        <v>106997866</v>
      </c>
      <c r="I430" s="466">
        <v>71446846</v>
      </c>
      <c r="J430" s="466">
        <v>12189795</v>
      </c>
      <c r="L430" s="466">
        <v>21564656</v>
      </c>
      <c r="N430" s="466">
        <v>1796569</v>
      </c>
      <c r="O430" s="157"/>
    </row>
    <row r="431" spans="3:15">
      <c r="C431" t="s">
        <v>683</v>
      </c>
      <c r="H431" s="157">
        <v>106997866</v>
      </c>
      <c r="I431" s="466">
        <v>71446846</v>
      </c>
      <c r="N431" s="466">
        <v>35551020</v>
      </c>
      <c r="O431" s="157"/>
    </row>
    <row r="432" spans="3:15">
      <c r="C432" t="s">
        <v>696</v>
      </c>
      <c r="H432" s="157"/>
      <c r="L432" s="466">
        <v>2468900</v>
      </c>
      <c r="N432" s="466">
        <v>-2468900</v>
      </c>
      <c r="O432" s="157"/>
    </row>
    <row r="433" spans="3:15">
      <c r="C433" t="s">
        <v>687</v>
      </c>
      <c r="H433" s="157"/>
      <c r="J433" s="466">
        <v>11689795</v>
      </c>
      <c r="L433" s="466">
        <v>10301400</v>
      </c>
      <c r="N433" s="466">
        <v>-21991195</v>
      </c>
      <c r="O433" s="157"/>
    </row>
    <row r="434" spans="3:15">
      <c r="C434" t="s">
        <v>735</v>
      </c>
      <c r="H434" s="157"/>
      <c r="J434" s="466">
        <v>500000</v>
      </c>
      <c r="L434" s="466">
        <v>8794356</v>
      </c>
      <c r="N434" s="466">
        <v>-9294356</v>
      </c>
      <c r="O434" s="157"/>
    </row>
    <row r="435" spans="3:15">
      <c r="C435" t="s">
        <v>598</v>
      </c>
      <c r="H435" s="157">
        <v>20843300</v>
      </c>
      <c r="I435" s="466">
        <v>20843300</v>
      </c>
      <c r="O435" s="157"/>
    </row>
    <row r="436" spans="3:15">
      <c r="C436" t="s">
        <v>592</v>
      </c>
      <c r="H436" s="157">
        <v>20843300</v>
      </c>
      <c r="I436" s="466">
        <v>20843300</v>
      </c>
      <c r="O436" s="157"/>
    </row>
    <row r="437" spans="3:15">
      <c r="C437" s="583" t="s">
        <v>659</v>
      </c>
      <c r="D437" s="583"/>
      <c r="E437" s="583"/>
      <c r="F437" s="583"/>
      <c r="G437" s="583"/>
      <c r="H437" s="584">
        <v>32952300</v>
      </c>
      <c r="I437" s="590"/>
      <c r="J437" s="590">
        <v>20336900</v>
      </c>
      <c r="K437" s="583"/>
      <c r="L437" s="590">
        <v>10108720</v>
      </c>
      <c r="M437" s="583"/>
      <c r="N437" s="590">
        <v>2506680</v>
      </c>
      <c r="O437" s="584"/>
    </row>
    <row r="438" spans="3:15">
      <c r="C438" t="s">
        <v>682</v>
      </c>
      <c r="H438" s="157">
        <v>31831200</v>
      </c>
      <c r="J438" s="466">
        <v>20336900</v>
      </c>
      <c r="L438" s="466">
        <v>9232620</v>
      </c>
      <c r="N438" s="466">
        <v>2261680</v>
      </c>
      <c r="O438" s="157"/>
    </row>
    <row r="439" spans="3:15">
      <c r="C439" t="s">
        <v>683</v>
      </c>
      <c r="H439" s="157">
        <v>31831200</v>
      </c>
      <c r="N439" s="466">
        <v>31831200</v>
      </c>
      <c r="O439" s="157"/>
    </row>
    <row r="440" spans="3:15">
      <c r="C440" t="s">
        <v>696</v>
      </c>
      <c r="H440" s="157"/>
      <c r="L440" s="466">
        <v>12140</v>
      </c>
      <c r="N440" s="466">
        <v>-12140</v>
      </c>
      <c r="O440" s="157"/>
    </row>
    <row r="441" spans="3:15">
      <c r="C441" t="s">
        <v>687</v>
      </c>
      <c r="H441" s="157"/>
      <c r="J441" s="466">
        <v>20136900</v>
      </c>
      <c r="L441" s="466">
        <v>8158810</v>
      </c>
      <c r="N441" s="466">
        <v>-28295710</v>
      </c>
      <c r="O441" s="157"/>
    </row>
    <row r="442" spans="3:15">
      <c r="C442" t="s">
        <v>735</v>
      </c>
      <c r="H442" s="157"/>
      <c r="J442" s="466">
        <v>200000</v>
      </c>
      <c r="L442" s="466">
        <v>1061670</v>
      </c>
      <c r="N442" s="466">
        <v>-1261670</v>
      </c>
      <c r="O442" s="157"/>
    </row>
    <row r="443" spans="3:15">
      <c r="C443" t="s">
        <v>613</v>
      </c>
      <c r="H443" s="157">
        <v>1121100</v>
      </c>
      <c r="L443" s="466">
        <v>876100</v>
      </c>
      <c r="N443" s="466">
        <v>245000</v>
      </c>
      <c r="O443" s="157"/>
    </row>
    <row r="444" spans="3:15">
      <c r="C444" t="s">
        <v>592</v>
      </c>
      <c r="H444" s="157">
        <v>1121100</v>
      </c>
      <c r="L444" s="466">
        <v>876100</v>
      </c>
      <c r="N444" s="466">
        <v>245000</v>
      </c>
      <c r="O444" s="157"/>
    </row>
    <row r="445" spans="3:15">
      <c r="C445" s="583" t="s">
        <v>660</v>
      </c>
      <c r="D445" s="583"/>
      <c r="E445" s="583"/>
      <c r="F445" s="583"/>
      <c r="G445" s="583"/>
      <c r="H445" s="584">
        <v>142990700</v>
      </c>
      <c r="I445" s="590">
        <v>60538676.100000001</v>
      </c>
      <c r="J445" s="590">
        <v>27274733.899999999</v>
      </c>
      <c r="K445" s="583"/>
      <c r="L445" s="590">
        <v>55177290</v>
      </c>
      <c r="M445" s="583"/>
      <c r="N445" s="590"/>
      <c r="O445" s="584"/>
    </row>
    <row r="446" spans="3:15">
      <c r="C446" t="s">
        <v>682</v>
      </c>
      <c r="H446" s="157">
        <v>128938100</v>
      </c>
      <c r="I446" s="466">
        <v>51788748.100000001</v>
      </c>
      <c r="J446" s="466">
        <v>23757961.899999999</v>
      </c>
      <c r="L446" s="466">
        <v>53391390</v>
      </c>
      <c r="O446" s="157"/>
    </row>
    <row r="447" spans="3:15">
      <c r="C447" t="s">
        <v>683</v>
      </c>
      <c r="H447" s="157">
        <v>128938100</v>
      </c>
      <c r="N447" s="466">
        <v>128938100</v>
      </c>
      <c r="O447" s="157"/>
    </row>
    <row r="448" spans="3:15">
      <c r="C448" t="s">
        <v>687</v>
      </c>
      <c r="H448" s="157"/>
      <c r="I448" s="466">
        <v>51236186.100000001</v>
      </c>
      <c r="J448" s="466">
        <v>14060789</v>
      </c>
      <c r="L448" s="466">
        <v>45236000</v>
      </c>
      <c r="N448" s="466">
        <v>-110532975.09999999</v>
      </c>
      <c r="O448" s="157"/>
    </row>
    <row r="449" spans="3:15">
      <c r="C449" t="s">
        <v>735</v>
      </c>
      <c r="H449" s="157"/>
      <c r="I449" s="466">
        <v>552562</v>
      </c>
      <c r="J449" s="466">
        <v>9697172.9000000004</v>
      </c>
      <c r="L449" s="466">
        <v>8155390</v>
      </c>
      <c r="N449" s="466">
        <v>-18405124.899999999</v>
      </c>
      <c r="O449" s="157"/>
    </row>
    <row r="450" spans="3:15">
      <c r="C450" t="s">
        <v>593</v>
      </c>
      <c r="H450" s="157">
        <v>14052600</v>
      </c>
      <c r="I450" s="466">
        <v>8749928</v>
      </c>
      <c r="J450" s="466">
        <v>3516772</v>
      </c>
      <c r="L450" s="466">
        <v>1785900</v>
      </c>
      <c r="O450" s="157"/>
    </row>
    <row r="451" spans="3:15">
      <c r="C451" t="s">
        <v>592</v>
      </c>
      <c r="H451" s="157">
        <v>14052600</v>
      </c>
      <c r="I451" s="466">
        <v>8749928</v>
      </c>
      <c r="J451" s="466">
        <v>3516772</v>
      </c>
      <c r="L451" s="466">
        <v>1785900</v>
      </c>
      <c r="O451" s="157"/>
    </row>
    <row r="452" spans="3:15">
      <c r="C452" s="583" t="s">
        <v>661</v>
      </c>
      <c r="D452" s="583"/>
      <c r="E452" s="583"/>
      <c r="F452" s="583"/>
      <c r="G452" s="583"/>
      <c r="H452" s="584">
        <v>69002100</v>
      </c>
      <c r="I452" s="590"/>
      <c r="J452" s="590">
        <v>27027730</v>
      </c>
      <c r="K452" s="583"/>
      <c r="L452" s="590">
        <v>41797105</v>
      </c>
      <c r="M452" s="583"/>
      <c r="N452" s="590">
        <v>177265</v>
      </c>
      <c r="O452" s="584"/>
    </row>
    <row r="453" spans="3:15">
      <c r="C453" t="s">
        <v>682</v>
      </c>
      <c r="H453" s="157">
        <v>62970000</v>
      </c>
      <c r="J453" s="466">
        <v>27027730</v>
      </c>
      <c r="L453" s="466">
        <v>35765005</v>
      </c>
      <c r="N453" s="466">
        <v>177265</v>
      </c>
      <c r="O453" s="157"/>
    </row>
    <row r="454" spans="3:15">
      <c r="C454" t="s">
        <v>683</v>
      </c>
      <c r="H454" s="157">
        <v>62970000</v>
      </c>
      <c r="N454" s="466">
        <v>62970000</v>
      </c>
      <c r="O454" s="157"/>
    </row>
    <row r="455" spans="3:15">
      <c r="C455" t="s">
        <v>687</v>
      </c>
      <c r="H455" s="157"/>
      <c r="J455" s="466">
        <v>12854430</v>
      </c>
      <c r="L455" s="466">
        <v>17539725</v>
      </c>
      <c r="N455" s="466">
        <v>-30394155</v>
      </c>
      <c r="O455" s="157"/>
    </row>
    <row r="456" spans="3:15">
      <c r="C456" t="s">
        <v>735</v>
      </c>
      <c r="H456" s="157"/>
      <c r="J456" s="466">
        <v>14173300</v>
      </c>
      <c r="L456" s="466">
        <v>18225280</v>
      </c>
      <c r="N456" s="466">
        <v>-32398580</v>
      </c>
      <c r="O456" s="157"/>
    </row>
    <row r="457" spans="3:15">
      <c r="C457" t="s">
        <v>636</v>
      </c>
      <c r="H457" s="157">
        <v>6032100</v>
      </c>
      <c r="L457" s="466">
        <v>6032100</v>
      </c>
      <c r="O457" s="157"/>
    </row>
    <row r="458" spans="3:15">
      <c r="C458" t="s">
        <v>592</v>
      </c>
      <c r="H458" s="157">
        <v>6032100</v>
      </c>
      <c r="L458" s="466">
        <v>6032100</v>
      </c>
      <c r="O458" s="157"/>
    </row>
    <row r="459" spans="3:15">
      <c r="C459" s="583" t="s">
        <v>711</v>
      </c>
      <c r="D459" s="583"/>
      <c r="E459" s="583"/>
      <c r="F459" s="583"/>
      <c r="G459" s="583"/>
      <c r="H459" s="584">
        <v>94018450</v>
      </c>
      <c r="I459" s="590">
        <v>7488500</v>
      </c>
      <c r="J459" s="590">
        <v>52912503</v>
      </c>
      <c r="K459" s="583"/>
      <c r="L459" s="590">
        <v>30780330</v>
      </c>
      <c r="M459" s="583"/>
      <c r="N459" s="590">
        <v>2837117</v>
      </c>
      <c r="O459" s="584"/>
    </row>
    <row r="460" spans="3:15">
      <c r="C460" t="s">
        <v>682</v>
      </c>
      <c r="H460" s="157">
        <v>93838450</v>
      </c>
      <c r="I460" s="466">
        <v>7488500</v>
      </c>
      <c r="J460" s="466">
        <v>52732503</v>
      </c>
      <c r="L460" s="466">
        <v>30780330</v>
      </c>
      <c r="N460" s="466">
        <v>2837117</v>
      </c>
      <c r="O460" s="157"/>
    </row>
    <row r="461" spans="3:15">
      <c r="C461" t="s">
        <v>683</v>
      </c>
      <c r="H461" s="157">
        <v>93838450</v>
      </c>
      <c r="N461" s="466">
        <v>93838450</v>
      </c>
      <c r="O461" s="157"/>
    </row>
    <row r="462" spans="3:15">
      <c r="C462" t="s">
        <v>696</v>
      </c>
      <c r="H462" s="157"/>
      <c r="L462" s="466">
        <v>1255200</v>
      </c>
      <c r="N462" s="466">
        <v>-1255200</v>
      </c>
      <c r="O462" s="157"/>
    </row>
    <row r="463" spans="3:15">
      <c r="C463" t="s">
        <v>687</v>
      </c>
      <c r="H463" s="157"/>
      <c r="I463" s="466">
        <v>7488500</v>
      </c>
      <c r="J463" s="466">
        <v>39410683</v>
      </c>
      <c r="L463" s="466">
        <v>25264960</v>
      </c>
      <c r="N463" s="466">
        <v>-72164143</v>
      </c>
      <c r="O463" s="157"/>
    </row>
    <row r="464" spans="3:15">
      <c r="C464" t="s">
        <v>735</v>
      </c>
      <c r="H464" s="157"/>
      <c r="J464" s="466">
        <v>13321820</v>
      </c>
      <c r="L464" s="466">
        <v>4260170</v>
      </c>
      <c r="N464" s="466">
        <v>-17581990</v>
      </c>
      <c r="O464" s="157"/>
    </row>
    <row r="465" spans="3:15">
      <c r="C465" t="s">
        <v>775</v>
      </c>
      <c r="H465" s="157">
        <v>180000</v>
      </c>
      <c r="J465" s="466">
        <v>180000</v>
      </c>
      <c r="O465" s="157"/>
    </row>
    <row r="466" spans="3:15">
      <c r="C466" t="s">
        <v>592</v>
      </c>
      <c r="H466" s="157">
        <v>180000</v>
      </c>
      <c r="J466" s="466">
        <v>180000</v>
      </c>
      <c r="O466" s="157"/>
    </row>
    <row r="467" spans="3:15">
      <c r="C467" s="583" t="s">
        <v>662</v>
      </c>
      <c r="D467" s="583"/>
      <c r="E467" s="583"/>
      <c r="F467" s="583"/>
      <c r="G467" s="583"/>
      <c r="H467" s="584">
        <v>51653200</v>
      </c>
      <c r="I467" s="590">
        <v>2179015</v>
      </c>
      <c r="J467" s="590">
        <v>7815144</v>
      </c>
      <c r="K467" s="583"/>
      <c r="L467" s="590">
        <v>41659041</v>
      </c>
      <c r="M467" s="583"/>
      <c r="N467" s="590"/>
      <c r="O467" s="584"/>
    </row>
    <row r="468" spans="3:15">
      <c r="C468" t="s">
        <v>682</v>
      </c>
      <c r="H468" s="157">
        <v>46710900</v>
      </c>
      <c r="I468" s="466">
        <v>1661315</v>
      </c>
      <c r="J468" s="466">
        <v>7815144</v>
      </c>
      <c r="L468" s="466">
        <v>37234441</v>
      </c>
      <c r="O468" s="157"/>
    </row>
    <row r="469" spans="3:15">
      <c r="C469" t="s">
        <v>683</v>
      </c>
      <c r="H469" s="157">
        <v>46710900</v>
      </c>
      <c r="I469" s="466">
        <v>1661315</v>
      </c>
      <c r="N469" s="466">
        <v>45049585</v>
      </c>
      <c r="O469" s="157"/>
    </row>
    <row r="470" spans="3:15">
      <c r="C470" t="s">
        <v>696</v>
      </c>
      <c r="H470" s="157"/>
      <c r="L470" s="466">
        <v>776700</v>
      </c>
      <c r="N470" s="466">
        <v>-776700</v>
      </c>
      <c r="O470" s="157"/>
    </row>
    <row r="471" spans="3:15">
      <c r="C471" t="s">
        <v>687</v>
      </c>
      <c r="H471" s="157"/>
      <c r="J471" s="466">
        <v>2467700</v>
      </c>
      <c r="L471" s="466">
        <v>24695481</v>
      </c>
      <c r="N471" s="466">
        <v>-27163181</v>
      </c>
      <c r="O471" s="157"/>
    </row>
    <row r="472" spans="3:15">
      <c r="C472" t="s">
        <v>735</v>
      </c>
      <c r="H472" s="157"/>
      <c r="J472" s="466">
        <v>5347444</v>
      </c>
      <c r="L472" s="466">
        <v>11762260</v>
      </c>
      <c r="N472" s="466">
        <v>-17109704</v>
      </c>
      <c r="O472" s="157"/>
    </row>
    <row r="473" spans="3:15">
      <c r="C473" t="s">
        <v>625</v>
      </c>
      <c r="H473" s="157">
        <v>4942300</v>
      </c>
      <c r="I473" s="466">
        <v>517700</v>
      </c>
      <c r="L473" s="466">
        <v>4424600</v>
      </c>
      <c r="O473" s="157"/>
    </row>
    <row r="474" spans="3:15">
      <c r="C474" t="s">
        <v>592</v>
      </c>
      <c r="H474" s="157">
        <v>4942300</v>
      </c>
      <c r="I474" s="466">
        <v>517700</v>
      </c>
      <c r="L474" s="466">
        <v>4424600</v>
      </c>
      <c r="O474" s="157"/>
    </row>
    <row r="475" spans="3:15">
      <c r="C475" s="583" t="s">
        <v>663</v>
      </c>
      <c r="D475" s="583"/>
      <c r="E475" s="583"/>
      <c r="F475" s="583"/>
      <c r="G475" s="583"/>
      <c r="H475" s="584">
        <v>86125300</v>
      </c>
      <c r="I475" s="590">
        <v>29470000</v>
      </c>
      <c r="J475" s="590">
        <v>33164278</v>
      </c>
      <c r="K475" s="583"/>
      <c r="L475" s="590">
        <v>23462125</v>
      </c>
      <c r="M475" s="583"/>
      <c r="N475" s="590">
        <v>28897</v>
      </c>
      <c r="O475" s="584"/>
    </row>
    <row r="476" spans="3:15">
      <c r="C476" t="s">
        <v>682</v>
      </c>
      <c r="H476" s="157">
        <v>82630600</v>
      </c>
      <c r="I476" s="466">
        <v>29470000</v>
      </c>
      <c r="J476" s="466">
        <v>33164278</v>
      </c>
      <c r="L476" s="466">
        <v>19987125</v>
      </c>
      <c r="N476" s="466">
        <v>9197</v>
      </c>
      <c r="O476" s="157"/>
    </row>
    <row r="477" spans="3:15">
      <c r="C477" t="s">
        <v>683</v>
      </c>
      <c r="H477" s="157">
        <v>82630600</v>
      </c>
      <c r="I477" s="466">
        <v>29470000</v>
      </c>
      <c r="N477" s="466">
        <v>53160600</v>
      </c>
      <c r="O477" s="157"/>
    </row>
    <row r="478" spans="3:15">
      <c r="C478" t="s">
        <v>687</v>
      </c>
      <c r="H478" s="157"/>
      <c r="J478" s="466">
        <v>32964278</v>
      </c>
      <c r="L478" s="466">
        <v>19544150</v>
      </c>
      <c r="N478" s="466">
        <v>-52508428</v>
      </c>
      <c r="O478" s="157"/>
    </row>
    <row r="479" spans="3:15">
      <c r="C479" t="s">
        <v>735</v>
      </c>
      <c r="H479" s="157"/>
      <c r="J479" s="466">
        <v>200000</v>
      </c>
      <c r="L479" s="466">
        <v>442975</v>
      </c>
      <c r="N479" s="466">
        <v>-642975</v>
      </c>
      <c r="O479" s="157"/>
    </row>
    <row r="480" spans="3:15">
      <c r="C480" t="s">
        <v>629</v>
      </c>
      <c r="H480" s="157">
        <v>3494700</v>
      </c>
      <c r="L480" s="466">
        <v>3475000</v>
      </c>
      <c r="N480" s="466">
        <v>19700</v>
      </c>
      <c r="O480" s="157"/>
    </row>
    <row r="481" spans="3:15">
      <c r="C481" t="s">
        <v>592</v>
      </c>
      <c r="H481" s="157">
        <v>3494700</v>
      </c>
      <c r="L481" s="466">
        <v>3475000</v>
      </c>
      <c r="N481" s="466">
        <v>19700</v>
      </c>
      <c r="O481" s="157"/>
    </row>
    <row r="482" spans="3:15">
      <c r="C482" s="583" t="s">
        <v>712</v>
      </c>
      <c r="D482" s="583"/>
      <c r="E482" s="583"/>
      <c r="F482" s="583"/>
      <c r="G482" s="583"/>
      <c r="H482" s="584">
        <v>89605490</v>
      </c>
      <c r="I482" s="590">
        <v>25138400</v>
      </c>
      <c r="J482" s="590">
        <v>49001300</v>
      </c>
      <c r="K482" s="583"/>
      <c r="L482" s="590">
        <v>15465790</v>
      </c>
      <c r="M482" s="583"/>
      <c r="N482" s="590"/>
      <c r="O482" s="584"/>
    </row>
    <row r="483" spans="3:15">
      <c r="C483" t="s">
        <v>682</v>
      </c>
      <c r="H483" s="157">
        <v>88766990</v>
      </c>
      <c r="I483" s="466">
        <v>25040900</v>
      </c>
      <c r="J483" s="466">
        <v>48260300</v>
      </c>
      <c r="L483" s="466">
        <v>15465790</v>
      </c>
      <c r="O483" s="157"/>
    </row>
    <row r="484" spans="3:15">
      <c r="C484" t="s">
        <v>683</v>
      </c>
      <c r="H484" s="157">
        <v>88766990</v>
      </c>
      <c r="N484" s="466">
        <v>88766990</v>
      </c>
      <c r="O484" s="157"/>
    </row>
    <row r="485" spans="3:15">
      <c r="C485" t="s">
        <v>687</v>
      </c>
      <c r="H485" s="157"/>
      <c r="I485" s="466">
        <v>25040900</v>
      </c>
      <c r="J485" s="466">
        <v>48260300</v>
      </c>
      <c r="L485" s="466">
        <v>13997800</v>
      </c>
      <c r="N485" s="466">
        <v>-87299000</v>
      </c>
      <c r="O485" s="157"/>
    </row>
    <row r="486" spans="3:15">
      <c r="C486" t="s">
        <v>735</v>
      </c>
      <c r="H486" s="157"/>
      <c r="L486" s="466">
        <v>1467990</v>
      </c>
      <c r="N486" s="466">
        <v>-1467990</v>
      </c>
      <c r="O486" s="157"/>
    </row>
    <row r="487" spans="3:15">
      <c r="C487" t="s">
        <v>774</v>
      </c>
      <c r="H487" s="157">
        <v>838500</v>
      </c>
      <c r="I487" s="466">
        <v>97500</v>
      </c>
      <c r="J487" s="466">
        <v>741000</v>
      </c>
      <c r="O487" s="157"/>
    </row>
    <row r="488" spans="3:15">
      <c r="C488" t="s">
        <v>592</v>
      </c>
      <c r="H488" s="157">
        <v>838500</v>
      </c>
      <c r="I488" s="466">
        <v>97500</v>
      </c>
      <c r="J488" s="466">
        <v>741000</v>
      </c>
      <c r="O488" s="157"/>
    </row>
    <row r="489" spans="3:15">
      <c r="C489" s="583" t="s">
        <v>713</v>
      </c>
      <c r="D489" s="583"/>
      <c r="E489" s="583"/>
      <c r="F489" s="583"/>
      <c r="G489" s="583"/>
      <c r="H489" s="584">
        <v>128994900</v>
      </c>
      <c r="I489" s="590"/>
      <c r="J489" s="590">
        <v>126805875</v>
      </c>
      <c r="K489" s="583"/>
      <c r="L489" s="590">
        <v>1212500</v>
      </c>
      <c r="M489" s="583"/>
      <c r="N489" s="590">
        <v>976525</v>
      </c>
      <c r="O489" s="584"/>
    </row>
    <row r="490" spans="3:15">
      <c r="C490" t="s">
        <v>682</v>
      </c>
      <c r="H490" s="157">
        <v>128964900</v>
      </c>
      <c r="J490" s="466">
        <v>126775875</v>
      </c>
      <c r="L490" s="466">
        <v>1212500</v>
      </c>
      <c r="N490" s="466">
        <v>976525</v>
      </c>
      <c r="O490" s="157"/>
    </row>
    <row r="491" spans="3:15">
      <c r="C491" t="s">
        <v>683</v>
      </c>
      <c r="H491" s="157">
        <v>128964900</v>
      </c>
      <c r="N491" s="466">
        <v>128964900</v>
      </c>
      <c r="O491" s="157"/>
    </row>
    <row r="492" spans="3:15">
      <c r="C492" t="s">
        <v>687</v>
      </c>
      <c r="H492" s="157"/>
      <c r="J492" s="466">
        <v>126775875</v>
      </c>
      <c r="L492" s="466">
        <v>709025</v>
      </c>
      <c r="N492" s="466">
        <v>-127484900</v>
      </c>
      <c r="O492" s="157"/>
    </row>
    <row r="493" spans="3:15">
      <c r="C493" t="s">
        <v>735</v>
      </c>
      <c r="H493" s="157"/>
      <c r="L493" s="466">
        <v>503475</v>
      </c>
      <c r="N493" s="466">
        <v>-503475</v>
      </c>
      <c r="O493" s="157"/>
    </row>
    <row r="494" spans="3:15">
      <c r="C494" t="s">
        <v>766</v>
      </c>
      <c r="H494" s="157">
        <v>30000</v>
      </c>
      <c r="J494" s="466">
        <v>30000</v>
      </c>
      <c r="O494" s="157"/>
    </row>
    <row r="495" spans="3:15">
      <c r="C495" t="s">
        <v>592</v>
      </c>
      <c r="H495" s="157">
        <v>30000</v>
      </c>
      <c r="J495" s="466">
        <v>30000</v>
      </c>
      <c r="O495" s="157"/>
    </row>
    <row r="496" spans="3:15">
      <c r="C496" s="583" t="s">
        <v>714</v>
      </c>
      <c r="D496" s="583"/>
      <c r="E496" s="583"/>
      <c r="F496" s="583"/>
      <c r="G496" s="583"/>
      <c r="H496" s="584">
        <v>217089300</v>
      </c>
      <c r="I496" s="590"/>
      <c r="J496" s="590">
        <v>30625996</v>
      </c>
      <c r="K496" s="583"/>
      <c r="L496" s="590">
        <v>125065075.45999999</v>
      </c>
      <c r="M496" s="583"/>
      <c r="N496" s="590">
        <v>61398228.539999999</v>
      </c>
      <c r="O496" s="584"/>
    </row>
    <row r="497" spans="3:15">
      <c r="C497" t="s">
        <v>682</v>
      </c>
      <c r="H497" s="157">
        <v>217089300</v>
      </c>
      <c r="J497" s="466">
        <v>30625996</v>
      </c>
      <c r="L497" s="466">
        <v>125065075.45999999</v>
      </c>
      <c r="N497" s="466">
        <v>61398228.539999999</v>
      </c>
      <c r="O497" s="157"/>
    </row>
    <row r="498" spans="3:15">
      <c r="C498" t="s">
        <v>683</v>
      </c>
      <c r="H498" s="157">
        <v>217089300</v>
      </c>
      <c r="N498" s="466">
        <v>217089300</v>
      </c>
      <c r="O498" s="157"/>
    </row>
    <row r="499" spans="3:15">
      <c r="C499" t="s">
        <v>696</v>
      </c>
      <c r="H499" s="157"/>
      <c r="L499" s="466">
        <v>7000</v>
      </c>
      <c r="N499" s="466">
        <v>-7000</v>
      </c>
      <c r="O499" s="157"/>
    </row>
    <row r="500" spans="3:15">
      <c r="C500" t="s">
        <v>687</v>
      </c>
      <c r="H500" s="157"/>
      <c r="J500" s="466">
        <v>22086371</v>
      </c>
      <c r="L500" s="466">
        <v>108041208.45999999</v>
      </c>
      <c r="N500" s="466">
        <v>-130127579.45999999</v>
      </c>
      <c r="O500" s="157"/>
    </row>
    <row r="501" spans="3:15">
      <c r="C501" t="s">
        <v>735</v>
      </c>
      <c r="J501" s="466">
        <v>8539625</v>
      </c>
      <c r="L501" s="466">
        <v>17016867</v>
      </c>
      <c r="N501" s="466">
        <v>-25556492</v>
      </c>
      <c r="O501" s="157"/>
    </row>
    <row r="502" spans="3:15">
      <c r="C502" s="583" t="s">
        <v>715</v>
      </c>
      <c r="D502" s="583"/>
      <c r="E502" s="583"/>
      <c r="F502" s="583"/>
      <c r="G502" s="583"/>
      <c r="H502" s="584">
        <v>116751100</v>
      </c>
      <c r="I502" s="590">
        <v>25784500</v>
      </c>
      <c r="J502" s="590">
        <v>58348955</v>
      </c>
      <c r="K502" s="583"/>
      <c r="L502" s="590">
        <v>19380962</v>
      </c>
      <c r="M502" s="583"/>
      <c r="N502" s="590">
        <v>13236683</v>
      </c>
      <c r="O502" s="584"/>
    </row>
    <row r="503" spans="3:15" s="587" customFormat="1">
      <c r="C503" s="587" t="s">
        <v>682</v>
      </c>
      <c r="H503" s="588">
        <v>116401100</v>
      </c>
      <c r="I503" s="592">
        <v>25784500</v>
      </c>
      <c r="J503" s="592">
        <v>57998955</v>
      </c>
      <c r="L503" s="592">
        <v>19380962</v>
      </c>
      <c r="N503" s="592">
        <v>13236683</v>
      </c>
      <c r="O503" s="588"/>
    </row>
    <row r="504" spans="3:15" s="587" customFormat="1">
      <c r="C504" s="587" t="s">
        <v>683</v>
      </c>
      <c r="H504" s="588">
        <v>116401100</v>
      </c>
      <c r="I504" s="592">
        <v>2650000</v>
      </c>
      <c r="J504" s="592"/>
      <c r="L504" s="592"/>
      <c r="N504" s="592">
        <v>113751100</v>
      </c>
      <c r="O504" s="588"/>
    </row>
    <row r="505" spans="3:15" s="587" customFormat="1">
      <c r="C505" s="587" t="s">
        <v>696</v>
      </c>
      <c r="H505" s="588"/>
      <c r="I505" s="592"/>
      <c r="J505" s="592"/>
      <c r="L505" s="592">
        <v>1859360</v>
      </c>
      <c r="N505" s="592">
        <v>-1859360</v>
      </c>
      <c r="O505" s="588"/>
    </row>
    <row r="506" spans="3:15">
      <c r="C506" t="s">
        <v>687</v>
      </c>
      <c r="H506" s="157"/>
      <c r="I506" s="466">
        <v>23134500</v>
      </c>
      <c r="J506" s="466">
        <v>57951355</v>
      </c>
      <c r="L506" s="466">
        <v>15431712</v>
      </c>
      <c r="N506" s="466">
        <v>-96517567</v>
      </c>
      <c r="O506" s="157"/>
    </row>
    <row r="507" spans="3:15">
      <c r="C507" t="s">
        <v>735</v>
      </c>
      <c r="H507" s="157"/>
      <c r="J507" s="466">
        <v>47600</v>
      </c>
      <c r="L507" s="466">
        <v>2089890</v>
      </c>
      <c r="N507" s="466">
        <v>-2137490</v>
      </c>
      <c r="O507" s="157"/>
    </row>
    <row r="508" spans="3:15">
      <c r="C508" t="s">
        <v>779</v>
      </c>
      <c r="H508" s="157">
        <v>350000</v>
      </c>
      <c r="J508" s="466">
        <v>350000</v>
      </c>
      <c r="O508" s="157"/>
    </row>
    <row r="509" spans="3:15">
      <c r="C509" t="s">
        <v>592</v>
      </c>
      <c r="H509" s="157">
        <v>350000</v>
      </c>
      <c r="J509" s="466">
        <v>350000</v>
      </c>
      <c r="O509" s="157"/>
    </row>
    <row r="510" spans="3:15">
      <c r="C510" s="583" t="s">
        <v>664</v>
      </c>
      <c r="D510" s="583"/>
      <c r="E510" s="583"/>
      <c r="F510" s="583"/>
      <c r="G510" s="583"/>
      <c r="H510" s="584">
        <v>63220720</v>
      </c>
      <c r="I510" s="590"/>
      <c r="J510" s="590">
        <v>16832880</v>
      </c>
      <c r="K510" s="583"/>
      <c r="L510" s="590">
        <v>43115583</v>
      </c>
      <c r="M510" s="583"/>
      <c r="N510" s="590">
        <v>3272257</v>
      </c>
      <c r="O510" s="584"/>
    </row>
    <row r="511" spans="3:15">
      <c r="C511" t="s">
        <v>682</v>
      </c>
      <c r="H511" s="157">
        <v>61323620</v>
      </c>
      <c r="J511" s="466">
        <v>16832880</v>
      </c>
      <c r="L511" s="466">
        <v>41235133</v>
      </c>
      <c r="N511" s="466">
        <v>3255607</v>
      </c>
      <c r="O511" s="157"/>
    </row>
    <row r="512" spans="3:15">
      <c r="C512" t="s">
        <v>683</v>
      </c>
      <c r="H512" s="157">
        <v>61323620</v>
      </c>
      <c r="N512" s="466">
        <v>61323620</v>
      </c>
      <c r="O512" s="157"/>
    </row>
    <row r="513" spans="3:15">
      <c r="C513" t="s">
        <v>696</v>
      </c>
      <c r="H513" s="157"/>
      <c r="L513" s="466">
        <v>1756400</v>
      </c>
      <c r="N513" s="466">
        <v>-1756400</v>
      </c>
      <c r="O513" s="157"/>
    </row>
    <row r="514" spans="3:15">
      <c r="C514" t="s">
        <v>687</v>
      </c>
      <c r="H514" s="157"/>
      <c r="J514" s="466">
        <v>10508750</v>
      </c>
      <c r="L514" s="466">
        <v>15916285</v>
      </c>
      <c r="N514" s="466">
        <v>-26425035</v>
      </c>
      <c r="O514" s="157"/>
    </row>
    <row r="515" spans="3:15">
      <c r="C515" t="s">
        <v>735</v>
      </c>
      <c r="H515" s="157"/>
      <c r="J515" s="466">
        <v>6324130</v>
      </c>
      <c r="L515" s="466">
        <v>23562448</v>
      </c>
      <c r="N515" s="466">
        <v>-29886578</v>
      </c>
      <c r="O515" s="157"/>
    </row>
    <row r="516" spans="3:15">
      <c r="C516" t="s">
        <v>614</v>
      </c>
      <c r="H516" s="157">
        <v>1897100</v>
      </c>
      <c r="L516" s="466">
        <v>1880450</v>
      </c>
      <c r="N516" s="466">
        <v>16650</v>
      </c>
      <c r="O516" s="157"/>
    </row>
    <row r="517" spans="3:15">
      <c r="C517" t="s">
        <v>592</v>
      </c>
      <c r="H517" s="157">
        <v>1897100</v>
      </c>
      <c r="L517" s="466">
        <v>1880450</v>
      </c>
      <c r="N517" s="466">
        <v>16650</v>
      </c>
      <c r="O517" s="157"/>
    </row>
    <row r="518" spans="3:15">
      <c r="C518" s="583" t="s">
        <v>665</v>
      </c>
      <c r="D518" s="583"/>
      <c r="E518" s="583"/>
      <c r="F518" s="583"/>
      <c r="G518" s="583"/>
      <c r="H518" s="584">
        <v>141343900</v>
      </c>
      <c r="I518" s="590">
        <v>62667214</v>
      </c>
      <c r="J518" s="590">
        <v>58515500</v>
      </c>
      <c r="K518" s="583"/>
      <c r="L518" s="590">
        <v>20161186</v>
      </c>
      <c r="M518" s="583"/>
      <c r="N518" s="590"/>
      <c r="O518" s="584"/>
    </row>
    <row r="519" spans="3:15">
      <c r="C519" t="s">
        <v>682</v>
      </c>
      <c r="H519" s="157">
        <v>116213500</v>
      </c>
      <c r="I519" s="466">
        <v>62100114</v>
      </c>
      <c r="J519" s="466">
        <v>40265900</v>
      </c>
      <c r="L519" s="466">
        <v>13847486</v>
      </c>
      <c r="O519" s="157"/>
    </row>
    <row r="520" spans="3:15">
      <c r="C520" t="s">
        <v>683</v>
      </c>
      <c r="H520" s="157">
        <v>116213500</v>
      </c>
      <c r="N520" s="466">
        <v>116213500</v>
      </c>
      <c r="O520" s="157"/>
    </row>
    <row r="521" spans="3:15">
      <c r="C521" t="s">
        <v>687</v>
      </c>
      <c r="H521" s="157"/>
      <c r="I521" s="466">
        <v>62100114</v>
      </c>
      <c r="J521" s="466">
        <v>40265900</v>
      </c>
      <c r="L521" s="466">
        <v>11922067</v>
      </c>
      <c r="N521" s="466">
        <v>-114288081</v>
      </c>
      <c r="O521" s="157"/>
    </row>
    <row r="522" spans="3:15">
      <c r="C522" t="s">
        <v>735</v>
      </c>
      <c r="H522" s="157"/>
      <c r="L522" s="466">
        <v>1925419</v>
      </c>
      <c r="N522" s="466">
        <v>-1925419</v>
      </c>
      <c r="O522" s="157"/>
    </row>
    <row r="523" spans="3:15">
      <c r="C523" t="s">
        <v>607</v>
      </c>
      <c r="H523" s="157">
        <v>25130400</v>
      </c>
      <c r="I523" s="466">
        <v>567100</v>
      </c>
      <c r="J523" s="466">
        <v>18249600</v>
      </c>
      <c r="L523" s="466">
        <v>6313700</v>
      </c>
      <c r="O523" s="157"/>
    </row>
    <row r="524" spans="3:15">
      <c r="C524" t="s">
        <v>592</v>
      </c>
      <c r="H524" s="157">
        <v>25130400</v>
      </c>
      <c r="I524" s="466">
        <v>567100</v>
      </c>
      <c r="J524" s="466">
        <v>18249600</v>
      </c>
      <c r="L524" s="466">
        <v>6313700</v>
      </c>
      <c r="O524" s="157"/>
    </row>
    <row r="525" spans="3:15">
      <c r="C525" s="583" t="s">
        <v>666</v>
      </c>
      <c r="D525" s="583"/>
      <c r="E525" s="583"/>
      <c r="F525" s="583"/>
      <c r="G525" s="583"/>
      <c r="H525" s="584">
        <v>59053600</v>
      </c>
      <c r="I525" s="590">
        <v>6272470</v>
      </c>
      <c r="J525" s="590">
        <v>26737172</v>
      </c>
      <c r="K525" s="583"/>
      <c r="L525" s="590">
        <v>26003958</v>
      </c>
      <c r="M525" s="583"/>
      <c r="N525" s="590">
        <v>40000</v>
      </c>
      <c r="O525" s="584"/>
    </row>
    <row r="526" spans="3:15">
      <c r="C526" t="s">
        <v>682</v>
      </c>
      <c r="H526" s="157">
        <v>58521600</v>
      </c>
      <c r="I526" s="466">
        <v>6272470</v>
      </c>
      <c r="J526" s="466">
        <v>26607172</v>
      </c>
      <c r="L526" s="466">
        <v>25641958</v>
      </c>
      <c r="O526" s="157"/>
    </row>
    <row r="527" spans="3:15">
      <c r="C527" t="s">
        <v>683</v>
      </c>
      <c r="H527" s="157">
        <v>58521600</v>
      </c>
      <c r="N527" s="466">
        <v>58521600</v>
      </c>
      <c r="O527" s="157"/>
    </row>
    <row r="528" spans="3:15">
      <c r="C528" t="s">
        <v>687</v>
      </c>
      <c r="H528" s="157"/>
      <c r="I528" s="466">
        <v>6272470</v>
      </c>
      <c r="J528" s="466">
        <v>20763303</v>
      </c>
      <c r="L528" s="466">
        <v>11931348</v>
      </c>
      <c r="N528" s="466">
        <v>-38967121</v>
      </c>
      <c r="O528" s="157"/>
    </row>
    <row r="529" spans="3:15">
      <c r="C529" t="s">
        <v>735</v>
      </c>
      <c r="H529" s="157"/>
      <c r="J529" s="466">
        <v>5843869</v>
      </c>
      <c r="L529" s="466">
        <v>13710610</v>
      </c>
      <c r="N529" s="466">
        <v>-19554479</v>
      </c>
      <c r="O529" s="157"/>
    </row>
    <row r="530" spans="3:15">
      <c r="C530" t="s">
        <v>621</v>
      </c>
      <c r="H530" s="157">
        <v>532000</v>
      </c>
      <c r="J530" s="466">
        <v>130000</v>
      </c>
      <c r="L530" s="466">
        <v>362000</v>
      </c>
      <c r="N530" s="466">
        <v>40000</v>
      </c>
      <c r="O530" s="157"/>
    </row>
    <row r="531" spans="3:15">
      <c r="C531" t="s">
        <v>592</v>
      </c>
      <c r="H531" s="157">
        <v>532000</v>
      </c>
      <c r="J531" s="466">
        <v>130000</v>
      </c>
      <c r="L531" s="466">
        <v>362000</v>
      </c>
      <c r="N531" s="466">
        <v>40000</v>
      </c>
      <c r="O531" s="157"/>
    </row>
    <row r="532" spans="3:15">
      <c r="C532" s="583" t="s">
        <v>667</v>
      </c>
      <c r="D532" s="583"/>
      <c r="E532" s="583"/>
      <c r="F532" s="583"/>
      <c r="G532" s="583"/>
      <c r="H532" s="584">
        <v>106289000</v>
      </c>
      <c r="I532" s="590">
        <v>1381100</v>
      </c>
      <c r="J532" s="590">
        <v>79567478.5</v>
      </c>
      <c r="K532" s="583"/>
      <c r="L532" s="590">
        <v>25322000</v>
      </c>
      <c r="M532" s="583"/>
      <c r="N532" s="590">
        <v>18421.5</v>
      </c>
      <c r="O532" s="584"/>
    </row>
    <row r="533" spans="3:15">
      <c r="C533" t="s">
        <v>682</v>
      </c>
      <c r="H533" s="157">
        <v>105353000</v>
      </c>
      <c r="I533" s="466">
        <v>1381100</v>
      </c>
      <c r="J533" s="466">
        <v>78649900</v>
      </c>
      <c r="L533" s="466">
        <v>25322000</v>
      </c>
      <c r="O533" s="157"/>
    </row>
    <row r="534" spans="3:15">
      <c r="C534" t="s">
        <v>683</v>
      </c>
      <c r="H534" s="157">
        <v>105353000</v>
      </c>
      <c r="I534" s="466">
        <v>1381100</v>
      </c>
      <c r="N534" s="466">
        <v>103971900</v>
      </c>
      <c r="O534" s="157"/>
    </row>
    <row r="535" spans="3:15">
      <c r="C535" t="s">
        <v>687</v>
      </c>
      <c r="H535" s="157"/>
      <c r="J535" s="466">
        <v>78649900</v>
      </c>
      <c r="L535" s="466">
        <v>14561370</v>
      </c>
      <c r="N535" s="466">
        <v>-93211270</v>
      </c>
      <c r="O535" s="157"/>
    </row>
    <row r="536" spans="3:15">
      <c r="C536" t="s">
        <v>735</v>
      </c>
      <c r="H536" s="157"/>
      <c r="L536" s="466">
        <v>10755730</v>
      </c>
      <c r="N536" s="466">
        <v>-10755730</v>
      </c>
      <c r="O536" s="157"/>
    </row>
    <row r="537" spans="3:15">
      <c r="C537" t="s">
        <v>749</v>
      </c>
      <c r="H537" s="157"/>
      <c r="L537" s="466">
        <v>4900</v>
      </c>
      <c r="N537" s="466">
        <v>-4900</v>
      </c>
      <c r="O537" s="157"/>
    </row>
    <row r="538" spans="3:15">
      <c r="C538" t="s">
        <v>627</v>
      </c>
      <c r="H538" s="157">
        <v>936000</v>
      </c>
      <c r="J538" s="466">
        <v>917578.5</v>
      </c>
      <c r="N538" s="466">
        <v>18421.5</v>
      </c>
      <c r="O538" s="157"/>
    </row>
    <row r="539" spans="3:15">
      <c r="C539" t="s">
        <v>592</v>
      </c>
      <c r="H539" s="157">
        <v>936000</v>
      </c>
      <c r="J539" s="466">
        <v>917578.5</v>
      </c>
      <c r="N539" s="466">
        <v>18421.5</v>
      </c>
      <c r="O539" s="157"/>
    </row>
    <row r="540" spans="3:15">
      <c r="C540" s="583" t="s">
        <v>668</v>
      </c>
      <c r="D540" s="583"/>
      <c r="E540" s="583"/>
      <c r="F540" s="583"/>
      <c r="G540" s="583"/>
      <c r="H540" s="584">
        <v>45097200</v>
      </c>
      <c r="I540" s="590">
        <v>24412500</v>
      </c>
      <c r="J540" s="590">
        <v>16492824</v>
      </c>
      <c r="K540" s="583"/>
      <c r="L540" s="590">
        <v>1993300</v>
      </c>
      <c r="M540" s="583"/>
      <c r="N540" s="590">
        <v>2198576</v>
      </c>
      <c r="O540" s="584"/>
    </row>
    <row r="541" spans="3:15">
      <c r="C541" t="s">
        <v>682</v>
      </c>
      <c r="H541" s="157">
        <v>43933300</v>
      </c>
      <c r="I541" s="466">
        <v>24412500</v>
      </c>
      <c r="J541" s="466">
        <v>15681524</v>
      </c>
      <c r="L541" s="466">
        <v>1692300</v>
      </c>
      <c r="N541" s="466">
        <v>2146976</v>
      </c>
      <c r="O541" s="157"/>
    </row>
    <row r="542" spans="3:15">
      <c r="C542" t="s">
        <v>683</v>
      </c>
      <c r="H542" s="157">
        <v>43933300</v>
      </c>
      <c r="I542" s="466">
        <v>24412500</v>
      </c>
      <c r="N542" s="466">
        <v>19520800</v>
      </c>
      <c r="O542" s="157"/>
    </row>
    <row r="543" spans="3:15">
      <c r="C543" t="s">
        <v>687</v>
      </c>
      <c r="H543" s="157"/>
      <c r="J543" s="466">
        <v>15202024</v>
      </c>
      <c r="L543" s="466">
        <v>1686400</v>
      </c>
      <c r="N543" s="466">
        <v>-16888424</v>
      </c>
      <c r="O543" s="157"/>
    </row>
    <row r="544" spans="3:15">
      <c r="C544" t="s">
        <v>735</v>
      </c>
      <c r="H544" s="157"/>
      <c r="J544" s="466">
        <v>479500</v>
      </c>
      <c r="L544" s="466">
        <v>5900</v>
      </c>
      <c r="N544" s="466">
        <v>-485400</v>
      </c>
      <c r="O544" s="157"/>
    </row>
    <row r="545" spans="3:15">
      <c r="C545" t="s">
        <v>616</v>
      </c>
      <c r="H545" s="157">
        <v>1163900</v>
      </c>
      <c r="J545" s="466">
        <v>811300</v>
      </c>
      <c r="L545" s="466">
        <v>301000</v>
      </c>
      <c r="N545" s="466">
        <v>51600</v>
      </c>
      <c r="O545" s="157"/>
    </row>
    <row r="546" spans="3:15">
      <c r="C546" t="s">
        <v>592</v>
      </c>
      <c r="H546" s="157">
        <v>1163900</v>
      </c>
      <c r="J546" s="466">
        <v>811300</v>
      </c>
      <c r="L546" s="466">
        <v>301000</v>
      </c>
      <c r="N546" s="466">
        <v>51600</v>
      </c>
      <c r="O546" s="157"/>
    </row>
    <row r="547" spans="3:15">
      <c r="C547" s="583" t="s">
        <v>716</v>
      </c>
      <c r="D547" s="583"/>
      <c r="E547" s="583"/>
      <c r="F547" s="583"/>
      <c r="G547" s="583"/>
      <c r="H547" s="584">
        <v>16717600</v>
      </c>
      <c r="I547" s="590">
        <v>300000</v>
      </c>
      <c r="J547" s="590">
        <v>12747250</v>
      </c>
      <c r="K547" s="583"/>
      <c r="L547" s="590">
        <v>3154600</v>
      </c>
      <c r="M547" s="583"/>
      <c r="N547" s="590">
        <v>515750</v>
      </c>
      <c r="O547" s="584"/>
    </row>
    <row r="548" spans="3:15">
      <c r="C548" t="s">
        <v>682</v>
      </c>
      <c r="H548" s="157">
        <v>16717600</v>
      </c>
      <c r="I548" s="466">
        <v>300000</v>
      </c>
      <c r="J548" s="466">
        <v>12747250</v>
      </c>
      <c r="L548" s="466">
        <v>3154600</v>
      </c>
      <c r="N548" s="466">
        <v>515750</v>
      </c>
      <c r="O548" s="157"/>
    </row>
    <row r="549" spans="3:15">
      <c r="C549" t="s">
        <v>683</v>
      </c>
      <c r="H549" s="157">
        <v>16717600</v>
      </c>
      <c r="I549" s="466">
        <v>300000</v>
      </c>
      <c r="N549" s="466">
        <v>16417600</v>
      </c>
      <c r="O549" s="157"/>
    </row>
    <row r="550" spans="3:15">
      <c r="C550" t="s">
        <v>687</v>
      </c>
      <c r="H550" s="157"/>
      <c r="J550" s="466">
        <v>12747250</v>
      </c>
      <c r="L550" s="466">
        <v>2748010</v>
      </c>
      <c r="N550" s="466">
        <v>-15495260</v>
      </c>
      <c r="O550" s="157"/>
    </row>
    <row r="551" spans="3:15">
      <c r="C551" t="s">
        <v>735</v>
      </c>
      <c r="H551" s="157"/>
      <c r="L551" s="466">
        <v>406590</v>
      </c>
      <c r="N551" s="466">
        <v>-406590</v>
      </c>
      <c r="O551" s="157"/>
    </row>
    <row r="552" spans="3:15">
      <c r="C552" s="583" t="s">
        <v>669</v>
      </c>
      <c r="D552" s="583"/>
      <c r="E552" s="583"/>
      <c r="F552" s="583"/>
      <c r="G552" s="583"/>
      <c r="H552" s="584">
        <v>43119600</v>
      </c>
      <c r="I552" s="590"/>
      <c r="J552" s="590">
        <v>32645260.420000002</v>
      </c>
      <c r="K552" s="583"/>
      <c r="L552" s="590">
        <v>7717547</v>
      </c>
      <c r="M552" s="583"/>
      <c r="N552" s="590">
        <v>2756792.58</v>
      </c>
      <c r="O552" s="584"/>
    </row>
    <row r="553" spans="3:15">
      <c r="C553" t="s">
        <v>682</v>
      </c>
      <c r="H553" s="157">
        <v>36757600</v>
      </c>
      <c r="J553" s="466">
        <v>27048000</v>
      </c>
      <c r="L553" s="466">
        <v>7717547</v>
      </c>
      <c r="N553" s="466">
        <v>1992053</v>
      </c>
      <c r="O553" s="157"/>
    </row>
    <row r="554" spans="3:15">
      <c r="C554" t="s">
        <v>683</v>
      </c>
      <c r="H554" s="157">
        <v>36757600</v>
      </c>
      <c r="N554" s="466">
        <v>36757600</v>
      </c>
      <c r="O554" s="157"/>
    </row>
    <row r="555" spans="3:15">
      <c r="C555" t="s">
        <v>687</v>
      </c>
      <c r="H555" s="157"/>
      <c r="J555" s="466">
        <v>26328000</v>
      </c>
      <c r="L555" s="466">
        <v>3860342</v>
      </c>
      <c r="N555" s="466">
        <v>-30188342</v>
      </c>
      <c r="O555" s="157"/>
    </row>
    <row r="556" spans="3:15">
      <c r="C556" t="s">
        <v>735</v>
      </c>
      <c r="H556" s="157"/>
      <c r="J556" s="466">
        <v>720000</v>
      </c>
      <c r="L556" s="466">
        <v>3857205</v>
      </c>
      <c r="N556" s="466">
        <v>-4577205</v>
      </c>
      <c r="O556" s="157"/>
    </row>
    <row r="557" spans="3:15">
      <c r="C557" t="s">
        <v>596</v>
      </c>
      <c r="H557" s="157">
        <v>6362000</v>
      </c>
      <c r="J557" s="466">
        <v>5597260.4199999999</v>
      </c>
      <c r="N557" s="466">
        <v>764739.58</v>
      </c>
      <c r="O557" s="157"/>
    </row>
    <row r="558" spans="3:15">
      <c r="C558" t="s">
        <v>592</v>
      </c>
      <c r="H558" s="157">
        <v>6362000</v>
      </c>
      <c r="J558" s="466">
        <v>5597260.4199999999</v>
      </c>
      <c r="N558" s="466">
        <v>764739.58</v>
      </c>
      <c r="O558" s="157"/>
    </row>
    <row r="559" spans="3:15">
      <c r="C559" s="583" t="s">
        <v>670</v>
      </c>
      <c r="D559" s="583"/>
      <c r="E559" s="583"/>
      <c r="F559" s="583"/>
      <c r="G559" s="583"/>
      <c r="H559" s="584">
        <v>84830480</v>
      </c>
      <c r="I559" s="590">
        <v>43715200</v>
      </c>
      <c r="J559" s="590">
        <v>9162140</v>
      </c>
      <c r="K559" s="583"/>
      <c r="L559" s="590">
        <v>31770725.870000001</v>
      </c>
      <c r="M559" s="583"/>
      <c r="N559" s="590">
        <v>182414.13</v>
      </c>
      <c r="O559" s="584"/>
    </row>
    <row r="560" spans="3:15">
      <c r="C560" t="s">
        <v>682</v>
      </c>
      <c r="H560" s="157">
        <v>81201480</v>
      </c>
      <c r="I560" s="466">
        <v>43715200</v>
      </c>
      <c r="J560" s="466">
        <v>9162140</v>
      </c>
      <c r="L560" s="466">
        <v>28141725.870000001</v>
      </c>
      <c r="N560" s="466">
        <v>182414.13</v>
      </c>
      <c r="O560" s="157"/>
    </row>
    <row r="561" spans="3:15">
      <c r="C561" t="s">
        <v>683</v>
      </c>
      <c r="H561" s="157">
        <v>81201480</v>
      </c>
      <c r="I561" s="466">
        <v>43715200</v>
      </c>
      <c r="N561" s="466">
        <v>37486280</v>
      </c>
      <c r="O561" s="157"/>
    </row>
    <row r="562" spans="3:15">
      <c r="C562" t="s">
        <v>696</v>
      </c>
      <c r="H562" s="157"/>
      <c r="L562" s="466">
        <v>2056800</v>
      </c>
      <c r="N562" s="466">
        <v>-2056800</v>
      </c>
      <c r="O562" s="157"/>
    </row>
    <row r="563" spans="3:15">
      <c r="C563" t="s">
        <v>687</v>
      </c>
      <c r="H563" s="157"/>
      <c r="J563" s="466">
        <v>9162140</v>
      </c>
      <c r="L563" s="466">
        <v>17898165.870000001</v>
      </c>
      <c r="N563" s="466">
        <v>-27060305.870000001</v>
      </c>
      <c r="O563" s="157"/>
    </row>
    <row r="564" spans="3:15">
      <c r="C564" t="s">
        <v>735</v>
      </c>
      <c r="H564" s="157"/>
      <c r="L564" s="466">
        <v>8186760</v>
      </c>
      <c r="N564" s="466">
        <v>-8186760</v>
      </c>
      <c r="O564" s="157"/>
    </row>
    <row r="565" spans="3:15">
      <c r="C565" t="s">
        <v>749</v>
      </c>
      <c r="H565" s="157"/>
      <c r="O565" s="157"/>
    </row>
    <row r="566" spans="3:15">
      <c r="C566" t="s">
        <v>617</v>
      </c>
      <c r="H566" s="157">
        <v>3629000</v>
      </c>
      <c r="L566" s="466">
        <v>3629000</v>
      </c>
      <c r="O566" s="157"/>
    </row>
    <row r="567" spans="3:15">
      <c r="C567" t="s">
        <v>592</v>
      </c>
      <c r="H567" s="157">
        <v>3629000</v>
      </c>
      <c r="L567" s="466">
        <v>3629000</v>
      </c>
      <c r="O567" s="157"/>
    </row>
    <row r="568" spans="3:15">
      <c r="C568" s="583" t="s">
        <v>671</v>
      </c>
      <c r="D568" s="583"/>
      <c r="E568" s="583"/>
      <c r="F568" s="583"/>
      <c r="G568" s="583"/>
      <c r="H568" s="584">
        <v>73894620</v>
      </c>
      <c r="I568" s="590">
        <v>19965556</v>
      </c>
      <c r="J568" s="590">
        <v>37416442</v>
      </c>
      <c r="K568" s="583"/>
      <c r="L568" s="590">
        <v>16512622</v>
      </c>
      <c r="M568" s="583"/>
      <c r="N568" s="590"/>
      <c r="O568" s="584"/>
    </row>
    <row r="569" spans="3:15">
      <c r="C569" t="s">
        <v>682</v>
      </c>
      <c r="H569" s="157">
        <v>62969420</v>
      </c>
      <c r="I569" s="466">
        <v>18432588</v>
      </c>
      <c r="J569" s="466">
        <v>31133210</v>
      </c>
      <c r="L569" s="466">
        <v>13403622</v>
      </c>
      <c r="O569" s="157"/>
    </row>
    <row r="570" spans="3:15">
      <c r="C570" t="s">
        <v>683</v>
      </c>
      <c r="H570" s="157">
        <v>62969420</v>
      </c>
      <c r="I570" s="466">
        <v>18432588</v>
      </c>
      <c r="N570" s="466">
        <v>44536832</v>
      </c>
      <c r="O570" s="157"/>
    </row>
    <row r="571" spans="3:15">
      <c r="C571" t="s">
        <v>687</v>
      </c>
      <c r="J571" s="466">
        <v>19464000</v>
      </c>
      <c r="L571" s="466">
        <v>10808792</v>
      </c>
      <c r="N571" s="466">
        <v>-30272792</v>
      </c>
      <c r="O571" s="157"/>
    </row>
    <row r="572" spans="3:15">
      <c r="C572" t="s">
        <v>735</v>
      </c>
      <c r="H572" s="157"/>
      <c r="J572" s="466">
        <v>11669210</v>
      </c>
      <c r="L572" s="466">
        <v>2594830</v>
      </c>
      <c r="N572" s="466">
        <v>-14264040</v>
      </c>
      <c r="O572" s="157"/>
    </row>
    <row r="573" spans="3:15">
      <c r="C573" t="s">
        <v>634</v>
      </c>
      <c r="H573" s="157">
        <v>10925200</v>
      </c>
      <c r="I573" s="466">
        <v>1532968</v>
      </c>
      <c r="J573" s="466">
        <v>6283232</v>
      </c>
      <c r="L573" s="466">
        <v>3109000</v>
      </c>
      <c r="O573" s="157"/>
    </row>
    <row r="574" spans="3:15">
      <c r="C574" t="s">
        <v>592</v>
      </c>
      <c r="H574" s="157">
        <v>10925200</v>
      </c>
      <c r="I574" s="466">
        <v>1532968</v>
      </c>
      <c r="J574" s="466">
        <v>6283232</v>
      </c>
      <c r="L574" s="466">
        <v>3109000</v>
      </c>
      <c r="O574" s="157"/>
    </row>
    <row r="575" spans="3:15">
      <c r="C575" s="583" t="s">
        <v>672</v>
      </c>
      <c r="D575" s="583"/>
      <c r="E575" s="583"/>
      <c r="F575" s="583"/>
      <c r="G575" s="583"/>
      <c r="H575" s="584">
        <v>204921500</v>
      </c>
      <c r="I575" s="590">
        <v>17320327.449999999</v>
      </c>
      <c r="J575" s="590">
        <v>83517119.75</v>
      </c>
      <c r="K575" s="583"/>
      <c r="L575" s="590">
        <v>103654918</v>
      </c>
      <c r="M575" s="583"/>
      <c r="N575" s="590">
        <v>429134.8</v>
      </c>
      <c r="O575" s="584"/>
    </row>
    <row r="576" spans="3:15">
      <c r="C576" t="s">
        <v>682</v>
      </c>
      <c r="H576" s="157">
        <v>195373700</v>
      </c>
      <c r="I576" s="466">
        <v>17320327.449999999</v>
      </c>
      <c r="J576" s="466">
        <v>82387491.75</v>
      </c>
      <c r="L576" s="466">
        <v>95665880.799999997</v>
      </c>
      <c r="O576" s="157"/>
    </row>
    <row r="577" spans="3:15">
      <c r="C577" t="s">
        <v>683</v>
      </c>
      <c r="H577" s="157">
        <v>195373700</v>
      </c>
      <c r="N577" s="466">
        <v>195373700</v>
      </c>
      <c r="O577" s="157"/>
    </row>
    <row r="578" spans="3:15">
      <c r="C578" t="s">
        <v>687</v>
      </c>
      <c r="H578" s="157"/>
      <c r="I578" s="466">
        <v>17320327.449999999</v>
      </c>
      <c r="J578" s="466">
        <v>77397709.75</v>
      </c>
      <c r="L578" s="466">
        <v>78666808</v>
      </c>
      <c r="N578" s="466">
        <v>-173384845.19999999</v>
      </c>
      <c r="O578" s="157"/>
    </row>
    <row r="579" spans="3:15">
      <c r="C579" t="s">
        <v>735</v>
      </c>
      <c r="H579" s="157"/>
      <c r="J579" s="466">
        <v>4989782</v>
      </c>
      <c r="L579" s="466">
        <v>16999072.800000001</v>
      </c>
      <c r="N579" s="466">
        <v>-21988854.800000001</v>
      </c>
      <c r="O579" s="157"/>
    </row>
    <row r="580" spans="3:15">
      <c r="C580" t="s">
        <v>601</v>
      </c>
      <c r="H580" s="157">
        <v>9547800</v>
      </c>
      <c r="J580" s="466">
        <v>1129628</v>
      </c>
      <c r="L580" s="466">
        <v>7989037.2000000002</v>
      </c>
      <c r="N580" s="466">
        <v>429134.8</v>
      </c>
      <c r="O580" s="157"/>
    </row>
    <row r="581" spans="3:15">
      <c r="C581" t="s">
        <v>592</v>
      </c>
      <c r="H581" s="157">
        <v>9547800</v>
      </c>
      <c r="J581" s="466">
        <v>1129628</v>
      </c>
      <c r="L581" s="466">
        <v>7989037.2000000002</v>
      </c>
      <c r="N581" s="466">
        <v>429134.8</v>
      </c>
      <c r="O581" s="157"/>
    </row>
    <row r="582" spans="3:15">
      <c r="C582" s="583" t="s">
        <v>673</v>
      </c>
      <c r="D582" s="583"/>
      <c r="E582" s="583"/>
      <c r="F582" s="583"/>
      <c r="G582" s="583"/>
      <c r="H582" s="584">
        <v>69407740</v>
      </c>
      <c r="I582" s="590">
        <v>2410045</v>
      </c>
      <c r="J582" s="590">
        <v>44808172</v>
      </c>
      <c r="K582" s="583"/>
      <c r="L582" s="590">
        <v>18486620</v>
      </c>
      <c r="M582" s="583"/>
      <c r="N582" s="590">
        <v>3702903</v>
      </c>
      <c r="O582" s="584"/>
    </row>
    <row r="583" spans="3:15">
      <c r="C583" t="s">
        <v>682</v>
      </c>
      <c r="H583" s="157">
        <v>63103140</v>
      </c>
      <c r="J583" s="466">
        <v>41803612</v>
      </c>
      <c r="L583" s="466">
        <v>18486620</v>
      </c>
      <c r="N583" s="466">
        <v>2812908</v>
      </c>
      <c r="O583" s="157"/>
    </row>
    <row r="584" spans="3:15">
      <c r="C584" t="s">
        <v>683</v>
      </c>
      <c r="H584" s="157">
        <v>63103140</v>
      </c>
      <c r="N584" s="466">
        <v>63103140</v>
      </c>
      <c r="O584" s="157"/>
    </row>
    <row r="585" spans="3:15">
      <c r="C585" t="s">
        <v>687</v>
      </c>
      <c r="H585" s="157"/>
      <c r="J585" s="466">
        <v>41639612</v>
      </c>
      <c r="L585" s="466">
        <v>14051510</v>
      </c>
      <c r="N585" s="466">
        <v>-55691122</v>
      </c>
      <c r="O585" s="157"/>
    </row>
    <row r="586" spans="3:15">
      <c r="C586" t="s">
        <v>735</v>
      </c>
      <c r="H586" s="157"/>
      <c r="J586" s="466">
        <v>164000</v>
      </c>
      <c r="L586" s="466">
        <v>4435110</v>
      </c>
      <c r="N586" s="466">
        <v>-4599110</v>
      </c>
      <c r="O586" s="157"/>
    </row>
    <row r="587" spans="3:15">
      <c r="C587" t="s">
        <v>626</v>
      </c>
      <c r="H587" s="157">
        <v>6304600</v>
      </c>
      <c r="I587" s="466">
        <v>2410045</v>
      </c>
      <c r="J587" s="466">
        <v>3004560</v>
      </c>
      <c r="N587" s="466">
        <v>889995</v>
      </c>
      <c r="O587" s="157"/>
    </row>
    <row r="588" spans="3:15">
      <c r="C588" t="s">
        <v>592</v>
      </c>
      <c r="H588" s="157">
        <v>6304600</v>
      </c>
      <c r="I588" s="466">
        <v>2410045</v>
      </c>
      <c r="J588" s="466">
        <v>3004560</v>
      </c>
      <c r="N588" s="466">
        <v>889995</v>
      </c>
      <c r="O588" s="157"/>
    </row>
    <row r="589" spans="3:15">
      <c r="C589" s="583" t="s">
        <v>674</v>
      </c>
      <c r="D589" s="583"/>
      <c r="E589" s="583"/>
      <c r="F589" s="583"/>
      <c r="G589" s="583"/>
      <c r="H589" s="584">
        <v>87348400</v>
      </c>
      <c r="I589" s="590">
        <v>14818639.5</v>
      </c>
      <c r="J589" s="590">
        <v>59482510.5</v>
      </c>
      <c r="K589" s="583"/>
      <c r="L589" s="590">
        <v>13047250</v>
      </c>
      <c r="M589" s="583"/>
      <c r="N589" s="590"/>
      <c r="O589" s="584"/>
    </row>
    <row r="590" spans="3:15">
      <c r="C590" t="s">
        <v>682</v>
      </c>
      <c r="H590" s="157">
        <v>82159500</v>
      </c>
      <c r="I590" s="466">
        <v>9629739.5</v>
      </c>
      <c r="J590" s="466">
        <v>59482510.5</v>
      </c>
      <c r="L590" s="466">
        <v>13047250</v>
      </c>
      <c r="O590" s="157"/>
    </row>
    <row r="591" spans="3:15">
      <c r="C591" t="s">
        <v>683</v>
      </c>
      <c r="H591" s="157">
        <v>82159500</v>
      </c>
      <c r="I591" s="466">
        <v>9629739.5</v>
      </c>
      <c r="N591" s="466">
        <v>72529760.5</v>
      </c>
      <c r="O591" s="157"/>
    </row>
    <row r="592" spans="3:15">
      <c r="C592" t="s">
        <v>687</v>
      </c>
      <c r="H592" s="157"/>
      <c r="J592" s="466">
        <v>58323365.5</v>
      </c>
      <c r="L592" s="466">
        <v>10619974</v>
      </c>
      <c r="N592" s="466">
        <v>-68943339.5</v>
      </c>
      <c r="O592" s="157"/>
    </row>
    <row r="593" spans="3:15">
      <c r="C593" t="s">
        <v>735</v>
      </c>
      <c r="H593" s="157"/>
      <c r="J593" s="466">
        <v>1159145</v>
      </c>
      <c r="L593" s="466">
        <v>2427276</v>
      </c>
      <c r="N593" s="466">
        <v>-3586421</v>
      </c>
      <c r="O593" s="157"/>
    </row>
    <row r="594" spans="3:15">
      <c r="C594" t="s">
        <v>628</v>
      </c>
      <c r="H594" s="157">
        <v>5188900</v>
      </c>
      <c r="I594" s="466">
        <v>5188900</v>
      </c>
      <c r="O594" s="157"/>
    </row>
    <row r="595" spans="3:15">
      <c r="C595" t="s">
        <v>592</v>
      </c>
      <c r="H595" s="157">
        <v>5188900</v>
      </c>
      <c r="I595" s="466">
        <v>5188900</v>
      </c>
      <c r="O595" s="157"/>
    </row>
    <row r="596" spans="3:15">
      <c r="C596" s="583" t="s">
        <v>675</v>
      </c>
      <c r="D596" s="583"/>
      <c r="E596" s="583"/>
      <c r="F596" s="583"/>
      <c r="G596" s="583"/>
      <c r="H596" s="584">
        <v>20486605</v>
      </c>
      <c r="I596" s="590">
        <v>2082000</v>
      </c>
      <c r="J596" s="590">
        <v>11767686</v>
      </c>
      <c r="K596" s="583"/>
      <c r="L596" s="590">
        <v>6226672</v>
      </c>
      <c r="M596" s="583"/>
      <c r="N596" s="590">
        <v>410247</v>
      </c>
      <c r="O596" s="584"/>
    </row>
    <row r="597" spans="3:15">
      <c r="C597" t="s">
        <v>682</v>
      </c>
      <c r="H597" s="157">
        <v>20032305</v>
      </c>
      <c r="I597" s="466">
        <v>2082000</v>
      </c>
      <c r="J597" s="466">
        <v>11578386</v>
      </c>
      <c r="L597" s="466">
        <v>5961672</v>
      </c>
      <c r="N597" s="466">
        <v>410247</v>
      </c>
      <c r="O597" s="157"/>
    </row>
    <row r="598" spans="3:15">
      <c r="C598" t="s">
        <v>683</v>
      </c>
      <c r="H598" s="157">
        <v>20032305</v>
      </c>
      <c r="I598" s="466">
        <v>2082000</v>
      </c>
      <c r="N598" s="466">
        <v>17950305</v>
      </c>
      <c r="O598" s="157"/>
    </row>
    <row r="599" spans="3:15">
      <c r="C599" t="s">
        <v>696</v>
      </c>
      <c r="H599" s="157"/>
      <c r="L599" s="466">
        <v>99000</v>
      </c>
      <c r="N599" s="466">
        <v>-99000</v>
      </c>
      <c r="O599" s="157"/>
    </row>
    <row r="600" spans="3:15">
      <c r="C600" t="s">
        <v>687</v>
      </c>
      <c r="H600" s="157"/>
      <c r="J600" s="466">
        <v>8288900</v>
      </c>
      <c r="L600" s="466">
        <v>4767457</v>
      </c>
      <c r="N600" s="466">
        <v>-13056357</v>
      </c>
      <c r="O600" s="157"/>
    </row>
    <row r="601" spans="3:15">
      <c r="C601" t="s">
        <v>735</v>
      </c>
      <c r="H601" s="157"/>
      <c r="J601" s="466">
        <v>3289486</v>
      </c>
      <c r="L601" s="466">
        <v>1095215</v>
      </c>
      <c r="N601" s="466">
        <v>-4384701</v>
      </c>
      <c r="O601" s="157"/>
    </row>
    <row r="602" spans="3:15">
      <c r="C602" t="s">
        <v>635</v>
      </c>
      <c r="H602" s="157">
        <v>454300</v>
      </c>
      <c r="J602" s="466">
        <v>189300</v>
      </c>
      <c r="L602" s="466">
        <v>265000</v>
      </c>
      <c r="O602" s="157"/>
    </row>
    <row r="603" spans="3:15">
      <c r="C603" t="s">
        <v>592</v>
      </c>
      <c r="H603" s="157">
        <v>454300</v>
      </c>
      <c r="J603" s="466">
        <v>189300</v>
      </c>
      <c r="L603" s="466">
        <v>265000</v>
      </c>
      <c r="O603" s="157"/>
    </row>
    <row r="604" spans="3:15">
      <c r="C604" s="583" t="s">
        <v>717</v>
      </c>
      <c r="D604" s="583"/>
      <c r="E604" s="583"/>
      <c r="F604" s="583"/>
      <c r="G604" s="583"/>
      <c r="H604" s="584">
        <v>74473300</v>
      </c>
      <c r="I604" s="590">
        <v>14198476</v>
      </c>
      <c r="J604" s="590">
        <v>35016000</v>
      </c>
      <c r="K604" s="583"/>
      <c r="L604" s="590">
        <v>25258824</v>
      </c>
      <c r="M604" s="583"/>
      <c r="N604" s="590"/>
      <c r="O604" s="584"/>
    </row>
    <row r="605" spans="3:15">
      <c r="C605" t="s">
        <v>682</v>
      </c>
      <c r="H605" s="157">
        <v>74473300</v>
      </c>
      <c r="I605" s="466">
        <v>14198476</v>
      </c>
      <c r="J605" s="466">
        <v>35016000</v>
      </c>
      <c r="L605" s="466">
        <v>25258824</v>
      </c>
      <c r="O605" s="157"/>
    </row>
    <row r="606" spans="3:15">
      <c r="C606" t="s">
        <v>683</v>
      </c>
      <c r="H606" s="157">
        <v>74473300</v>
      </c>
      <c r="I606" s="466">
        <v>14198476</v>
      </c>
      <c r="N606" s="466">
        <v>60274824</v>
      </c>
      <c r="O606" s="157"/>
    </row>
    <row r="607" spans="3:15">
      <c r="C607" t="s">
        <v>687</v>
      </c>
      <c r="H607" s="157"/>
      <c r="J607" s="466">
        <v>34106000</v>
      </c>
      <c r="L607" s="466">
        <v>22661660</v>
      </c>
      <c r="N607" s="466">
        <v>-56767660</v>
      </c>
      <c r="O607" s="157"/>
    </row>
    <row r="608" spans="3:15">
      <c r="C608" t="s">
        <v>735</v>
      </c>
      <c r="H608" s="157"/>
      <c r="J608" s="466">
        <v>910000</v>
      </c>
      <c r="L608" s="466">
        <v>2597164</v>
      </c>
      <c r="N608" s="466">
        <v>-3507164</v>
      </c>
      <c r="O608" s="157"/>
    </row>
    <row r="609" spans="3:15">
      <c r="C609" s="583" t="s">
        <v>676</v>
      </c>
      <c r="D609" s="583"/>
      <c r="E609" s="583"/>
      <c r="F609" s="583"/>
      <c r="G609" s="583"/>
      <c r="H609" s="584">
        <v>35727500</v>
      </c>
      <c r="I609" s="590"/>
      <c r="J609" s="590">
        <v>14400788</v>
      </c>
      <c r="K609" s="583"/>
      <c r="L609" s="590">
        <v>21309200</v>
      </c>
      <c r="M609" s="583"/>
      <c r="N609" s="590">
        <v>17512</v>
      </c>
      <c r="O609" s="584"/>
    </row>
    <row r="610" spans="3:15">
      <c r="C610" t="s">
        <v>682</v>
      </c>
      <c r="H610" s="157">
        <v>35716400</v>
      </c>
      <c r="J610" s="466">
        <v>14400788</v>
      </c>
      <c r="L610" s="466">
        <v>21298100</v>
      </c>
      <c r="N610" s="466">
        <v>17512</v>
      </c>
      <c r="O610" s="157"/>
    </row>
    <row r="611" spans="3:15">
      <c r="C611" t="s">
        <v>683</v>
      </c>
      <c r="H611" s="157">
        <v>35716400</v>
      </c>
      <c r="N611" s="466">
        <v>35716400</v>
      </c>
      <c r="O611" s="157"/>
    </row>
    <row r="612" spans="3:15">
      <c r="C612" t="s">
        <v>687</v>
      </c>
      <c r="H612" s="157"/>
      <c r="J612" s="466">
        <v>14400788</v>
      </c>
      <c r="L612" s="466">
        <v>19575960</v>
      </c>
      <c r="N612" s="466">
        <v>-33976748</v>
      </c>
      <c r="O612" s="157"/>
    </row>
    <row r="613" spans="3:15">
      <c r="C613" t="s">
        <v>735</v>
      </c>
      <c r="H613" s="157"/>
      <c r="L613" s="466">
        <v>1722140</v>
      </c>
      <c r="N613" s="466">
        <v>-1722140</v>
      </c>
      <c r="O613" s="157"/>
    </row>
    <row r="614" spans="3:15">
      <c r="C614" t="s">
        <v>623</v>
      </c>
      <c r="H614" s="157">
        <v>11100</v>
      </c>
      <c r="L614" s="466">
        <v>11100</v>
      </c>
      <c r="O614" s="157"/>
    </row>
    <row r="615" spans="3:15">
      <c r="C615" t="s">
        <v>592</v>
      </c>
      <c r="H615" s="157">
        <v>11100</v>
      </c>
      <c r="L615" s="466">
        <v>11100</v>
      </c>
      <c r="O615" s="157"/>
    </row>
    <row r="616" spans="3:15">
      <c r="C616" s="583" t="s">
        <v>718</v>
      </c>
      <c r="D616" s="583"/>
      <c r="E616" s="583"/>
      <c r="F616" s="583"/>
      <c r="G616" s="583"/>
      <c r="H616" s="584">
        <v>53662200</v>
      </c>
      <c r="I616" s="590"/>
      <c r="J616" s="590">
        <v>26826886</v>
      </c>
      <c r="K616" s="583"/>
      <c r="L616" s="590">
        <v>21679738</v>
      </c>
      <c r="M616" s="583"/>
      <c r="N616" s="590">
        <v>5155576</v>
      </c>
      <c r="O616" s="584"/>
    </row>
    <row r="617" spans="3:15">
      <c r="C617" t="s">
        <v>682</v>
      </c>
      <c r="H617" s="157">
        <v>53662200</v>
      </c>
      <c r="J617" s="466">
        <v>26826886</v>
      </c>
      <c r="L617" s="466">
        <v>21679738</v>
      </c>
      <c r="N617" s="466">
        <v>5155576</v>
      </c>
      <c r="O617" s="157"/>
    </row>
    <row r="618" spans="3:15">
      <c r="C618" t="s">
        <v>683</v>
      </c>
      <c r="H618" s="157">
        <v>53662200</v>
      </c>
      <c r="N618" s="466">
        <v>53662200</v>
      </c>
      <c r="O618" s="157"/>
    </row>
    <row r="619" spans="3:15">
      <c r="C619" t="s">
        <v>687</v>
      </c>
      <c r="H619" s="157"/>
      <c r="J619" s="466">
        <v>26521486</v>
      </c>
      <c r="L619" s="466">
        <v>14404568</v>
      </c>
      <c r="N619" s="466">
        <v>-40926054</v>
      </c>
      <c r="O619" s="157"/>
    </row>
    <row r="620" spans="3:15">
      <c r="C620" t="s">
        <v>735</v>
      </c>
      <c r="H620" s="157"/>
      <c r="J620" s="466">
        <v>305400</v>
      </c>
      <c r="L620" s="466">
        <v>7275170</v>
      </c>
      <c r="N620" s="466">
        <v>-7580570</v>
      </c>
      <c r="O620" s="157"/>
    </row>
    <row r="621" spans="3:15">
      <c r="C621" s="583" t="s">
        <v>719</v>
      </c>
      <c r="D621" s="583"/>
      <c r="E621" s="583"/>
      <c r="F621" s="583"/>
      <c r="G621" s="583"/>
      <c r="H621" s="584">
        <v>106761800</v>
      </c>
      <c r="I621" s="590">
        <v>1500000</v>
      </c>
      <c r="J621" s="590">
        <v>55474553</v>
      </c>
      <c r="K621" s="583"/>
      <c r="L621" s="590">
        <v>49551418.939999998</v>
      </c>
      <c r="M621" s="583"/>
      <c r="N621" s="590">
        <v>235828.06</v>
      </c>
      <c r="O621" s="584"/>
    </row>
    <row r="622" spans="3:15">
      <c r="C622" t="s">
        <v>682</v>
      </c>
      <c r="H622" s="157">
        <v>106761800</v>
      </c>
      <c r="I622" s="466">
        <v>1500000</v>
      </c>
      <c r="J622" s="466">
        <v>55474553</v>
      </c>
      <c r="L622" s="466">
        <v>49551418.939999998</v>
      </c>
      <c r="N622" s="466">
        <v>235828.06</v>
      </c>
      <c r="O622" s="157"/>
    </row>
    <row r="623" spans="3:15">
      <c r="C623" t="s">
        <v>683</v>
      </c>
      <c r="H623" s="157">
        <v>106761800</v>
      </c>
      <c r="I623" s="466">
        <v>1500000</v>
      </c>
      <c r="N623" s="466">
        <v>105261800</v>
      </c>
      <c r="O623" s="157"/>
    </row>
    <row r="624" spans="3:15">
      <c r="C624" t="s">
        <v>687</v>
      </c>
      <c r="H624" s="157"/>
      <c r="J624" s="466">
        <v>55474553</v>
      </c>
      <c r="L624" s="466">
        <v>49551418.939999998</v>
      </c>
      <c r="N624" s="466">
        <v>-105025971.94</v>
      </c>
      <c r="O624" s="157"/>
    </row>
    <row r="625" spans="3:15">
      <c r="C625" s="583" t="s">
        <v>677</v>
      </c>
      <c r="D625" s="583"/>
      <c r="E625" s="583"/>
      <c r="F625" s="583"/>
      <c r="G625" s="583"/>
      <c r="H625" s="584">
        <v>125523900</v>
      </c>
      <c r="I625" s="590">
        <v>39355100</v>
      </c>
      <c r="J625" s="590">
        <v>24641500</v>
      </c>
      <c r="K625" s="583"/>
      <c r="L625" s="590">
        <v>20760985</v>
      </c>
      <c r="M625" s="583"/>
      <c r="N625" s="590">
        <v>40766315</v>
      </c>
      <c r="O625" s="584"/>
    </row>
    <row r="626" spans="3:15">
      <c r="C626" t="s">
        <v>682</v>
      </c>
      <c r="H626" s="157">
        <v>123896600</v>
      </c>
      <c r="I626" s="466">
        <v>39355100</v>
      </c>
      <c r="J626" s="466">
        <v>24641500</v>
      </c>
      <c r="L626" s="466">
        <v>20760985</v>
      </c>
      <c r="N626" s="466">
        <v>39139015</v>
      </c>
      <c r="O626" s="157"/>
    </row>
    <row r="627" spans="3:15">
      <c r="C627" t="s">
        <v>683</v>
      </c>
      <c r="H627" s="157">
        <v>123896600</v>
      </c>
      <c r="I627" s="466">
        <v>39355100</v>
      </c>
      <c r="N627" s="466">
        <v>84541500</v>
      </c>
      <c r="O627" s="157"/>
    </row>
    <row r="628" spans="3:15">
      <c r="C628" t="s">
        <v>696</v>
      </c>
      <c r="H628" s="157"/>
      <c r="L628" s="466">
        <v>5182200</v>
      </c>
      <c r="N628" s="466">
        <v>-5182200</v>
      </c>
      <c r="O628" s="157"/>
    </row>
    <row r="629" spans="3:15">
      <c r="C629" t="s">
        <v>687</v>
      </c>
      <c r="H629" s="157"/>
      <c r="J629" s="466">
        <v>24030000</v>
      </c>
      <c r="L629" s="466">
        <v>13668405</v>
      </c>
      <c r="N629" s="466">
        <v>-37698405</v>
      </c>
      <c r="O629" s="157"/>
    </row>
    <row r="630" spans="3:15">
      <c r="C630" t="s">
        <v>735</v>
      </c>
      <c r="H630" s="157"/>
      <c r="J630" s="466">
        <v>611500</v>
      </c>
      <c r="L630" s="466">
        <v>1910380</v>
      </c>
      <c r="N630" s="466">
        <v>-2521880</v>
      </c>
      <c r="O630" s="157"/>
    </row>
    <row r="631" spans="3:15">
      <c r="C631" t="s">
        <v>620</v>
      </c>
      <c r="H631" s="157">
        <v>1627300</v>
      </c>
      <c r="N631" s="466">
        <v>1627300</v>
      </c>
      <c r="O631" s="157"/>
    </row>
    <row r="632" spans="3:15">
      <c r="C632" t="s">
        <v>592</v>
      </c>
      <c r="H632" s="157">
        <v>1627300</v>
      </c>
      <c r="N632" s="466">
        <v>1627300</v>
      </c>
      <c r="O632" s="157"/>
    </row>
    <row r="633" spans="3:15">
      <c r="C633" s="583" t="s">
        <v>678</v>
      </c>
      <c r="D633" s="583"/>
      <c r="E633" s="583"/>
      <c r="F633" s="583"/>
      <c r="G633" s="583"/>
      <c r="H633" s="584">
        <v>112764415</v>
      </c>
      <c r="I633" s="590">
        <v>39017265</v>
      </c>
      <c r="J633" s="590">
        <v>46503365</v>
      </c>
      <c r="K633" s="583"/>
      <c r="L633" s="590">
        <v>27243785</v>
      </c>
      <c r="M633" s="583"/>
      <c r="N633" s="590"/>
      <c r="O633" s="584"/>
    </row>
    <row r="634" spans="3:15">
      <c r="C634" t="s">
        <v>682</v>
      </c>
      <c r="H634" s="157">
        <v>90480115</v>
      </c>
      <c r="I634" s="466">
        <v>35229865</v>
      </c>
      <c r="J634" s="466">
        <v>28841365</v>
      </c>
      <c r="L634" s="466">
        <v>26408885</v>
      </c>
      <c r="O634" s="157"/>
    </row>
    <row r="635" spans="3:15">
      <c r="C635" t="s">
        <v>683</v>
      </c>
      <c r="H635" s="157">
        <v>90480115</v>
      </c>
      <c r="I635" s="466">
        <v>35229865</v>
      </c>
      <c r="N635" s="466">
        <v>55250250</v>
      </c>
      <c r="O635" s="157"/>
    </row>
    <row r="636" spans="3:15">
      <c r="C636" t="s">
        <v>687</v>
      </c>
      <c r="J636" s="466">
        <v>24721365</v>
      </c>
      <c r="L636" s="466">
        <v>22060990</v>
      </c>
      <c r="N636" s="466">
        <v>-46782355</v>
      </c>
      <c r="O636" s="157"/>
    </row>
    <row r="637" spans="3:15">
      <c r="C637" t="s">
        <v>735</v>
      </c>
      <c r="H637" s="157"/>
      <c r="J637" s="466">
        <v>4120000</v>
      </c>
      <c r="L637" s="466">
        <v>4347895</v>
      </c>
      <c r="N637" s="466">
        <v>-8467895</v>
      </c>
      <c r="O637" s="157"/>
    </row>
    <row r="638" spans="3:15">
      <c r="C638" t="s">
        <v>749</v>
      </c>
      <c r="H638" s="157"/>
      <c r="O638" s="157"/>
    </row>
    <row r="639" spans="3:15">
      <c r="C639" t="s">
        <v>612</v>
      </c>
      <c r="H639" s="157">
        <v>22284300</v>
      </c>
      <c r="I639" s="466">
        <v>3787400</v>
      </c>
      <c r="J639" s="466">
        <v>17662000</v>
      </c>
      <c r="L639" s="466">
        <v>834900</v>
      </c>
      <c r="O639" s="157"/>
    </row>
    <row r="640" spans="3:15">
      <c r="C640" t="s">
        <v>592</v>
      </c>
      <c r="H640" s="157">
        <v>22284300</v>
      </c>
      <c r="I640" s="466">
        <v>3787400</v>
      </c>
      <c r="J640" s="466">
        <v>17662000</v>
      </c>
      <c r="L640" s="466">
        <v>834900</v>
      </c>
      <c r="O640" s="157"/>
    </row>
    <row r="641" spans="3:15">
      <c r="C641" s="583" t="s">
        <v>720</v>
      </c>
      <c r="D641" s="583"/>
      <c r="E641" s="583"/>
      <c r="F641" s="583"/>
      <c r="G641" s="583"/>
      <c r="H641" s="584">
        <v>150456300</v>
      </c>
      <c r="I641" s="590">
        <v>11700000</v>
      </c>
      <c r="J641" s="590">
        <v>60626000</v>
      </c>
      <c r="K641" s="583"/>
      <c r="L641" s="590">
        <v>76725613</v>
      </c>
      <c r="M641" s="583"/>
      <c r="N641" s="590">
        <v>1404687</v>
      </c>
      <c r="O641" s="584"/>
    </row>
    <row r="642" spans="3:15">
      <c r="C642" t="s">
        <v>682</v>
      </c>
      <c r="H642" s="157">
        <v>149906000</v>
      </c>
      <c r="I642" s="466">
        <v>11700000</v>
      </c>
      <c r="J642" s="466">
        <v>60626000</v>
      </c>
      <c r="L642" s="466">
        <v>76176213</v>
      </c>
      <c r="N642" s="466">
        <v>1403787</v>
      </c>
      <c r="O642" s="157"/>
    </row>
    <row r="643" spans="3:15">
      <c r="C643" t="s">
        <v>683</v>
      </c>
      <c r="H643" s="157">
        <v>149906000</v>
      </c>
      <c r="I643" s="466">
        <v>11700000</v>
      </c>
      <c r="N643" s="466">
        <v>138206000</v>
      </c>
      <c r="O643" s="157"/>
    </row>
    <row r="644" spans="3:15">
      <c r="C644" t="s">
        <v>687</v>
      </c>
      <c r="H644" s="157"/>
      <c r="J644" s="466">
        <v>50949000</v>
      </c>
      <c r="L644" s="466">
        <v>73769038</v>
      </c>
      <c r="N644" s="466">
        <v>-124718038</v>
      </c>
      <c r="O644" s="157"/>
    </row>
    <row r="645" spans="3:15">
      <c r="C645" t="s">
        <v>735</v>
      </c>
      <c r="H645" s="157"/>
      <c r="J645" s="466">
        <v>9677000</v>
      </c>
      <c r="L645" s="466">
        <v>2407175</v>
      </c>
      <c r="N645" s="466">
        <v>-12084175</v>
      </c>
      <c r="O645" s="157"/>
    </row>
    <row r="646" spans="3:15">
      <c r="C646" t="s">
        <v>633</v>
      </c>
      <c r="H646" s="157">
        <v>550300</v>
      </c>
      <c r="L646" s="466">
        <v>549400</v>
      </c>
      <c r="N646" s="466">
        <v>900</v>
      </c>
      <c r="O646" s="157"/>
    </row>
    <row r="647" spans="3:15">
      <c r="C647" t="s">
        <v>592</v>
      </c>
      <c r="H647" s="157">
        <v>550300</v>
      </c>
      <c r="L647" s="466">
        <v>549400</v>
      </c>
      <c r="N647" s="466">
        <v>900</v>
      </c>
      <c r="O647" s="157"/>
    </row>
    <row r="648" spans="3:15">
      <c r="C648" s="583" t="s">
        <v>679</v>
      </c>
      <c r="D648" s="583"/>
      <c r="E648" s="583"/>
      <c r="F648" s="583"/>
      <c r="G648" s="583"/>
      <c r="H648" s="584">
        <v>120698620</v>
      </c>
      <c r="I648" s="590"/>
      <c r="J648" s="590">
        <v>71556235</v>
      </c>
      <c r="K648" s="583"/>
      <c r="L648" s="590">
        <v>48989245</v>
      </c>
      <c r="M648" s="583"/>
      <c r="N648" s="590">
        <v>153140</v>
      </c>
      <c r="O648" s="584"/>
    </row>
    <row r="649" spans="3:15">
      <c r="C649" t="s">
        <v>682</v>
      </c>
      <c r="H649" s="157">
        <v>110985820</v>
      </c>
      <c r="J649" s="466">
        <v>65271735</v>
      </c>
      <c r="L649" s="466">
        <v>45659445</v>
      </c>
      <c r="N649" s="466">
        <v>54640</v>
      </c>
      <c r="O649" s="157"/>
    </row>
    <row r="650" spans="3:15">
      <c r="C650" t="s">
        <v>683</v>
      </c>
      <c r="H650" s="157">
        <v>110985820</v>
      </c>
      <c r="N650" s="466">
        <v>110985820</v>
      </c>
      <c r="O650" s="157"/>
    </row>
    <row r="651" spans="3:15">
      <c r="C651" t="s">
        <v>696</v>
      </c>
      <c r="H651" s="157"/>
      <c r="L651" s="466">
        <v>2329800</v>
      </c>
      <c r="N651" s="466">
        <v>-2329800</v>
      </c>
      <c r="O651" s="157"/>
    </row>
    <row r="652" spans="3:15">
      <c r="C652" t="s">
        <v>687</v>
      </c>
      <c r="H652" s="157"/>
      <c r="J652" s="466">
        <v>55347550</v>
      </c>
      <c r="L652" s="466">
        <v>32225555</v>
      </c>
      <c r="N652" s="466">
        <v>-87573105</v>
      </c>
      <c r="O652" s="157"/>
    </row>
    <row r="653" spans="3:15">
      <c r="C653" t="s">
        <v>735</v>
      </c>
      <c r="H653" s="157"/>
      <c r="J653" s="466">
        <v>9924185</v>
      </c>
      <c r="L653" s="466">
        <v>11104090</v>
      </c>
      <c r="N653" s="466">
        <v>-21028275</v>
      </c>
      <c r="O653" s="157"/>
    </row>
    <row r="654" spans="3:15">
      <c r="C654" t="s">
        <v>611</v>
      </c>
      <c r="H654" s="157">
        <v>8752800</v>
      </c>
      <c r="J654" s="466">
        <v>5324500</v>
      </c>
      <c r="L654" s="466">
        <v>3329800</v>
      </c>
      <c r="N654" s="466">
        <v>98500</v>
      </c>
      <c r="O654" s="157"/>
    </row>
    <row r="655" spans="3:15">
      <c r="C655" t="s">
        <v>592</v>
      </c>
      <c r="H655" s="157">
        <v>8752800</v>
      </c>
      <c r="J655" s="466">
        <v>5324500</v>
      </c>
      <c r="L655" s="466">
        <v>3329800</v>
      </c>
      <c r="N655" s="466">
        <v>98500</v>
      </c>
      <c r="O655" s="157"/>
    </row>
    <row r="656" spans="3:15">
      <c r="C656" t="s">
        <v>776</v>
      </c>
      <c r="H656" s="157">
        <v>960000</v>
      </c>
      <c r="J656" s="466">
        <v>960000</v>
      </c>
      <c r="O656" s="157"/>
    </row>
    <row r="657" spans="3:15">
      <c r="C657" t="s">
        <v>592</v>
      </c>
      <c r="H657" s="157">
        <v>960000</v>
      </c>
      <c r="J657" s="466">
        <v>960000</v>
      </c>
      <c r="O657" s="157"/>
    </row>
    <row r="658" spans="3:15">
      <c r="C658" s="583" t="s">
        <v>680</v>
      </c>
      <c r="D658" s="583"/>
      <c r="E658" s="583"/>
      <c r="F658" s="583"/>
      <c r="G658" s="583"/>
      <c r="H658" s="584">
        <v>79105000</v>
      </c>
      <c r="I658" s="590">
        <v>10199830</v>
      </c>
      <c r="J658" s="590">
        <v>24850800</v>
      </c>
      <c r="K658" s="583"/>
      <c r="L658" s="590">
        <v>43767710</v>
      </c>
      <c r="M658" s="583"/>
      <c r="N658" s="590">
        <v>286660</v>
      </c>
      <c r="O658" s="584"/>
    </row>
    <row r="659" spans="3:15">
      <c r="C659" t="s">
        <v>682</v>
      </c>
      <c r="H659" s="157">
        <v>75627000</v>
      </c>
      <c r="I659" s="466">
        <v>10199830</v>
      </c>
      <c r="J659" s="466">
        <v>24310100</v>
      </c>
      <c r="L659" s="466">
        <v>40830410</v>
      </c>
      <c r="N659" s="466">
        <v>286660</v>
      </c>
      <c r="O659" s="157"/>
    </row>
    <row r="660" spans="3:15">
      <c r="C660" t="s">
        <v>683</v>
      </c>
      <c r="H660" s="157">
        <v>75627000</v>
      </c>
      <c r="I660" s="466">
        <v>10199830</v>
      </c>
      <c r="N660" s="466">
        <v>65427170</v>
      </c>
      <c r="O660" s="157"/>
    </row>
    <row r="661" spans="3:15">
      <c r="C661" t="s">
        <v>687</v>
      </c>
      <c r="H661" s="157"/>
      <c r="J661" s="466">
        <v>21163000</v>
      </c>
      <c r="L661" s="466">
        <v>24667169</v>
      </c>
      <c r="N661" s="466">
        <v>-45830169</v>
      </c>
      <c r="O661" s="157"/>
    </row>
    <row r="662" spans="3:15">
      <c r="C662" t="s">
        <v>735</v>
      </c>
      <c r="H662" s="157"/>
      <c r="J662" s="466">
        <v>3147100</v>
      </c>
      <c r="L662" s="466">
        <v>16163241</v>
      </c>
      <c r="N662" s="466">
        <v>-19310341</v>
      </c>
      <c r="O662" s="157"/>
    </row>
    <row r="663" spans="3:15">
      <c r="C663" t="s">
        <v>606</v>
      </c>
      <c r="H663" s="157">
        <v>3478000</v>
      </c>
      <c r="J663" s="466">
        <v>540700</v>
      </c>
      <c r="L663" s="466">
        <v>2937300</v>
      </c>
      <c r="O663" s="157"/>
    </row>
    <row r="664" spans="3:15">
      <c r="C664" t="s">
        <v>592</v>
      </c>
      <c r="H664" s="157">
        <v>3478000</v>
      </c>
      <c r="J664" s="466">
        <v>540700</v>
      </c>
      <c r="L664" s="466">
        <v>2937300</v>
      </c>
      <c r="O664" s="157"/>
    </row>
    <row r="665" spans="3:15">
      <c r="C665" s="583" t="s">
        <v>681</v>
      </c>
      <c r="D665" s="583"/>
      <c r="E665" s="583"/>
      <c r="F665" s="583"/>
      <c r="G665" s="583"/>
      <c r="H665" s="584">
        <v>176740700</v>
      </c>
      <c r="I665" s="590"/>
      <c r="J665" s="590">
        <v>21519610</v>
      </c>
      <c r="K665" s="583"/>
      <c r="L665" s="590">
        <v>77152771</v>
      </c>
      <c r="M665" s="583"/>
      <c r="N665" s="590">
        <v>78068319</v>
      </c>
      <c r="O665" s="584"/>
    </row>
    <row r="666" spans="3:15">
      <c r="C666" t="s">
        <v>682</v>
      </c>
      <c r="H666" s="157">
        <v>167070100</v>
      </c>
      <c r="J666" s="466">
        <v>20327610</v>
      </c>
      <c r="L666" s="466">
        <v>76506771</v>
      </c>
      <c r="N666" s="466">
        <v>70235719</v>
      </c>
      <c r="O666" s="157"/>
    </row>
    <row r="667" spans="3:15">
      <c r="C667" t="s">
        <v>683</v>
      </c>
      <c r="H667" s="157">
        <v>167070100</v>
      </c>
      <c r="N667" s="466">
        <v>167070100</v>
      </c>
      <c r="O667" s="157"/>
    </row>
    <row r="668" spans="3:15">
      <c r="C668" t="s">
        <v>687</v>
      </c>
      <c r="H668" s="157"/>
      <c r="J668" s="466">
        <v>18253730</v>
      </c>
      <c r="L668" s="466">
        <v>55969041</v>
      </c>
      <c r="N668" s="466">
        <v>-74222771</v>
      </c>
      <c r="O668" s="157"/>
    </row>
    <row r="669" spans="3:15">
      <c r="C669" t="s">
        <v>735</v>
      </c>
      <c r="H669" s="157"/>
      <c r="J669" s="466">
        <v>2073880</v>
      </c>
      <c r="L669" s="466">
        <v>20537730</v>
      </c>
      <c r="N669" s="466">
        <v>-22611610</v>
      </c>
      <c r="O669" s="157"/>
    </row>
    <row r="670" spans="3:15">
      <c r="C670" t="s">
        <v>631</v>
      </c>
      <c r="H670" s="157">
        <v>1838000</v>
      </c>
      <c r="J670" s="466">
        <v>1192000</v>
      </c>
      <c r="L670" s="466">
        <v>646000</v>
      </c>
      <c r="O670" s="157"/>
    </row>
    <row r="671" spans="3:15">
      <c r="C671" t="s">
        <v>592</v>
      </c>
      <c r="H671" s="157">
        <v>1838000</v>
      </c>
      <c r="J671" s="466">
        <v>1192000</v>
      </c>
      <c r="L671" s="466">
        <v>646000</v>
      </c>
      <c r="O671" s="157"/>
    </row>
    <row r="672" spans="3:15">
      <c r="C672" t="s">
        <v>777</v>
      </c>
      <c r="H672" s="157">
        <v>7832600</v>
      </c>
      <c r="N672" s="466">
        <v>7832600</v>
      </c>
      <c r="O672" s="157"/>
    </row>
    <row r="673" spans="3:15">
      <c r="C673" t="s">
        <v>592</v>
      </c>
      <c r="H673" s="157">
        <v>7832600</v>
      </c>
      <c r="N673" s="466">
        <v>7832600</v>
      </c>
      <c r="O673" s="157"/>
    </row>
    <row r="674" spans="3:15">
      <c r="C674" s="583" t="s">
        <v>721</v>
      </c>
      <c r="D674" s="583"/>
      <c r="E674" s="583"/>
      <c r="F674" s="583"/>
      <c r="G674" s="583"/>
      <c r="H674" s="584">
        <v>195729.75</v>
      </c>
      <c r="I674" s="590"/>
      <c r="J674" s="590"/>
      <c r="K674" s="583"/>
      <c r="L674" s="590">
        <v>195729.75</v>
      </c>
      <c r="M674" s="583"/>
      <c r="N674" s="590"/>
      <c r="O674" s="584"/>
    </row>
    <row r="675" spans="3:15" s="587" customFormat="1">
      <c r="C675" s="587" t="s">
        <v>682</v>
      </c>
      <c r="H675" s="588">
        <v>195729.75</v>
      </c>
      <c r="I675" s="592"/>
      <c r="J675" s="592"/>
      <c r="L675" s="592">
        <v>195729.75</v>
      </c>
      <c r="N675" s="592"/>
      <c r="O675" s="588"/>
    </row>
    <row r="676" spans="3:15" s="587" customFormat="1">
      <c r="C676" s="587" t="s">
        <v>683</v>
      </c>
      <c r="H676" s="588">
        <v>195729.75</v>
      </c>
      <c r="I676" s="592"/>
      <c r="J676" s="592"/>
      <c r="L676" s="592"/>
      <c r="N676" s="592">
        <v>195729.75</v>
      </c>
      <c r="O676" s="588"/>
    </row>
    <row r="677" spans="3:15" s="587" customFormat="1">
      <c r="C677" s="587" t="s">
        <v>687</v>
      </c>
      <c r="H677" s="588"/>
      <c r="I677" s="592"/>
      <c r="J677" s="592"/>
      <c r="L677" s="592">
        <v>195729.75</v>
      </c>
      <c r="N677" s="592">
        <v>-195729.75</v>
      </c>
      <c r="O677" s="588"/>
    </row>
    <row r="678" spans="3:15" s="587" customFormat="1">
      <c r="C678" s="583" t="s">
        <v>751</v>
      </c>
      <c r="D678" s="583"/>
      <c r="E678" s="583"/>
      <c r="F678" s="583"/>
      <c r="G678" s="583"/>
      <c r="H678" s="584">
        <v>984500</v>
      </c>
      <c r="I678" s="590"/>
      <c r="J678" s="590"/>
      <c r="K678" s="583"/>
      <c r="L678" s="590">
        <v>415468</v>
      </c>
      <c r="M678" s="583"/>
      <c r="N678" s="590">
        <v>569032</v>
      </c>
      <c r="O678" s="584"/>
    </row>
    <row r="679" spans="3:15" s="587" customFormat="1">
      <c r="C679" s="587" t="s">
        <v>682</v>
      </c>
      <c r="H679" s="588">
        <v>984500</v>
      </c>
      <c r="I679" s="592"/>
      <c r="J679" s="592"/>
      <c r="L679" s="592">
        <v>415468</v>
      </c>
      <c r="N679" s="592">
        <v>569032</v>
      </c>
      <c r="O679" s="588"/>
    </row>
    <row r="680" spans="3:15" s="587" customFormat="1">
      <c r="C680" s="587" t="s">
        <v>683</v>
      </c>
      <c r="H680" s="588">
        <v>984500</v>
      </c>
      <c r="I680" s="592"/>
      <c r="J680" s="592"/>
      <c r="L680" s="592"/>
      <c r="N680" s="592">
        <v>984500</v>
      </c>
      <c r="O680" s="588"/>
    </row>
    <row r="681" spans="3:15" s="587" customFormat="1">
      <c r="C681" s="587" t="s">
        <v>687</v>
      </c>
      <c r="H681" s="588"/>
      <c r="I681" s="592"/>
      <c r="J681" s="592"/>
      <c r="L681" s="592">
        <v>415468</v>
      </c>
      <c r="N681" s="592">
        <v>-415468</v>
      </c>
      <c r="O681" s="588"/>
    </row>
    <row r="682" spans="3:15" s="587" customFormat="1">
      <c r="C682" s="583" t="s">
        <v>736</v>
      </c>
      <c r="D682" s="583"/>
      <c r="E682" s="583"/>
      <c r="F682" s="583"/>
      <c r="G682" s="583"/>
      <c r="H682" s="584">
        <v>546880</v>
      </c>
      <c r="I682" s="590">
        <v>42300</v>
      </c>
      <c r="J682" s="590"/>
      <c r="K682" s="583"/>
      <c r="L682" s="590">
        <v>504566</v>
      </c>
      <c r="M682" s="583"/>
      <c r="N682" s="590">
        <v>14</v>
      </c>
      <c r="O682" s="584"/>
    </row>
    <row r="683" spans="3:15" s="587" customFormat="1">
      <c r="C683" s="587" t="s">
        <v>682</v>
      </c>
      <c r="H683" s="588">
        <v>546880</v>
      </c>
      <c r="I683" s="592">
        <v>42300</v>
      </c>
      <c r="J683" s="592"/>
      <c r="L683" s="592">
        <v>504566</v>
      </c>
      <c r="N683" s="592">
        <v>14</v>
      </c>
      <c r="O683" s="588"/>
    </row>
    <row r="684" spans="3:15" s="587" customFormat="1">
      <c r="C684" s="587" t="s">
        <v>683</v>
      </c>
      <c r="H684" s="588">
        <v>546880</v>
      </c>
      <c r="I684" s="592"/>
      <c r="J684" s="592"/>
      <c r="L684" s="592"/>
      <c r="N684" s="592">
        <v>546880</v>
      </c>
      <c r="O684" s="588"/>
    </row>
    <row r="685" spans="3:15" s="587" customFormat="1">
      <c r="C685" s="587" t="s">
        <v>696</v>
      </c>
      <c r="H685" s="588"/>
      <c r="I685" s="592"/>
      <c r="J685" s="592"/>
      <c r="L685" s="592">
        <v>21000</v>
      </c>
      <c r="N685" s="592">
        <v>-21000</v>
      </c>
      <c r="O685" s="588"/>
    </row>
    <row r="686" spans="3:15" s="587" customFormat="1">
      <c r="C686" s="587" t="s">
        <v>687</v>
      </c>
      <c r="H686" s="588"/>
      <c r="I686" s="592"/>
      <c r="J686" s="592"/>
      <c r="L686" s="592">
        <v>462618</v>
      </c>
      <c r="N686" s="592">
        <v>-462618</v>
      </c>
      <c r="O686" s="588"/>
    </row>
    <row r="687" spans="3:15" s="587" customFormat="1">
      <c r="C687" s="587" t="s">
        <v>735</v>
      </c>
      <c r="H687" s="588"/>
      <c r="I687" s="592">
        <v>42300</v>
      </c>
      <c r="J687" s="592"/>
      <c r="L687" s="592">
        <v>20948</v>
      </c>
      <c r="N687" s="592">
        <v>-63248</v>
      </c>
      <c r="O687" s="588"/>
    </row>
    <row r="688" spans="3:15" s="587" customFormat="1">
      <c r="C688" s="583" t="s">
        <v>737</v>
      </c>
      <c r="D688" s="583"/>
      <c r="E688" s="583"/>
      <c r="F688" s="583"/>
      <c r="G688" s="583"/>
      <c r="H688" s="584">
        <v>494830</v>
      </c>
      <c r="I688" s="590"/>
      <c r="J688" s="590"/>
      <c r="K688" s="583"/>
      <c r="L688" s="590">
        <v>466291</v>
      </c>
      <c r="M688" s="583"/>
      <c r="N688" s="590">
        <v>28539</v>
      </c>
      <c r="O688" s="584"/>
    </row>
    <row r="689" spans="3:15" s="587" customFormat="1">
      <c r="C689" s="587" t="s">
        <v>682</v>
      </c>
      <c r="H689" s="588">
        <v>494830</v>
      </c>
      <c r="I689" s="592"/>
      <c r="J689" s="592"/>
      <c r="L689" s="592">
        <v>466291</v>
      </c>
      <c r="N689" s="592">
        <v>28539</v>
      </c>
      <c r="O689" s="588"/>
    </row>
    <row r="690" spans="3:15" s="587" customFormat="1">
      <c r="C690" s="587" t="s">
        <v>683</v>
      </c>
      <c r="H690" s="588">
        <v>494830</v>
      </c>
      <c r="I690" s="592"/>
      <c r="J690" s="592"/>
      <c r="L690" s="592"/>
      <c r="N690" s="592">
        <v>494830</v>
      </c>
      <c r="O690" s="588"/>
    </row>
    <row r="691" spans="3:15" s="587" customFormat="1">
      <c r="C691" s="587" t="s">
        <v>696</v>
      </c>
      <c r="H691" s="588"/>
      <c r="I691" s="592"/>
      <c r="J691" s="592"/>
      <c r="L691" s="592"/>
      <c r="N691" s="592"/>
      <c r="O691" s="588"/>
    </row>
    <row r="692" spans="3:15" s="587" customFormat="1">
      <c r="C692" s="587" t="s">
        <v>687</v>
      </c>
      <c r="H692" s="588"/>
      <c r="I692" s="592"/>
      <c r="J692" s="592"/>
      <c r="L692" s="592">
        <v>418941</v>
      </c>
      <c r="N692" s="592">
        <v>-418941</v>
      </c>
      <c r="O692" s="588"/>
    </row>
    <row r="693" spans="3:15" s="587" customFormat="1">
      <c r="C693" s="587" t="s">
        <v>735</v>
      </c>
      <c r="H693" s="588"/>
      <c r="I693" s="592"/>
      <c r="J693" s="592"/>
      <c r="L693" s="592">
        <v>47350</v>
      </c>
      <c r="N693" s="592">
        <v>-47350</v>
      </c>
      <c r="O693" s="588"/>
    </row>
    <row r="694" spans="3:15" s="587" customFormat="1">
      <c r="C694" s="583" t="s">
        <v>738</v>
      </c>
      <c r="D694" s="583"/>
      <c r="E694" s="583"/>
      <c r="F694" s="583"/>
      <c r="G694" s="583"/>
      <c r="H694" s="584">
        <v>655670</v>
      </c>
      <c r="I694" s="590">
        <v>114800</v>
      </c>
      <c r="J694" s="590"/>
      <c r="K694" s="583"/>
      <c r="L694" s="590">
        <v>540811.18999999994</v>
      </c>
      <c r="M694" s="583"/>
      <c r="N694" s="590">
        <v>58.81</v>
      </c>
      <c r="O694" s="584"/>
    </row>
    <row r="695" spans="3:15" s="587" customFormat="1">
      <c r="C695" s="587" t="s">
        <v>682</v>
      </c>
      <c r="H695" s="588">
        <v>655670</v>
      </c>
      <c r="I695" s="592">
        <v>114800</v>
      </c>
      <c r="J695" s="592"/>
      <c r="L695" s="592">
        <v>540811.18999999994</v>
      </c>
      <c r="N695" s="592">
        <v>58.81</v>
      </c>
      <c r="O695" s="588"/>
    </row>
    <row r="696" spans="3:15" s="587" customFormat="1">
      <c r="C696" s="587" t="s">
        <v>683</v>
      </c>
      <c r="H696" s="588">
        <v>655670</v>
      </c>
      <c r="I696" s="592"/>
      <c r="J696" s="592"/>
      <c r="L696" s="592"/>
      <c r="N696" s="592">
        <v>655670</v>
      </c>
      <c r="O696" s="588"/>
    </row>
    <row r="697" spans="3:15" s="587" customFormat="1">
      <c r="C697" s="587" t="s">
        <v>687</v>
      </c>
      <c r="H697" s="588"/>
      <c r="I697" s="592"/>
      <c r="J697" s="592"/>
      <c r="L697" s="592">
        <v>506121.19</v>
      </c>
      <c r="N697" s="592">
        <v>-506121.19</v>
      </c>
      <c r="O697" s="588"/>
    </row>
    <row r="698" spans="3:15" s="587" customFormat="1">
      <c r="C698" s="587" t="s">
        <v>735</v>
      </c>
      <c r="H698" s="588"/>
      <c r="I698" s="592">
        <v>114800</v>
      </c>
      <c r="J698" s="592"/>
      <c r="L698" s="592">
        <v>34690</v>
      </c>
      <c r="N698" s="592">
        <v>-149490</v>
      </c>
      <c r="O698" s="588"/>
    </row>
    <row r="699" spans="3:15" s="587" customFormat="1">
      <c r="C699" s="583" t="s">
        <v>739</v>
      </c>
      <c r="D699" s="583"/>
      <c r="E699" s="583"/>
      <c r="F699" s="583"/>
      <c r="G699" s="583"/>
      <c r="H699" s="584">
        <v>687400</v>
      </c>
      <c r="I699" s="590"/>
      <c r="J699" s="590"/>
      <c r="K699" s="583"/>
      <c r="L699" s="590">
        <v>685000</v>
      </c>
      <c r="M699" s="583"/>
      <c r="N699" s="590">
        <v>2400</v>
      </c>
      <c r="O699" s="584"/>
    </row>
    <row r="700" spans="3:15" s="587" customFormat="1">
      <c r="C700" s="587" t="s">
        <v>682</v>
      </c>
      <c r="H700" s="588">
        <v>687400</v>
      </c>
      <c r="I700" s="592"/>
      <c r="J700" s="592"/>
      <c r="L700" s="592">
        <v>685000</v>
      </c>
      <c r="N700" s="592">
        <v>2400</v>
      </c>
      <c r="O700" s="588"/>
    </row>
    <row r="701" spans="3:15" s="587" customFormat="1">
      <c r="C701" s="587" t="s">
        <v>683</v>
      </c>
      <c r="H701" s="588">
        <v>687400</v>
      </c>
      <c r="I701" s="592"/>
      <c r="J701" s="592"/>
      <c r="L701" s="592"/>
      <c r="N701" s="592">
        <v>687400</v>
      </c>
      <c r="O701" s="588"/>
    </row>
    <row r="702" spans="3:15" s="587" customFormat="1">
      <c r="C702" s="587" t="s">
        <v>687</v>
      </c>
      <c r="H702" s="588"/>
      <c r="I702" s="592"/>
      <c r="J702" s="592"/>
      <c r="L702" s="592">
        <v>653775</v>
      </c>
      <c r="N702" s="592">
        <v>-653775</v>
      </c>
      <c r="O702" s="588"/>
    </row>
    <row r="703" spans="3:15" s="587" customFormat="1">
      <c r="C703" s="587" t="s">
        <v>735</v>
      </c>
      <c r="H703" s="588"/>
      <c r="I703" s="592"/>
      <c r="J703" s="592"/>
      <c r="L703" s="592">
        <v>31225</v>
      </c>
      <c r="N703" s="592">
        <v>-31225</v>
      </c>
      <c r="O703" s="588"/>
    </row>
    <row r="704" spans="3:15" s="587" customFormat="1">
      <c r="C704" s="583" t="s">
        <v>740</v>
      </c>
      <c r="D704" s="583"/>
      <c r="E704" s="583"/>
      <c r="F704" s="583"/>
      <c r="G704" s="583"/>
      <c r="H704" s="584">
        <v>932970</v>
      </c>
      <c r="I704" s="590"/>
      <c r="J704" s="590"/>
      <c r="K704" s="583"/>
      <c r="L704" s="590">
        <v>707320</v>
      </c>
      <c r="M704" s="583"/>
      <c r="N704" s="590">
        <v>225650</v>
      </c>
      <c r="O704" s="584"/>
    </row>
    <row r="705" spans="3:15" s="587" customFormat="1">
      <c r="C705" s="587" t="s">
        <v>682</v>
      </c>
      <c r="H705" s="588">
        <v>932970</v>
      </c>
      <c r="I705" s="592"/>
      <c r="J705" s="592"/>
      <c r="L705" s="592">
        <v>707320</v>
      </c>
      <c r="N705" s="592">
        <v>225650</v>
      </c>
      <c r="O705" s="588"/>
    </row>
    <row r="706" spans="3:15" s="587" customFormat="1">
      <c r="C706" s="587" t="s">
        <v>683</v>
      </c>
      <c r="H706" s="588">
        <v>932970</v>
      </c>
      <c r="I706" s="592"/>
      <c r="J706" s="592"/>
      <c r="L706" s="592"/>
      <c r="N706" s="592">
        <v>932970</v>
      </c>
      <c r="O706" s="588"/>
    </row>
    <row r="707" spans="3:15" s="587" customFormat="1">
      <c r="C707" s="587" t="s">
        <v>696</v>
      </c>
      <c r="H707" s="588"/>
      <c r="I707" s="592"/>
      <c r="J707" s="592"/>
      <c r="L707" s="592">
        <v>21000</v>
      </c>
      <c r="N707" s="592">
        <v>-21000</v>
      </c>
      <c r="O707" s="588"/>
    </row>
    <row r="708" spans="3:15" s="587" customFormat="1">
      <c r="C708" s="587" t="s">
        <v>687</v>
      </c>
      <c r="H708" s="588"/>
      <c r="I708" s="592"/>
      <c r="J708" s="592"/>
      <c r="L708" s="592">
        <v>655186</v>
      </c>
      <c r="N708" s="592">
        <v>-655186</v>
      </c>
      <c r="O708" s="588"/>
    </row>
    <row r="709" spans="3:15" s="587" customFormat="1">
      <c r="C709" s="587" t="s">
        <v>735</v>
      </c>
      <c r="H709" s="588"/>
      <c r="I709" s="592"/>
      <c r="J709" s="592"/>
      <c r="L709" s="592">
        <v>31134</v>
      </c>
      <c r="N709" s="592">
        <v>-31134</v>
      </c>
      <c r="O709" s="588"/>
    </row>
    <row r="710" spans="3:15" s="587" customFormat="1">
      <c r="C710" s="583" t="s">
        <v>741</v>
      </c>
      <c r="D710" s="583"/>
      <c r="E710" s="583"/>
      <c r="F710" s="583"/>
      <c r="G710" s="583"/>
      <c r="H710" s="584">
        <v>1006760</v>
      </c>
      <c r="I710" s="590"/>
      <c r="J710" s="590"/>
      <c r="K710" s="583"/>
      <c r="L710" s="590">
        <v>795876</v>
      </c>
      <c r="M710" s="583"/>
      <c r="N710" s="590">
        <v>210884</v>
      </c>
      <c r="O710" s="584"/>
    </row>
    <row r="711" spans="3:15" s="587" customFormat="1">
      <c r="C711" s="587" t="s">
        <v>682</v>
      </c>
      <c r="H711" s="588">
        <v>1006760</v>
      </c>
      <c r="I711" s="592"/>
      <c r="J711" s="592"/>
      <c r="L711" s="592">
        <v>795876</v>
      </c>
      <c r="N711" s="592">
        <v>210884</v>
      </c>
      <c r="O711" s="588"/>
    </row>
    <row r="712" spans="3:15" s="587" customFormat="1">
      <c r="C712" s="587" t="s">
        <v>683</v>
      </c>
      <c r="H712" s="588">
        <v>1006760</v>
      </c>
      <c r="I712" s="592"/>
      <c r="J712" s="592"/>
      <c r="L712" s="592"/>
      <c r="N712" s="592">
        <v>1006760</v>
      </c>
      <c r="O712" s="588"/>
    </row>
    <row r="713" spans="3:15" s="587" customFormat="1">
      <c r="C713" s="587" t="s">
        <v>687</v>
      </c>
      <c r="H713" s="588"/>
      <c r="I713" s="592"/>
      <c r="J713" s="592"/>
      <c r="L713" s="592">
        <v>744616</v>
      </c>
      <c r="N713" s="592">
        <v>-744616</v>
      </c>
      <c r="O713" s="588"/>
    </row>
    <row r="714" spans="3:15" s="587" customFormat="1">
      <c r="C714" s="587" t="s">
        <v>735</v>
      </c>
      <c r="H714" s="588"/>
      <c r="I714" s="592"/>
      <c r="J714" s="592"/>
      <c r="L714" s="592">
        <v>51260</v>
      </c>
      <c r="N714" s="592">
        <v>-51260</v>
      </c>
      <c r="O714" s="588"/>
    </row>
    <row r="715" spans="3:15" s="587" customFormat="1">
      <c r="C715" s="583" t="s">
        <v>742</v>
      </c>
      <c r="D715" s="583"/>
      <c r="E715" s="583"/>
      <c r="F715" s="583"/>
      <c r="G715" s="583"/>
      <c r="H715" s="584">
        <v>934240</v>
      </c>
      <c r="I715" s="590"/>
      <c r="J715" s="590"/>
      <c r="K715" s="583"/>
      <c r="L715" s="590">
        <v>736476.2</v>
      </c>
      <c r="M715" s="583"/>
      <c r="N715" s="590">
        <v>197763.8</v>
      </c>
      <c r="O715" s="584"/>
    </row>
    <row r="716" spans="3:15" s="587" customFormat="1">
      <c r="C716" s="587" t="s">
        <v>682</v>
      </c>
      <c r="H716" s="588">
        <v>934240</v>
      </c>
      <c r="I716" s="592"/>
      <c r="J716" s="592"/>
      <c r="L716" s="592">
        <v>736476.2</v>
      </c>
      <c r="N716" s="592">
        <v>197763.8</v>
      </c>
      <c r="O716" s="588"/>
    </row>
    <row r="717" spans="3:15" s="587" customFormat="1">
      <c r="C717" s="587" t="s">
        <v>683</v>
      </c>
      <c r="H717" s="588">
        <v>934240</v>
      </c>
      <c r="I717" s="592"/>
      <c r="J717" s="592"/>
      <c r="L717" s="592"/>
      <c r="N717" s="592">
        <v>934240</v>
      </c>
      <c r="O717" s="588"/>
    </row>
    <row r="718" spans="3:15" s="587" customFormat="1">
      <c r="C718" s="587" t="s">
        <v>687</v>
      </c>
      <c r="H718" s="588"/>
      <c r="I718" s="592"/>
      <c r="J718" s="592"/>
      <c r="L718" s="592">
        <v>702295.2</v>
      </c>
      <c r="N718" s="592">
        <v>-702295.2</v>
      </c>
      <c r="O718" s="588"/>
    </row>
    <row r="719" spans="3:15" s="587" customFormat="1">
      <c r="C719" s="587" t="s">
        <v>735</v>
      </c>
      <c r="H719" s="588"/>
      <c r="I719" s="592"/>
      <c r="J719" s="592"/>
      <c r="L719" s="592">
        <v>34181</v>
      </c>
      <c r="N719" s="592">
        <v>-34181</v>
      </c>
      <c r="O719" s="588"/>
    </row>
    <row r="720" spans="3:15" s="587" customFormat="1">
      <c r="C720" s="583" t="s">
        <v>743</v>
      </c>
      <c r="D720" s="583"/>
      <c r="E720" s="583"/>
      <c r="F720" s="583"/>
      <c r="G720" s="583"/>
      <c r="H720" s="584">
        <v>954940</v>
      </c>
      <c r="I720" s="590"/>
      <c r="J720" s="590"/>
      <c r="K720" s="583"/>
      <c r="L720" s="590">
        <v>670418</v>
      </c>
      <c r="M720" s="583"/>
      <c r="N720" s="590">
        <v>284522</v>
      </c>
      <c r="O720" s="584"/>
    </row>
    <row r="721" spans="3:15" s="587" customFormat="1">
      <c r="C721" s="587" t="s">
        <v>682</v>
      </c>
      <c r="H721" s="588">
        <v>954940</v>
      </c>
      <c r="I721" s="592"/>
      <c r="J721" s="592"/>
      <c r="L721" s="592">
        <v>670418</v>
      </c>
      <c r="N721" s="592">
        <v>284522</v>
      </c>
      <c r="O721" s="588"/>
    </row>
    <row r="722" spans="3:15" s="587" customFormat="1">
      <c r="C722" s="587" t="s">
        <v>683</v>
      </c>
      <c r="H722" s="588">
        <v>954940</v>
      </c>
      <c r="I722" s="592"/>
      <c r="J722" s="592"/>
      <c r="L722" s="592"/>
      <c r="N722" s="592">
        <v>954940</v>
      </c>
      <c r="O722" s="588"/>
    </row>
    <row r="723" spans="3:15" s="587" customFormat="1">
      <c r="C723" s="587" t="s">
        <v>696</v>
      </c>
      <c r="H723" s="588"/>
      <c r="I723" s="592"/>
      <c r="J723" s="592"/>
      <c r="L723" s="592">
        <v>21000</v>
      </c>
      <c r="N723" s="592">
        <v>-21000</v>
      </c>
      <c r="O723" s="588"/>
    </row>
    <row r="724" spans="3:15" s="587" customFormat="1">
      <c r="C724" s="587" t="s">
        <v>687</v>
      </c>
      <c r="H724" s="588"/>
      <c r="I724" s="592"/>
      <c r="J724" s="592"/>
      <c r="L724" s="592">
        <v>627388</v>
      </c>
      <c r="N724" s="592">
        <v>-627388</v>
      </c>
      <c r="O724" s="588"/>
    </row>
    <row r="725" spans="3:15" s="587" customFormat="1">
      <c r="C725" s="587" t="s">
        <v>735</v>
      </c>
      <c r="H725" s="588"/>
      <c r="I725" s="592"/>
      <c r="J725" s="592"/>
      <c r="L725" s="592">
        <v>22030</v>
      </c>
      <c r="N725" s="592">
        <v>-22030</v>
      </c>
      <c r="O725" s="588"/>
    </row>
    <row r="726" spans="3:15" s="587" customFormat="1">
      <c r="C726" s="583" t="s">
        <v>744</v>
      </c>
      <c r="D726" s="583"/>
      <c r="E726" s="583"/>
      <c r="F726" s="583"/>
      <c r="G726" s="583"/>
      <c r="H726" s="584">
        <v>584370</v>
      </c>
      <c r="I726" s="590"/>
      <c r="J726" s="590"/>
      <c r="K726" s="583"/>
      <c r="L726" s="590">
        <v>530780</v>
      </c>
      <c r="M726" s="583"/>
      <c r="N726" s="590">
        <v>53590</v>
      </c>
      <c r="O726" s="584"/>
    </row>
    <row r="727" spans="3:15" s="587" customFormat="1">
      <c r="C727" s="587" t="s">
        <v>682</v>
      </c>
      <c r="H727" s="588">
        <v>584370</v>
      </c>
      <c r="I727" s="592"/>
      <c r="J727" s="592"/>
      <c r="L727" s="592">
        <v>530780</v>
      </c>
      <c r="N727" s="592">
        <v>53590</v>
      </c>
      <c r="O727" s="588"/>
    </row>
    <row r="728" spans="3:15" s="587" customFormat="1">
      <c r="C728" s="587" t="s">
        <v>683</v>
      </c>
      <c r="H728" s="588">
        <v>584370</v>
      </c>
      <c r="I728" s="592"/>
      <c r="J728" s="592"/>
      <c r="L728" s="592"/>
      <c r="N728" s="592">
        <v>584370</v>
      </c>
      <c r="O728" s="588"/>
    </row>
    <row r="729" spans="3:15" s="587" customFormat="1">
      <c r="C729" s="587" t="s">
        <v>687</v>
      </c>
      <c r="H729" s="588"/>
      <c r="I729" s="592"/>
      <c r="J729" s="592"/>
      <c r="L729" s="592">
        <v>486854</v>
      </c>
      <c r="N729" s="592">
        <v>-486854</v>
      </c>
      <c r="O729" s="588"/>
    </row>
    <row r="730" spans="3:15" s="587" customFormat="1">
      <c r="C730" s="587" t="s">
        <v>735</v>
      </c>
      <c r="H730" s="588"/>
      <c r="I730" s="592"/>
      <c r="J730" s="592"/>
      <c r="L730" s="592">
        <v>43926</v>
      </c>
      <c r="N730" s="592">
        <v>-43926</v>
      </c>
      <c r="O730" s="588"/>
    </row>
    <row r="731" spans="3:15" s="587" customFormat="1">
      <c r="C731" s="583" t="s">
        <v>745</v>
      </c>
      <c r="D731" s="583"/>
      <c r="E731" s="583"/>
      <c r="F731" s="583"/>
      <c r="G731" s="583"/>
      <c r="H731" s="584">
        <v>779410</v>
      </c>
      <c r="I731" s="590"/>
      <c r="J731" s="590"/>
      <c r="K731" s="583"/>
      <c r="L731" s="590">
        <v>683871</v>
      </c>
      <c r="M731" s="583"/>
      <c r="N731" s="590">
        <v>95539</v>
      </c>
      <c r="O731" s="584"/>
    </row>
    <row r="732" spans="3:15" s="587" customFormat="1">
      <c r="C732" s="587" t="s">
        <v>682</v>
      </c>
      <c r="H732" s="588">
        <v>779410</v>
      </c>
      <c r="I732" s="592"/>
      <c r="J732" s="592"/>
      <c r="L732" s="592">
        <v>683871</v>
      </c>
      <c r="N732" s="592">
        <v>95539</v>
      </c>
      <c r="O732" s="588"/>
    </row>
    <row r="733" spans="3:15" s="587" customFormat="1">
      <c r="C733" s="587" t="s">
        <v>683</v>
      </c>
      <c r="H733" s="588">
        <v>779410</v>
      </c>
      <c r="I733" s="592"/>
      <c r="J733" s="592"/>
      <c r="L733" s="592"/>
      <c r="N733" s="592">
        <v>779410</v>
      </c>
      <c r="O733" s="588"/>
    </row>
    <row r="734" spans="3:15" s="587" customFormat="1">
      <c r="C734" s="587" t="s">
        <v>687</v>
      </c>
      <c r="H734" s="588"/>
      <c r="I734" s="592"/>
      <c r="J734" s="592"/>
      <c r="L734" s="592">
        <v>618646</v>
      </c>
      <c r="N734" s="592">
        <v>-618646</v>
      </c>
      <c r="O734" s="588"/>
    </row>
    <row r="735" spans="3:15" s="587" customFormat="1">
      <c r="C735" s="587" t="s">
        <v>735</v>
      </c>
      <c r="H735" s="588"/>
      <c r="I735" s="592"/>
      <c r="J735" s="592"/>
      <c r="L735" s="592">
        <v>65225</v>
      </c>
      <c r="N735" s="592">
        <v>-65225</v>
      </c>
      <c r="O735" s="588"/>
    </row>
    <row r="736" spans="3:15">
      <c r="C736" s="583" t="s">
        <v>746</v>
      </c>
      <c r="D736" s="583"/>
      <c r="E736" s="583"/>
      <c r="F736" s="583"/>
      <c r="G736" s="583"/>
      <c r="H736" s="584">
        <v>698167</v>
      </c>
      <c r="I736" s="590"/>
      <c r="J736" s="590"/>
      <c r="K736" s="583"/>
      <c r="L736" s="590">
        <v>698167</v>
      </c>
      <c r="M736" s="583"/>
      <c r="N736" s="590"/>
      <c r="O736" s="584"/>
    </row>
    <row r="737" spans="3:15">
      <c r="C737" t="s">
        <v>682</v>
      </c>
      <c r="H737" s="157">
        <v>698167</v>
      </c>
      <c r="L737" s="466">
        <v>698167</v>
      </c>
      <c r="O737" s="157"/>
    </row>
    <row r="738" spans="3:15">
      <c r="C738" t="s">
        <v>683</v>
      </c>
      <c r="H738" s="157">
        <v>698167</v>
      </c>
      <c r="N738" s="466">
        <v>698167</v>
      </c>
      <c r="O738" s="157"/>
    </row>
    <row r="739" spans="3:15">
      <c r="C739" t="s">
        <v>687</v>
      </c>
      <c r="H739" s="157"/>
      <c r="L739" s="466">
        <v>689870</v>
      </c>
      <c r="N739" s="466">
        <v>-689870</v>
      </c>
      <c r="O739" s="157"/>
    </row>
    <row r="740" spans="3:15">
      <c r="C740" t="s">
        <v>735</v>
      </c>
      <c r="H740" s="157"/>
      <c r="L740" s="466">
        <v>8297</v>
      </c>
      <c r="N740" s="466">
        <v>-8297</v>
      </c>
      <c r="O740" s="157"/>
    </row>
    <row r="741" spans="3:15">
      <c r="C741" s="583" t="s">
        <v>722</v>
      </c>
      <c r="D741" s="583"/>
      <c r="E741" s="583"/>
      <c r="F741" s="583"/>
      <c r="G741" s="583"/>
      <c r="H741" s="584">
        <v>107251000</v>
      </c>
      <c r="I741" s="590"/>
      <c r="J741" s="590">
        <v>65789870</v>
      </c>
      <c r="K741" s="583"/>
      <c r="L741" s="590">
        <v>27138530</v>
      </c>
      <c r="M741" s="583"/>
      <c r="N741" s="590">
        <v>14322600</v>
      </c>
      <c r="O741" s="584"/>
    </row>
    <row r="742" spans="3:15">
      <c r="C742" t="s">
        <v>682</v>
      </c>
      <c r="H742" s="157">
        <v>107251000</v>
      </c>
      <c r="J742" s="466">
        <v>65789870</v>
      </c>
      <c r="L742" s="466">
        <v>27138530</v>
      </c>
      <c r="N742" s="466">
        <v>14322600</v>
      </c>
      <c r="O742" s="157"/>
    </row>
    <row r="743" spans="3:15">
      <c r="C743" t="s">
        <v>683</v>
      </c>
      <c r="H743" s="157">
        <v>107251000</v>
      </c>
      <c r="N743" s="466">
        <v>107251000</v>
      </c>
      <c r="O743" s="157"/>
    </row>
    <row r="744" spans="3:15">
      <c r="C744" t="s">
        <v>687</v>
      </c>
      <c r="J744" s="466">
        <v>53025600</v>
      </c>
      <c r="L744" s="466">
        <v>21240425</v>
      </c>
      <c r="N744" s="466">
        <v>-74266025</v>
      </c>
    </row>
    <row r="745" spans="3:15">
      <c r="C745" t="s">
        <v>735</v>
      </c>
      <c r="J745" s="466">
        <v>12764270</v>
      </c>
      <c r="L745" s="466">
        <v>5898105</v>
      </c>
      <c r="N745" s="466">
        <v>-18662375</v>
      </c>
    </row>
  </sheetData>
  <pageMargins left="0.17" right="0.17" top="0.71" bottom="0.6" header="0.53" footer="0.41"/>
  <pageSetup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2"/>
  <dimension ref="A2:I9"/>
  <sheetViews>
    <sheetView workbookViewId="0">
      <selection sqref="A1:IV9"/>
    </sheetView>
  </sheetViews>
  <sheetFormatPr defaultRowHeight="12.75"/>
  <cols>
    <col min="2" max="2" width="12.85546875" style="173" bestFit="1" customWidth="1"/>
    <col min="4" max="4" width="12.85546875" style="173" bestFit="1" customWidth="1"/>
  </cols>
  <sheetData>
    <row r="2" spans="1:9" ht="20.25">
      <c r="A2" s="2427" t="s">
        <v>289</v>
      </c>
      <c r="B2" s="2428" t="s">
        <v>290</v>
      </c>
      <c r="C2" s="2429"/>
      <c r="D2" s="2429"/>
      <c r="E2" s="2429"/>
      <c r="F2" s="2429"/>
      <c r="G2" s="2429"/>
      <c r="H2" s="2429"/>
      <c r="I2" s="2430"/>
    </row>
    <row r="3" spans="1:9" ht="20.25">
      <c r="A3" s="2427"/>
      <c r="B3" s="2431" t="s">
        <v>291</v>
      </c>
      <c r="C3" s="2431"/>
      <c r="D3" s="2431"/>
      <c r="E3" s="2427" t="s">
        <v>292</v>
      </c>
      <c r="F3" s="2431" t="s">
        <v>293</v>
      </c>
      <c r="G3" s="2431"/>
      <c r="H3" s="2431"/>
      <c r="I3" s="2427" t="s">
        <v>292</v>
      </c>
    </row>
    <row r="4" spans="1:9" ht="20.25">
      <c r="A4" s="2427"/>
      <c r="B4" s="180" t="s">
        <v>294</v>
      </c>
      <c r="C4" s="2431" t="s">
        <v>295</v>
      </c>
      <c r="D4" s="2431"/>
      <c r="E4" s="2427"/>
      <c r="F4" s="180" t="s">
        <v>294</v>
      </c>
      <c r="G4" s="2431" t="s">
        <v>295</v>
      </c>
      <c r="H4" s="2431"/>
      <c r="I4" s="2427"/>
    </row>
    <row r="5" spans="1:9" ht="20.25">
      <c r="A5" s="2427"/>
      <c r="B5" s="180" t="s">
        <v>296</v>
      </c>
      <c r="C5" s="180" t="s">
        <v>297</v>
      </c>
      <c r="D5" s="180" t="s">
        <v>296</v>
      </c>
      <c r="E5" s="2427"/>
      <c r="F5" s="180" t="s">
        <v>296</v>
      </c>
      <c r="G5" s="180" t="s">
        <v>297</v>
      </c>
      <c r="H5" s="180" t="s">
        <v>296</v>
      </c>
      <c r="I5" s="2427"/>
    </row>
    <row r="6" spans="1:9" ht="20.25">
      <c r="A6" s="181">
        <v>1</v>
      </c>
      <c r="B6" s="182">
        <v>35.03</v>
      </c>
      <c r="C6" s="182">
        <v>30</v>
      </c>
      <c r="D6" s="182">
        <v>30</v>
      </c>
      <c r="E6" s="182">
        <v>25.79</v>
      </c>
      <c r="F6" s="182">
        <v>54.94</v>
      </c>
      <c r="G6" s="182">
        <v>19</v>
      </c>
      <c r="H6" s="182">
        <v>19</v>
      </c>
      <c r="I6" s="182">
        <v>15.38</v>
      </c>
    </row>
    <row r="7" spans="1:9" ht="20.25">
      <c r="A7" s="181">
        <v>2</v>
      </c>
      <c r="B7" s="182">
        <v>60.27</v>
      </c>
      <c r="C7" s="182">
        <v>52</v>
      </c>
      <c r="D7" s="182">
        <v>52</v>
      </c>
      <c r="E7" s="182">
        <v>53.38</v>
      </c>
      <c r="F7" s="182">
        <v>66.75</v>
      </c>
      <c r="G7" s="182">
        <v>40</v>
      </c>
      <c r="H7" s="182">
        <v>40</v>
      </c>
      <c r="I7" s="182">
        <v>48.03</v>
      </c>
    </row>
    <row r="8" spans="1:9" ht="20.25">
      <c r="A8" s="181">
        <v>3</v>
      </c>
      <c r="B8" s="182">
        <v>82.57</v>
      </c>
      <c r="C8" s="182">
        <v>73</v>
      </c>
      <c r="D8" s="182">
        <v>73</v>
      </c>
      <c r="E8" s="182"/>
      <c r="F8" s="182">
        <v>84.17</v>
      </c>
      <c r="G8" s="182">
        <v>61</v>
      </c>
      <c r="H8" s="182">
        <v>61</v>
      </c>
      <c r="I8" s="182"/>
    </row>
    <row r="9" spans="1:9" ht="20.25">
      <c r="A9" s="181">
        <v>4</v>
      </c>
      <c r="B9" s="182">
        <v>100</v>
      </c>
      <c r="C9" s="182">
        <v>96</v>
      </c>
      <c r="D9" s="182">
        <v>96</v>
      </c>
      <c r="E9" s="182"/>
      <c r="F9" s="182">
        <v>100</v>
      </c>
      <c r="G9" s="182">
        <v>87</v>
      </c>
      <c r="H9" s="182">
        <v>87</v>
      </c>
      <c r="I9" s="182"/>
    </row>
  </sheetData>
  <mergeCells count="8">
    <mergeCell ref="A2:A5"/>
    <mergeCell ref="B2:I2"/>
    <mergeCell ref="B3:D3"/>
    <mergeCell ref="E3:E5"/>
    <mergeCell ref="F3:H3"/>
    <mergeCell ref="I3:I5"/>
    <mergeCell ref="C4:D4"/>
    <mergeCell ref="G4:H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3"/>
  <dimension ref="A1:I9"/>
  <sheetViews>
    <sheetView workbookViewId="0">
      <selection activeCell="G13" sqref="G13"/>
    </sheetView>
  </sheetViews>
  <sheetFormatPr defaultRowHeight="12.75"/>
  <sheetData>
    <row r="1" spans="1:9">
      <c r="B1" s="173"/>
      <c r="D1" s="173"/>
    </row>
    <row r="2" spans="1:9" ht="20.25">
      <c r="A2" s="2427" t="s">
        <v>289</v>
      </c>
      <c r="B2" s="2428" t="s">
        <v>290</v>
      </c>
      <c r="C2" s="2429"/>
      <c r="D2" s="2429"/>
      <c r="E2" s="2429"/>
      <c r="F2" s="2429"/>
      <c r="G2" s="2429"/>
      <c r="H2" s="2429"/>
      <c r="I2" s="2430"/>
    </row>
    <row r="3" spans="1:9" ht="20.25">
      <c r="A3" s="2427"/>
      <c r="B3" s="2431" t="s">
        <v>291</v>
      </c>
      <c r="C3" s="2431"/>
      <c r="D3" s="2431"/>
      <c r="E3" s="2427" t="s">
        <v>292</v>
      </c>
      <c r="F3" s="2431" t="s">
        <v>293</v>
      </c>
      <c r="G3" s="2431"/>
      <c r="H3" s="2431"/>
      <c r="I3" s="2427" t="s">
        <v>292</v>
      </c>
    </row>
    <row r="4" spans="1:9" ht="20.25">
      <c r="A4" s="2427"/>
      <c r="B4" s="180" t="s">
        <v>294</v>
      </c>
      <c r="C4" s="2431" t="s">
        <v>295</v>
      </c>
      <c r="D4" s="2431"/>
      <c r="E4" s="2427"/>
      <c r="F4" s="180" t="s">
        <v>294</v>
      </c>
      <c r="G4" s="2431" t="s">
        <v>295</v>
      </c>
      <c r="H4" s="2431"/>
      <c r="I4" s="2427"/>
    </row>
    <row r="5" spans="1:9" ht="20.25">
      <c r="A5" s="2427"/>
      <c r="B5" s="180" t="s">
        <v>296</v>
      </c>
      <c r="C5" s="180" t="s">
        <v>297</v>
      </c>
      <c r="D5" s="180" t="s">
        <v>296</v>
      </c>
      <c r="E5" s="2427"/>
      <c r="F5" s="180" t="s">
        <v>296</v>
      </c>
      <c r="G5" s="180" t="s">
        <v>297</v>
      </c>
      <c r="H5" s="180" t="s">
        <v>296</v>
      </c>
      <c r="I5" s="2427"/>
    </row>
    <row r="6" spans="1:9" ht="20.25">
      <c r="A6" s="181">
        <v>1</v>
      </c>
      <c r="B6" s="182">
        <v>35.03</v>
      </c>
      <c r="C6" s="182">
        <v>30</v>
      </c>
      <c r="D6" s="182">
        <v>30</v>
      </c>
      <c r="E6" s="182"/>
      <c r="F6" s="182">
        <v>54.94</v>
      </c>
      <c r="G6" s="182">
        <v>19</v>
      </c>
      <c r="H6" s="182">
        <v>19</v>
      </c>
      <c r="I6" s="182"/>
    </row>
    <row r="7" spans="1:9" ht="20.25">
      <c r="A7" s="181">
        <v>2</v>
      </c>
      <c r="B7" s="182">
        <v>60.27</v>
      </c>
      <c r="C7" s="182">
        <v>52</v>
      </c>
      <c r="D7" s="182">
        <v>52</v>
      </c>
      <c r="E7" s="182"/>
      <c r="F7" s="182">
        <v>66.75</v>
      </c>
      <c r="G7" s="182">
        <v>40</v>
      </c>
      <c r="H7" s="182">
        <v>41</v>
      </c>
      <c r="I7" s="182"/>
    </row>
    <row r="8" spans="1:9" ht="20.25">
      <c r="A8" s="181">
        <v>3</v>
      </c>
      <c r="B8" s="182">
        <v>82.57</v>
      </c>
      <c r="C8" s="182">
        <v>73</v>
      </c>
      <c r="D8" s="182">
        <v>73</v>
      </c>
      <c r="E8" s="182"/>
      <c r="F8" s="182">
        <v>84.17</v>
      </c>
      <c r="G8" s="182">
        <v>61</v>
      </c>
      <c r="H8" s="182">
        <v>63</v>
      </c>
      <c r="I8" s="182"/>
    </row>
    <row r="9" spans="1:9" ht="20.25">
      <c r="A9" s="181">
        <v>4</v>
      </c>
      <c r="B9" s="182">
        <v>100</v>
      </c>
      <c r="C9" s="182">
        <v>96</v>
      </c>
      <c r="D9" s="182">
        <v>96</v>
      </c>
      <c r="E9" s="182"/>
      <c r="F9" s="182">
        <v>100</v>
      </c>
      <c r="G9" s="182">
        <v>87</v>
      </c>
      <c r="H9" s="182">
        <v>87</v>
      </c>
      <c r="I9" s="182"/>
    </row>
  </sheetData>
  <mergeCells count="8">
    <mergeCell ref="A2:A5"/>
    <mergeCell ref="B2:I2"/>
    <mergeCell ref="B3:D3"/>
    <mergeCell ref="E3:E5"/>
    <mergeCell ref="F3:H3"/>
    <mergeCell ref="I3:I5"/>
    <mergeCell ref="C4:D4"/>
    <mergeCell ref="G4:H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4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G25"/>
  <sheetViews>
    <sheetView workbookViewId="0">
      <selection activeCell="G11" sqref="G11"/>
    </sheetView>
  </sheetViews>
  <sheetFormatPr defaultColWidth="30.28515625" defaultRowHeight="24"/>
  <cols>
    <col min="1" max="1" width="3.85546875" style="159" customWidth="1"/>
    <col min="2" max="2" width="12.42578125" style="160" customWidth="1"/>
    <col min="3" max="3" width="14.85546875" style="160" customWidth="1"/>
    <col min="4" max="4" width="13.140625" style="159" customWidth="1"/>
    <col min="5" max="5" width="12.85546875" style="159" customWidth="1"/>
    <col min="6" max="6" width="18" style="159" customWidth="1"/>
    <col min="7" max="7" width="17.42578125" style="160" customWidth="1"/>
    <col min="8" max="16384" width="30.28515625" style="160"/>
  </cols>
  <sheetData>
    <row r="2" spans="1:7">
      <c r="B2" s="2013" t="s">
        <v>261</v>
      </c>
      <c r="C2" s="2013"/>
      <c r="D2" s="2013"/>
      <c r="E2" s="2013"/>
      <c r="F2" s="2013"/>
    </row>
    <row r="3" spans="1:7">
      <c r="A3" s="161"/>
      <c r="B3" s="162"/>
      <c r="C3" s="162"/>
      <c r="D3" s="161" t="s">
        <v>263</v>
      </c>
      <c r="E3" s="161" t="s">
        <v>264</v>
      </c>
      <c r="F3" s="161"/>
      <c r="G3" s="162"/>
    </row>
    <row r="4" spans="1:7">
      <c r="A4" s="163">
        <v>1</v>
      </c>
      <c r="B4" s="164" t="s">
        <v>262</v>
      </c>
      <c r="C4" s="164">
        <v>2016</v>
      </c>
      <c r="D4" s="163">
        <v>5911100</v>
      </c>
      <c r="E4" s="163">
        <v>5911500</v>
      </c>
      <c r="F4" s="163" t="s">
        <v>265</v>
      </c>
      <c r="G4" s="164"/>
    </row>
    <row r="5" spans="1:7">
      <c r="A5" s="169"/>
      <c r="B5" s="170"/>
      <c r="C5" s="170"/>
      <c r="D5" s="169"/>
      <c r="E5" s="169"/>
      <c r="F5" s="169"/>
      <c r="G5" s="170"/>
    </row>
    <row r="6" spans="1:7">
      <c r="A6" s="165">
        <v>2</v>
      </c>
      <c r="B6" s="166" t="s">
        <v>262</v>
      </c>
      <c r="C6" s="166">
        <v>2016</v>
      </c>
      <c r="D6" s="165">
        <v>5811100</v>
      </c>
      <c r="E6" s="165">
        <v>5811500</v>
      </c>
      <c r="F6" s="165"/>
      <c r="G6" s="166"/>
    </row>
    <row r="7" spans="1:7">
      <c r="A7" s="165"/>
      <c r="B7" s="166"/>
      <c r="C7" s="166"/>
      <c r="D7" s="165"/>
      <c r="E7" s="165"/>
      <c r="F7" s="165"/>
      <c r="G7" s="166"/>
    </row>
    <row r="8" spans="1:7">
      <c r="A8" s="165">
        <v>3</v>
      </c>
      <c r="B8" s="166" t="s">
        <v>266</v>
      </c>
      <c r="C8" s="166">
        <v>2016</v>
      </c>
      <c r="D8" s="165">
        <v>5911100</v>
      </c>
      <c r="E8" s="165">
        <v>5911500</v>
      </c>
      <c r="F8" s="165"/>
      <c r="G8" s="166"/>
    </row>
    <row r="9" spans="1:7">
      <c r="A9" s="165"/>
      <c r="B9" s="166"/>
      <c r="C9" s="166"/>
      <c r="D9" s="165"/>
      <c r="E9" s="165"/>
      <c r="F9" s="165"/>
      <c r="G9" s="166"/>
    </row>
    <row r="10" spans="1:7">
      <c r="A10" s="165">
        <v>4</v>
      </c>
      <c r="B10" s="166" t="s">
        <v>266</v>
      </c>
      <c r="C10" s="166"/>
      <c r="D10" s="165"/>
      <c r="E10" s="165"/>
      <c r="F10" s="165"/>
      <c r="G10" s="166"/>
    </row>
    <row r="11" spans="1:7">
      <c r="A11" s="165"/>
      <c r="B11" s="166"/>
      <c r="C11" s="166"/>
      <c r="D11" s="165"/>
      <c r="E11" s="165"/>
      <c r="F11" s="165"/>
      <c r="G11" s="166"/>
    </row>
    <row r="12" spans="1:7">
      <c r="A12" s="165">
        <v>5</v>
      </c>
      <c r="B12" s="166" t="s">
        <v>267</v>
      </c>
      <c r="C12" s="166" t="s">
        <v>268</v>
      </c>
      <c r="D12" s="165">
        <v>5210100</v>
      </c>
      <c r="E12" s="165">
        <v>5210500</v>
      </c>
      <c r="F12" s="165" t="s">
        <v>269</v>
      </c>
      <c r="G12" s="166"/>
    </row>
    <row r="13" spans="1:7">
      <c r="A13" s="165"/>
      <c r="B13" s="166"/>
      <c r="C13" s="166"/>
      <c r="D13" s="165"/>
      <c r="E13" s="165"/>
      <c r="F13" s="165"/>
      <c r="G13" s="166"/>
    </row>
    <row r="14" spans="1:7">
      <c r="A14" s="165">
        <v>6</v>
      </c>
      <c r="B14" s="166" t="s">
        <v>270</v>
      </c>
      <c r="C14" s="166" t="s">
        <v>271</v>
      </c>
      <c r="D14" s="165"/>
      <c r="E14" s="165"/>
      <c r="F14" s="165"/>
      <c r="G14" s="166"/>
    </row>
    <row r="15" spans="1:7">
      <c r="A15" s="165"/>
      <c r="B15" s="166"/>
      <c r="C15" s="166"/>
      <c r="D15" s="165"/>
      <c r="E15" s="165"/>
      <c r="F15" s="165"/>
      <c r="G15" s="166"/>
    </row>
    <row r="16" spans="1:7">
      <c r="A16" s="165"/>
      <c r="B16" s="166"/>
      <c r="C16" s="166"/>
      <c r="D16" s="165"/>
      <c r="E16" s="165"/>
      <c r="F16" s="165"/>
      <c r="G16" s="166"/>
    </row>
    <row r="17" spans="1:7">
      <c r="A17" s="165"/>
      <c r="B17" s="166"/>
      <c r="C17" s="166"/>
      <c r="D17" s="165"/>
      <c r="E17" s="165"/>
      <c r="F17" s="165"/>
      <c r="G17" s="166"/>
    </row>
    <row r="18" spans="1:7">
      <c r="A18" s="165"/>
      <c r="B18" s="166"/>
      <c r="C18" s="166"/>
      <c r="D18" s="165"/>
      <c r="E18" s="165"/>
      <c r="F18" s="165"/>
      <c r="G18" s="166"/>
    </row>
    <row r="19" spans="1:7">
      <c r="A19" s="165"/>
      <c r="B19" s="166"/>
      <c r="C19" s="166"/>
      <c r="D19" s="165"/>
      <c r="E19" s="165"/>
      <c r="F19" s="165"/>
      <c r="G19" s="166"/>
    </row>
    <row r="20" spans="1:7">
      <c r="A20" s="165"/>
      <c r="B20" s="166"/>
      <c r="C20" s="166"/>
      <c r="D20" s="165"/>
      <c r="E20" s="165"/>
      <c r="F20" s="165"/>
      <c r="G20" s="166"/>
    </row>
    <row r="21" spans="1:7">
      <c r="A21" s="165"/>
      <c r="B21" s="166"/>
      <c r="C21" s="166"/>
      <c r="D21" s="165"/>
      <c r="E21" s="165"/>
      <c r="F21" s="165"/>
      <c r="G21" s="166"/>
    </row>
    <row r="22" spans="1:7">
      <c r="A22" s="165"/>
      <c r="B22" s="166"/>
      <c r="C22" s="166"/>
      <c r="D22" s="165"/>
      <c r="E22" s="165"/>
      <c r="F22" s="165"/>
      <c r="G22" s="166"/>
    </row>
    <row r="23" spans="1:7">
      <c r="A23" s="165"/>
      <c r="B23" s="166"/>
      <c r="C23" s="166"/>
      <c r="D23" s="165"/>
      <c r="E23" s="165"/>
      <c r="F23" s="165"/>
      <c r="G23" s="166"/>
    </row>
    <row r="24" spans="1:7">
      <c r="A24" s="165"/>
      <c r="B24" s="166"/>
      <c r="C24" s="166"/>
      <c r="D24" s="165"/>
      <c r="E24" s="165"/>
      <c r="F24" s="165"/>
      <c r="G24" s="166"/>
    </row>
    <row r="25" spans="1:7">
      <c r="A25" s="167"/>
      <c r="B25" s="168"/>
      <c r="C25" s="168"/>
      <c r="D25" s="167"/>
      <c r="E25" s="167"/>
      <c r="F25" s="167"/>
      <c r="G25" s="168"/>
    </row>
  </sheetData>
  <mergeCells count="1">
    <mergeCell ref="B2:F2"/>
  </mergeCells>
  <pageMargins left="0.51" right="0.19" top="0.75" bottom="0.75" header="0.32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5"/>
  <dimension ref="A2:I10"/>
  <sheetViews>
    <sheetView workbookViewId="0">
      <selection activeCell="H11" sqref="H11"/>
    </sheetView>
  </sheetViews>
  <sheetFormatPr defaultRowHeight="24"/>
  <cols>
    <col min="1" max="1" width="15.28515625" style="160" customWidth="1"/>
    <col min="2" max="2" width="12.42578125" style="160" customWidth="1"/>
    <col min="3" max="3" width="14" style="160" customWidth="1"/>
    <col min="4" max="4" width="9.140625" style="160"/>
    <col min="5" max="5" width="12.85546875" style="160" customWidth="1"/>
    <col min="6" max="6" width="9.140625" style="160"/>
    <col min="7" max="7" width="21.28515625" style="160" customWidth="1"/>
    <col min="8" max="8" width="15" style="160" bestFit="1" customWidth="1"/>
    <col min="9" max="9" width="10.140625" style="160" customWidth="1"/>
    <col min="10" max="16384" width="9.140625" style="160"/>
  </cols>
  <sheetData>
    <row r="2" spans="1:9">
      <c r="A2" s="2437" t="s">
        <v>326</v>
      </c>
      <c r="B2" s="2437"/>
      <c r="C2" s="2437"/>
      <c r="D2" s="2437"/>
      <c r="E2" s="2437"/>
      <c r="F2" s="2437"/>
      <c r="G2" s="2437"/>
      <c r="H2" s="2437"/>
      <c r="I2" s="2437"/>
    </row>
    <row r="4" spans="1:9" ht="24" customHeight="1">
      <c r="A4" s="2439" t="s">
        <v>316</v>
      </c>
      <c r="B4" s="2440" t="s">
        <v>327</v>
      </c>
      <c r="C4" s="2438" t="s">
        <v>22</v>
      </c>
      <c r="D4" s="2438"/>
      <c r="E4" s="2438"/>
      <c r="F4" s="2438"/>
      <c r="G4" s="2438"/>
      <c r="H4" s="2434" t="s">
        <v>323</v>
      </c>
      <c r="I4" s="2434" t="s">
        <v>324</v>
      </c>
    </row>
    <row r="5" spans="1:9" ht="25.5" customHeight="1">
      <c r="A5" s="2439"/>
      <c r="B5" s="2439"/>
      <c r="C5" s="2438" t="s">
        <v>317</v>
      </c>
      <c r="D5" s="2438"/>
      <c r="E5" s="2438" t="s">
        <v>318</v>
      </c>
      <c r="F5" s="2438"/>
      <c r="G5" s="2432" t="s">
        <v>325</v>
      </c>
      <c r="H5" s="2435"/>
      <c r="I5" s="2435"/>
    </row>
    <row r="6" spans="1:9">
      <c r="A6" s="2439"/>
      <c r="B6" s="2439"/>
      <c r="C6" s="206" t="s">
        <v>319</v>
      </c>
      <c r="D6" s="206" t="s">
        <v>12</v>
      </c>
      <c r="E6" s="206" t="s">
        <v>319</v>
      </c>
      <c r="F6" s="206" t="s">
        <v>12</v>
      </c>
      <c r="G6" s="2433"/>
      <c r="H6" s="2436"/>
      <c r="I6" s="2436"/>
    </row>
    <row r="7" spans="1:9">
      <c r="A7" s="207" t="s">
        <v>320</v>
      </c>
      <c r="B7" s="203">
        <v>5886.5879999999997</v>
      </c>
      <c r="C7" s="204"/>
      <c r="D7" s="205">
        <f>+C7*100/B7</f>
        <v>0</v>
      </c>
      <c r="E7" s="204" t="e">
        <f>+#REF!/1000000</f>
        <v>#REF!</v>
      </c>
      <c r="F7" s="205" t="e">
        <f>+E7*100/B7</f>
        <v>#REF!</v>
      </c>
      <c r="G7" s="205" t="e">
        <f>+F7-D7</f>
        <v>#REF!</v>
      </c>
      <c r="H7" s="162">
        <v>52</v>
      </c>
      <c r="I7" s="205" t="e">
        <f>+F7-H7</f>
        <v>#REF!</v>
      </c>
    </row>
    <row r="8" spans="1:9">
      <c r="A8" s="207" t="s">
        <v>321</v>
      </c>
      <c r="B8" s="203" t="e">
        <f>+#REF!/1000000</f>
        <v>#REF!</v>
      </c>
      <c r="C8" s="204"/>
      <c r="D8" s="205" t="e">
        <f>+C8*100/B8</f>
        <v>#REF!</v>
      </c>
      <c r="E8" s="204" t="e">
        <f>+#REF!/1000000</f>
        <v>#REF!</v>
      </c>
      <c r="F8" s="205" t="e">
        <f>+E8*100/B8</f>
        <v>#REF!</v>
      </c>
      <c r="G8" s="205" t="e">
        <f>+F8-D8</f>
        <v>#REF!</v>
      </c>
      <c r="H8" s="162">
        <v>55</v>
      </c>
      <c r="I8" s="205" t="e">
        <f>+F8-H8</f>
        <v>#REF!</v>
      </c>
    </row>
    <row r="9" spans="1:9">
      <c r="A9" s="207" t="s">
        <v>322</v>
      </c>
      <c r="B9" s="162">
        <v>301.51400000000001</v>
      </c>
      <c r="C9" s="204"/>
      <c r="D9" s="205">
        <f>+C9*100/B9</f>
        <v>0</v>
      </c>
      <c r="E9" s="204" t="e">
        <f>+#REF!/1000000</f>
        <v>#REF!</v>
      </c>
      <c r="F9" s="205" t="e">
        <f>+E9*100/B9</f>
        <v>#REF!</v>
      </c>
      <c r="G9" s="205" t="e">
        <f>+F9-D9</f>
        <v>#REF!</v>
      </c>
      <c r="H9" s="162">
        <v>41</v>
      </c>
      <c r="I9" s="205" t="e">
        <f>+F9-H9</f>
        <v>#REF!</v>
      </c>
    </row>
    <row r="10" spans="1:9">
      <c r="A10" s="162"/>
      <c r="B10" s="162"/>
      <c r="C10" s="162"/>
      <c r="D10" s="162"/>
      <c r="E10" s="162"/>
      <c r="F10" s="162"/>
      <c r="G10" s="162"/>
      <c r="H10" s="162"/>
      <c r="I10" s="162"/>
    </row>
  </sheetData>
  <mergeCells count="9">
    <mergeCell ref="G5:G6"/>
    <mergeCell ref="H4:H6"/>
    <mergeCell ref="I4:I6"/>
    <mergeCell ref="A2:I2"/>
    <mergeCell ref="C5:D5"/>
    <mergeCell ref="E5:F5"/>
    <mergeCell ref="C4:G4"/>
    <mergeCell ref="A4:A6"/>
    <mergeCell ref="B4:B6"/>
  </mergeCells>
  <pageMargins left="0.5" right="0.11" top="0.75" bottom="0.75" header="0.3" footer="0.3"/>
  <pageSetup paperSize="9" scale="80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6"/>
  <dimension ref="N1"/>
  <sheetViews>
    <sheetView zoomScale="80" zoomScaleNormal="80" workbookViewId="0">
      <selection activeCell="M6" sqref="M6"/>
    </sheetView>
  </sheetViews>
  <sheetFormatPr defaultRowHeight="12.75"/>
  <sheetData>
    <row r="1" spans="14:14" ht="24">
      <c r="N1" s="315" t="s">
        <v>392</v>
      </c>
    </row>
  </sheetData>
  <pageMargins left="0.57999999999999996" right="0.16" top="0.26" bottom="0.75" header="0.3" footer="0.3"/>
  <pageSetup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8"/>
  <dimension ref="A1"/>
  <sheetViews>
    <sheetView zoomScale="77" zoomScaleNormal="77" workbookViewId="0">
      <selection activeCell="H25" sqref="H25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4C43-413A-430B-896B-A431C273D24A}">
  <sheetPr>
    <tabColor indexed="10"/>
  </sheetPr>
  <dimension ref="A1:CB74"/>
  <sheetViews>
    <sheetView tabSelected="1" zoomScale="60" zoomScaleNormal="60" zoomScaleSheetLayoutView="7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B12" sqref="B12"/>
    </sheetView>
  </sheetViews>
  <sheetFormatPr defaultRowHeight="23.25"/>
  <cols>
    <col min="1" max="1" width="68.7109375" style="1868" customWidth="1"/>
    <col min="2" max="2" width="24" style="1119" customWidth="1"/>
    <col min="3" max="3" width="22.140625" style="1119" customWidth="1"/>
    <col min="4" max="4" width="1.140625" style="1119" hidden="1" customWidth="1"/>
    <col min="5" max="5" width="22.5703125" style="1119" customWidth="1"/>
    <col min="6" max="6" width="22.7109375" style="1119" customWidth="1"/>
    <col min="7" max="7" width="11.5703125" style="2491" customWidth="1"/>
    <col min="8" max="8" width="21.140625" style="1119" customWidth="1"/>
    <col min="9" max="9" width="11.140625" style="2492" customWidth="1"/>
    <col min="10" max="10" width="22.28515625" style="1119" customWidth="1"/>
    <col min="11" max="11" width="11.5703125" style="1349" customWidth="1"/>
    <col min="12" max="12" width="18" style="1119" hidden="1" customWidth="1"/>
    <col min="13" max="13" width="10" style="1119" hidden="1" customWidth="1"/>
    <col min="14" max="14" width="23.85546875" style="1119" hidden="1" customWidth="1"/>
    <col min="15" max="15" width="11.7109375" style="1119" hidden="1" customWidth="1"/>
    <col min="16" max="16" width="22.28515625" style="1119" customWidth="1"/>
    <col min="17" max="18" width="10.140625" style="1849" customWidth="1"/>
    <col min="19" max="19" width="27.28515625" style="1849" customWidth="1"/>
    <col min="20" max="21" width="10.140625" style="1849" customWidth="1"/>
    <col min="22" max="16384" width="9.140625" style="1849"/>
  </cols>
  <sheetData>
    <row r="1" spans="1:19" s="1848" customFormat="1" ht="33.75" customHeight="1">
      <c r="A1" s="2022" t="s">
        <v>5419</v>
      </c>
      <c r="B1" s="2022"/>
      <c r="C1" s="2022"/>
      <c r="D1" s="2022"/>
      <c r="E1" s="2022"/>
      <c r="F1" s="2022"/>
      <c r="G1" s="2022"/>
      <c r="H1" s="2022"/>
      <c r="I1" s="2022"/>
      <c r="J1" s="2022"/>
      <c r="K1" s="2022"/>
      <c r="L1" s="2022"/>
      <c r="M1" s="2022"/>
      <c r="N1" s="2022"/>
      <c r="O1" s="2022"/>
      <c r="P1" s="2022"/>
    </row>
    <row r="2" spans="1:19" s="1848" customFormat="1" ht="31.5" customHeight="1">
      <c r="A2" s="2022" t="s">
        <v>329</v>
      </c>
      <c r="B2" s="2022"/>
      <c r="C2" s="2022"/>
      <c r="D2" s="2022"/>
      <c r="E2" s="2022"/>
      <c r="F2" s="2022"/>
      <c r="G2" s="2022"/>
      <c r="H2" s="2022"/>
      <c r="I2" s="2022"/>
      <c r="J2" s="2022"/>
      <c r="K2" s="2022"/>
      <c r="L2" s="2022"/>
      <c r="M2" s="2022"/>
      <c r="N2" s="2022"/>
      <c r="O2" s="2022"/>
      <c r="P2" s="2022"/>
    </row>
    <row r="3" spans="1:19" s="1848" customFormat="1" ht="33.75" customHeight="1">
      <c r="A3" s="2023" t="str">
        <f>+[7]คีย์ข้อมูล!B3</f>
        <v xml:space="preserve">ข้อมูลสะสมตั้งแต่วันที่ 1 ตุลาคม 2566 - ถึงวันที่ 15 กันยายน 2567 </v>
      </c>
      <c r="B3" s="2023"/>
      <c r="C3" s="2023"/>
      <c r="D3" s="2023"/>
      <c r="E3" s="2023"/>
      <c r="F3" s="2023"/>
      <c r="G3" s="2023"/>
      <c r="H3" s="2023"/>
      <c r="I3" s="2023"/>
      <c r="J3" s="2023"/>
      <c r="K3" s="2023"/>
      <c r="L3" s="2023"/>
      <c r="M3" s="2023"/>
      <c r="N3" s="2023"/>
      <c r="O3" s="2023"/>
      <c r="P3" s="2023"/>
    </row>
    <row r="4" spans="1:19" ht="41.25" customHeight="1">
      <c r="A4" s="2024" t="s">
        <v>3</v>
      </c>
      <c r="B4" s="2027" t="s">
        <v>34</v>
      </c>
      <c r="C4" s="2027" t="s">
        <v>896</v>
      </c>
      <c r="D4" s="2027" t="s">
        <v>1143</v>
      </c>
      <c r="E4" s="2027" t="s">
        <v>897</v>
      </c>
      <c r="F4" s="2018" t="s">
        <v>22</v>
      </c>
      <c r="G4" s="2015"/>
      <c r="H4" s="2014" t="s">
        <v>2833</v>
      </c>
      <c r="I4" s="2030"/>
      <c r="J4" s="2014" t="s">
        <v>1243</v>
      </c>
      <c r="K4" s="2015"/>
      <c r="L4" s="2018" t="s">
        <v>404</v>
      </c>
      <c r="M4" s="2015"/>
      <c r="N4" s="2018" t="s">
        <v>5420</v>
      </c>
      <c r="O4" s="2015"/>
      <c r="P4" s="2019" t="s">
        <v>4</v>
      </c>
    </row>
    <row r="5" spans="1:19" s="1850" customFormat="1" ht="27.75" hidden="1" customHeight="1">
      <c r="A5" s="2025"/>
      <c r="B5" s="2028"/>
      <c r="C5" s="2028"/>
      <c r="D5" s="2028"/>
      <c r="E5" s="2028"/>
      <c r="F5" s="2016"/>
      <c r="G5" s="2017"/>
      <c r="H5" s="2031"/>
      <c r="I5" s="2032"/>
      <c r="J5" s="2016"/>
      <c r="K5" s="2017"/>
      <c r="L5" s="2016"/>
      <c r="M5" s="2017"/>
      <c r="N5" s="1980"/>
      <c r="O5" s="1980"/>
      <c r="P5" s="2020"/>
    </row>
    <row r="6" spans="1:19" s="1850" customFormat="1" ht="26.25" customHeight="1">
      <c r="A6" s="2026"/>
      <c r="B6" s="2021"/>
      <c r="C6" s="2021"/>
      <c r="D6" s="2029"/>
      <c r="E6" s="2021"/>
      <c r="F6" s="1102" t="s">
        <v>803</v>
      </c>
      <c r="G6" s="2441" t="s">
        <v>5421</v>
      </c>
      <c r="H6" s="1102" t="s">
        <v>803</v>
      </c>
      <c r="I6" s="1103" t="s">
        <v>12</v>
      </c>
      <c r="J6" s="1102" t="s">
        <v>803</v>
      </c>
      <c r="K6" s="1102" t="s">
        <v>12</v>
      </c>
      <c r="L6" s="1102" t="s">
        <v>803</v>
      </c>
      <c r="M6" s="1102" t="s">
        <v>12</v>
      </c>
      <c r="N6" s="1102" t="s">
        <v>803</v>
      </c>
      <c r="O6" s="1102" t="s">
        <v>12</v>
      </c>
      <c r="P6" s="2021"/>
    </row>
    <row r="7" spans="1:19" s="1852" customFormat="1" ht="33.75" customHeight="1">
      <c r="A7" s="1851" t="s">
        <v>320</v>
      </c>
      <c r="B7" s="1104">
        <f>+B8+B11</f>
        <v>5359563200</v>
      </c>
      <c r="C7" s="1104">
        <f>+C8+C11+C14</f>
        <v>124712800</v>
      </c>
      <c r="D7" s="1104" t="e">
        <f>+D8+D13</f>
        <v>#REF!</v>
      </c>
      <c r="E7" s="1104">
        <f>+E8+E11</f>
        <v>5484276000</v>
      </c>
      <c r="F7" s="1104">
        <f>+F8+F11</f>
        <v>4665819941.75</v>
      </c>
      <c r="G7" s="1749">
        <f>+F7*100/E7</f>
        <v>85.076315301235752</v>
      </c>
      <c r="H7" s="1104">
        <f>+H8+H11</f>
        <v>441508400.55000001</v>
      </c>
      <c r="I7" s="1104">
        <f t="shared" ref="I7:I13" si="0">H7/E7*100</f>
        <v>8.0504409433442081</v>
      </c>
      <c r="J7" s="1104">
        <f>+J8+J11</f>
        <v>5107328342.3000002</v>
      </c>
      <c r="K7" s="1749">
        <f>+J7*100/E7</f>
        <v>93.126756244579965</v>
      </c>
      <c r="L7" s="1104">
        <f>L8+L13</f>
        <v>0</v>
      </c>
      <c r="M7" s="1104">
        <f>L7/E7*100</f>
        <v>0</v>
      </c>
      <c r="N7" s="1104">
        <f>L7+J7</f>
        <v>5107328342.3000002</v>
      </c>
      <c r="O7" s="1104">
        <f>N7/E7*100</f>
        <v>93.126756244579965</v>
      </c>
      <c r="P7" s="1104">
        <f t="shared" ref="P7:P18" si="1">E7-J7</f>
        <v>376947657.69999981</v>
      </c>
    </row>
    <row r="8" spans="1:19" s="1852" customFormat="1" ht="33.75" customHeight="1">
      <c r="A8" s="1853" t="s">
        <v>315</v>
      </c>
      <c r="B8" s="1104">
        <f>+B9+B10+B14</f>
        <v>4483188000</v>
      </c>
      <c r="C8" s="1104">
        <f>C9+C10</f>
        <v>120811743.91</v>
      </c>
      <c r="D8" s="1104" t="e">
        <f>+D9+D10+D14</f>
        <v>#REF!</v>
      </c>
      <c r="E8" s="1104">
        <f>+E9+E10+E14</f>
        <v>4608036992</v>
      </c>
      <c r="F8" s="1104">
        <f>+F9+F10+F14</f>
        <v>4290197381.0700002</v>
      </c>
      <c r="G8" s="1749">
        <f>+F8*100/E8</f>
        <v>93.102494370557338</v>
      </c>
      <c r="H8" s="1104">
        <f>+H9+H10+H14</f>
        <v>266970190.40000001</v>
      </c>
      <c r="I8" s="1104">
        <f t="shared" si="0"/>
        <v>5.7935774140590928</v>
      </c>
      <c r="J8" s="1104">
        <f>+J9+J10+J14</f>
        <v>4557167571.4700003</v>
      </c>
      <c r="K8" s="1104">
        <f>+J8*100/E8</f>
        <v>98.896071784616439</v>
      </c>
      <c r="L8" s="1104">
        <f>L9+L10+L14</f>
        <v>0</v>
      </c>
      <c r="M8" s="1104">
        <f>L8/E8*100</f>
        <v>0</v>
      </c>
      <c r="N8" s="1104">
        <f t="shared" ref="N8:N51" si="2">L8+J8</f>
        <v>4557167571.4700003</v>
      </c>
      <c r="O8" s="1104">
        <f t="shared" ref="O8:O51" si="3">N8/E8*100</f>
        <v>98.896071784616453</v>
      </c>
      <c r="P8" s="1104">
        <f t="shared" si="1"/>
        <v>50869420.529999733</v>
      </c>
      <c r="S8" s="2442"/>
    </row>
    <row r="9" spans="1:19" s="1850" customFormat="1" ht="33" customHeight="1">
      <c r="A9" s="1866" t="s">
        <v>0</v>
      </c>
      <c r="B9" s="2443">
        <f>+B17</f>
        <v>2678098300</v>
      </c>
      <c r="C9" s="2443">
        <f t="shared" ref="C9:H9" si="4">+C17</f>
        <v>114177200</v>
      </c>
      <c r="D9" s="2443">
        <f t="shared" si="4"/>
        <v>0</v>
      </c>
      <c r="E9" s="2443">
        <f t="shared" si="4"/>
        <v>2792275500</v>
      </c>
      <c r="F9" s="2443">
        <f>+F17</f>
        <v>2850722786.2800002</v>
      </c>
      <c r="G9" s="2444">
        <f>F9/E9*100</f>
        <v>102.09317763522976</v>
      </c>
      <c r="H9" s="2443">
        <f t="shared" si="4"/>
        <v>0</v>
      </c>
      <c r="I9" s="1106">
        <f t="shared" si="0"/>
        <v>0</v>
      </c>
      <c r="J9" s="2443">
        <f>+J17</f>
        <v>2850722786.2800002</v>
      </c>
      <c r="K9" s="2443">
        <f t="shared" ref="K9:K18" si="5">J9/E9*100</f>
        <v>102.09317763522976</v>
      </c>
      <c r="L9" s="2443"/>
      <c r="M9" s="2443"/>
      <c r="N9" s="1106">
        <f t="shared" si="2"/>
        <v>2850722786.2800002</v>
      </c>
      <c r="O9" s="1106">
        <f>N9/E9*100</f>
        <v>102.09317763522976</v>
      </c>
      <c r="P9" s="1106">
        <f t="shared" si="1"/>
        <v>-58447286.28000021</v>
      </c>
    </row>
    <row r="10" spans="1:19" s="1850" customFormat="1" ht="29.25" customHeight="1">
      <c r="A10" s="1866" t="s">
        <v>1</v>
      </c>
      <c r="B10" s="2443">
        <f>B18+B27+B32+B40+B45+B51+B37</f>
        <v>1805089700</v>
      </c>
      <c r="C10" s="2443">
        <f>C18+C27+C40+C45+C51+C32</f>
        <v>6634543.9100000001</v>
      </c>
      <c r="D10" s="2443" t="e">
        <f>+D18+D23+#REF!+D27+D32+#REF!+D40+D45+#REF!+#REF!+#REF!+#REF!+#REF!+D51</f>
        <v>#REF!</v>
      </c>
      <c r="E10" s="2443">
        <f>E18+E27+E32+E40+E45+E51+E36</f>
        <v>1811724243.9100001</v>
      </c>
      <c r="F10" s="2443">
        <f>F18+F27+F32+F40+F45+F51+F37</f>
        <v>1439395594.79</v>
      </c>
      <c r="G10" s="2444">
        <f>+F10*100/E10</f>
        <v>79.448933778329675</v>
      </c>
      <c r="H10" s="2443">
        <f>H27+H32+H37+H40+H45+H51</f>
        <v>266970190.40000001</v>
      </c>
      <c r="I10" s="1106">
        <f t="shared" si="0"/>
        <v>14.735696742890312</v>
      </c>
      <c r="J10" s="2443">
        <f>H10+F10</f>
        <v>1706365785.1900001</v>
      </c>
      <c r="K10" s="2443">
        <f t="shared" si="5"/>
        <v>94.184630521219987</v>
      </c>
      <c r="L10" s="2443">
        <f>L18+L23+L27+L32+L40+L45+L51</f>
        <v>0</v>
      </c>
      <c r="M10" s="2443">
        <f>L10/E10*100</f>
        <v>0</v>
      </c>
      <c r="N10" s="1106">
        <f t="shared" si="2"/>
        <v>1706365785.1900001</v>
      </c>
      <c r="O10" s="1106">
        <f t="shared" si="3"/>
        <v>94.184630521219987</v>
      </c>
      <c r="P10" s="1106">
        <f t="shared" si="1"/>
        <v>105358458.72000003</v>
      </c>
    </row>
    <row r="11" spans="1:19" s="1850" customFormat="1" ht="30" customHeight="1">
      <c r="A11" s="1853" t="s">
        <v>322</v>
      </c>
      <c r="B11" s="1104">
        <f>SUM(B12:B13)</f>
        <v>876375200</v>
      </c>
      <c r="C11" s="1104">
        <f>SUM(C12:C13)</f>
        <v>-136192</v>
      </c>
      <c r="D11" s="1104"/>
      <c r="E11" s="1104">
        <f>E13+E12</f>
        <v>876239008</v>
      </c>
      <c r="F11" s="1104">
        <f>SUM(F12:F13)</f>
        <v>375622560.67999995</v>
      </c>
      <c r="G11" s="1749">
        <f t="shared" ref="G11:G18" si="6">F11/E11*100</f>
        <v>42.867591747296416</v>
      </c>
      <c r="H11" s="1104">
        <f>H12+H13</f>
        <v>174538210.15000001</v>
      </c>
      <c r="I11" s="1104">
        <f t="shared" si="0"/>
        <v>19.919018504823288</v>
      </c>
      <c r="J11" s="1104">
        <f>J12+J13</f>
        <v>550160770.82999992</v>
      </c>
      <c r="K11" s="1104">
        <f t="shared" si="5"/>
        <v>62.786610252119701</v>
      </c>
      <c r="L11" s="1104"/>
      <c r="M11" s="1104"/>
      <c r="N11" s="1104">
        <f t="shared" si="2"/>
        <v>550160770.82999992</v>
      </c>
      <c r="O11" s="1104">
        <f t="shared" si="3"/>
        <v>62.786610252119701</v>
      </c>
      <c r="P11" s="1104">
        <f t="shared" si="1"/>
        <v>326078237.17000008</v>
      </c>
    </row>
    <row r="12" spans="1:19" s="1850" customFormat="1" ht="32.25" customHeight="1">
      <c r="A12" s="1866" t="s">
        <v>1</v>
      </c>
      <c r="B12" s="2443">
        <f>B23+B28</f>
        <v>444978100</v>
      </c>
      <c r="C12" s="2443">
        <f>C23</f>
        <v>0</v>
      </c>
      <c r="D12" s="2443"/>
      <c r="E12" s="2443">
        <f>E23+E28</f>
        <v>444978100</v>
      </c>
      <c r="F12" s="2443">
        <f>F23+F28</f>
        <v>325161706.02999997</v>
      </c>
      <c r="G12" s="2444">
        <f t="shared" si="6"/>
        <v>73.073642507350357</v>
      </c>
      <c r="H12" s="2443">
        <f>H23+H28</f>
        <v>2396200</v>
      </c>
      <c r="I12" s="1106">
        <f t="shared" si="0"/>
        <v>0.53849841149485778</v>
      </c>
      <c r="J12" s="2443">
        <f>F12+H12</f>
        <v>327557906.02999997</v>
      </c>
      <c r="K12" s="2443">
        <f t="shared" si="5"/>
        <v>73.612140918845213</v>
      </c>
      <c r="L12" s="2443"/>
      <c r="M12" s="2443"/>
      <c r="N12" s="1106">
        <f t="shared" si="2"/>
        <v>327557906.02999997</v>
      </c>
      <c r="O12" s="1106">
        <f t="shared" si="3"/>
        <v>73.612140918845213</v>
      </c>
      <c r="P12" s="1106">
        <f t="shared" si="1"/>
        <v>117420193.97000003</v>
      </c>
    </row>
    <row r="13" spans="1:19" s="1850" customFormat="1" ht="32.25" customHeight="1">
      <c r="A13" s="1866" t="s">
        <v>7</v>
      </c>
      <c r="B13" s="1106">
        <f>+B29+B33</f>
        <v>431397100</v>
      </c>
      <c r="C13" s="1106">
        <f>C19+C24+C29+C33+C41+C46+C52</f>
        <v>-136192</v>
      </c>
      <c r="D13" s="1106" t="e">
        <f>D19+D24+D29+D33+D41+D46+#REF!+#REF!+#REF!+D52</f>
        <v>#REF!</v>
      </c>
      <c r="E13" s="1106">
        <f>E19+E24+E29+E33+E41+E46+E52</f>
        <v>431260908</v>
      </c>
      <c r="F13" s="1106">
        <f>F19+F24+F29+F33+F41+F46+F52</f>
        <v>50460854.650000006</v>
      </c>
      <c r="G13" s="1345">
        <f t="shared" si="6"/>
        <v>11.700771786623426</v>
      </c>
      <c r="H13" s="1106">
        <f>H19+H24+H29+H33+H41+H46+H52</f>
        <v>172142010.15000001</v>
      </c>
      <c r="I13" s="1106">
        <f t="shared" si="0"/>
        <v>39.915978229587182</v>
      </c>
      <c r="J13" s="1106">
        <f>H13+F13</f>
        <v>222602864.80000001</v>
      </c>
      <c r="K13" s="1106">
        <f t="shared" si="5"/>
        <v>51.616750016210609</v>
      </c>
      <c r="L13" s="1106">
        <f>+L24+L29</f>
        <v>0</v>
      </c>
      <c r="M13" s="1106">
        <f>L13/E13*100</f>
        <v>0</v>
      </c>
      <c r="N13" s="1106">
        <f t="shared" si="2"/>
        <v>222602864.80000001</v>
      </c>
      <c r="O13" s="1106">
        <v>0</v>
      </c>
      <c r="P13" s="1106">
        <f t="shared" si="1"/>
        <v>208658043.19999999</v>
      </c>
      <c r="S13" s="1850" t="s">
        <v>3354</v>
      </c>
    </row>
    <row r="14" spans="1:19" s="1850" customFormat="1" ht="32.25" customHeight="1">
      <c r="A14" s="1853" t="s">
        <v>5</v>
      </c>
      <c r="B14" s="1104">
        <f>B20+B25+B30+B34+B42+B47+B48+B53</f>
        <v>0</v>
      </c>
      <c r="C14" s="1104">
        <f>C20+C25+C30+C34+C42+C47+C48+C53</f>
        <v>4037248.09</v>
      </c>
      <c r="D14" s="1104" t="e">
        <f>+D20+D25+#REF!+D30+D34+#REF!+D42+D47+#REF!+#REF!+#REF!+#REF!+D48+D53</f>
        <v>#REF!</v>
      </c>
      <c r="E14" s="1104">
        <f>E20+E25+E30+E34+E42+E47+E48+E53</f>
        <v>4037248.09</v>
      </c>
      <c r="F14" s="1104">
        <f>F30</f>
        <v>79000</v>
      </c>
      <c r="G14" s="1749">
        <f t="shared" si="6"/>
        <v>1.9567784351840514</v>
      </c>
      <c r="H14" s="1104">
        <f>H30</f>
        <v>0</v>
      </c>
      <c r="I14" s="1104">
        <f>H14/E14*100</f>
        <v>0</v>
      </c>
      <c r="J14" s="1104">
        <f>J20+J25+J30+J34+J42+J47+J48+J53</f>
        <v>79000</v>
      </c>
      <c r="K14" s="1104">
        <f t="shared" si="5"/>
        <v>1.9567784351840514</v>
      </c>
      <c r="L14" s="1104"/>
      <c r="M14" s="1104">
        <f>L14/E14*100</f>
        <v>0</v>
      </c>
      <c r="N14" s="1104">
        <f t="shared" si="2"/>
        <v>79000</v>
      </c>
      <c r="O14" s="1104">
        <v>0</v>
      </c>
      <c r="P14" s="1104">
        <f t="shared" si="1"/>
        <v>3958248.09</v>
      </c>
      <c r="Q14" s="1857"/>
    </row>
    <row r="15" spans="1:19" s="1848" customFormat="1" ht="32.25" customHeight="1">
      <c r="A15" s="1858" t="s">
        <v>1144</v>
      </c>
      <c r="B15" s="1107">
        <f>+'[7]โอนเปลี่ยนแปลง '!C6</f>
        <v>2942439200</v>
      </c>
      <c r="C15" s="1107">
        <f>+'[7]โอนเปลี่ยนแปลง '!D6</f>
        <v>124712800</v>
      </c>
      <c r="D15" s="1107">
        <f>+'[7]โอนเปลี่ยนแปลง '!E6</f>
        <v>0</v>
      </c>
      <c r="E15" s="1107">
        <f>+'[7]โอนเปลี่ยนแปลง '!F6</f>
        <v>3067152000</v>
      </c>
      <c r="F15" s="1108">
        <f>F16</f>
        <v>3103295066.3000002</v>
      </c>
      <c r="G15" s="1108">
        <f t="shared" si="6"/>
        <v>101.17839175560913</v>
      </c>
      <c r="H15" s="1108">
        <f>H16</f>
        <v>0</v>
      </c>
      <c r="I15" s="2445">
        <f t="shared" ref="I15:I17" si="7">H15/E15*100</f>
        <v>0</v>
      </c>
      <c r="J15" s="1108">
        <f>+F15+H15</f>
        <v>3103295066.3000002</v>
      </c>
      <c r="K15" s="1107">
        <f t="shared" si="5"/>
        <v>101.17839175560913</v>
      </c>
      <c r="L15" s="1107">
        <v>0</v>
      </c>
      <c r="M15" s="1107"/>
      <c r="N15" s="1107">
        <f t="shared" si="2"/>
        <v>3103295066.3000002</v>
      </c>
      <c r="O15" s="1107">
        <f>N15/E15*100</f>
        <v>101.17839175560913</v>
      </c>
      <c r="P15" s="1107">
        <f t="shared" si="1"/>
        <v>-36143066.300000191</v>
      </c>
    </row>
    <row r="16" spans="1:19" s="1852" customFormat="1" ht="35.25" customHeight="1">
      <c r="A16" s="1859" t="str">
        <f>'[7]โอนเปลี่ยนแปลง '!B7</f>
        <v>รายการค่าใช้จ่ายบุคลากรภาครัฐ (15004678636300000)</v>
      </c>
      <c r="B16" s="1109">
        <f>+'[7]โอนเปลี่ยนแปลง '!C7</f>
        <v>2942439200</v>
      </c>
      <c r="C16" s="1109">
        <f>+'[7]โอนเปลี่ยนแปลง '!D7</f>
        <v>124712800</v>
      </c>
      <c r="D16" s="1109">
        <f>+'[7]โอนเปลี่ยนแปลง '!E7</f>
        <v>0</v>
      </c>
      <c r="E16" s="1109">
        <f>+'[7]โอนเปลี่ยนแปลง '!F7</f>
        <v>3067152000</v>
      </c>
      <c r="F16" s="1110">
        <f>SUM(F17:F20)</f>
        <v>3103295066.3000002</v>
      </c>
      <c r="G16" s="1110">
        <f t="shared" si="6"/>
        <v>101.17839175560913</v>
      </c>
      <c r="H16" s="1110">
        <f>SUM(H17:H20)</f>
        <v>0</v>
      </c>
      <c r="I16" s="2446">
        <f t="shared" si="7"/>
        <v>0</v>
      </c>
      <c r="J16" s="1110">
        <f>+F16+H16</f>
        <v>3103295066.3000002</v>
      </c>
      <c r="K16" s="1109">
        <f t="shared" si="5"/>
        <v>101.17839175560913</v>
      </c>
      <c r="L16" s="1109">
        <v>0</v>
      </c>
      <c r="M16" s="1109"/>
      <c r="N16" s="1109">
        <f t="shared" si="2"/>
        <v>3103295066.3000002</v>
      </c>
      <c r="O16" s="1109">
        <f>N16/E16*100</f>
        <v>101.17839175560913</v>
      </c>
      <c r="P16" s="1109">
        <f t="shared" si="1"/>
        <v>-36143066.300000191</v>
      </c>
    </row>
    <row r="17" spans="1:80" s="1852" customFormat="1" ht="30.75" customHeight="1">
      <c r="A17" s="1866" t="s">
        <v>0</v>
      </c>
      <c r="B17" s="1106">
        <f>+'[7]โอนเปลี่ยนแปลง '!C8</f>
        <v>2678098300</v>
      </c>
      <c r="C17" s="1106">
        <f>+'[7]โอนเปลี่ยนแปลง '!D8</f>
        <v>114177200</v>
      </c>
      <c r="D17" s="1106">
        <f>+'[7]โอนเปลี่ยนแปลง '!E8</f>
        <v>0</v>
      </c>
      <c r="E17" s="1106">
        <f>+'[7]โอนเปลี่ยนแปลง '!F8</f>
        <v>2792275500</v>
      </c>
      <c r="F17" s="1345">
        <f>[7]คีย์ข้อมูล!H9</f>
        <v>2850722786.2800002</v>
      </c>
      <c r="G17" s="1345">
        <f t="shared" si="6"/>
        <v>102.09317763522976</v>
      </c>
      <c r="H17" s="1345">
        <f>[7]คีย์ข้อมูล!G9</f>
        <v>0</v>
      </c>
      <c r="I17" s="1106">
        <f t="shared" si="7"/>
        <v>0</v>
      </c>
      <c r="J17" s="1345">
        <f>+F17+H17</f>
        <v>2850722786.2800002</v>
      </c>
      <c r="K17" s="1106">
        <f t="shared" si="5"/>
        <v>102.09317763522976</v>
      </c>
      <c r="L17" s="1106"/>
      <c r="M17" s="1106"/>
      <c r="N17" s="1106">
        <f t="shared" si="2"/>
        <v>2850722786.2800002</v>
      </c>
      <c r="O17" s="1106">
        <f>N17/E17*100</f>
        <v>102.09317763522976</v>
      </c>
      <c r="P17" s="1106">
        <f t="shared" si="1"/>
        <v>-58447286.28000021</v>
      </c>
    </row>
    <row r="18" spans="1:80" s="1852" customFormat="1" ht="30.75" customHeight="1">
      <c r="A18" s="1866" t="s">
        <v>1</v>
      </c>
      <c r="B18" s="1106">
        <f>+'[7]โอนเปลี่ยนแปลง '!C9</f>
        <v>264340900</v>
      </c>
      <c r="C18" s="1106">
        <f>+'[7]โอนเปลี่ยนแปลง '!D9</f>
        <v>10535600</v>
      </c>
      <c r="D18" s="1106">
        <f>+'[7]โอนเปลี่ยนแปลง '!E9</f>
        <v>0</v>
      </c>
      <c r="E18" s="1106">
        <f>+'[7]โอนเปลี่ยนแปลง '!F9</f>
        <v>274876500</v>
      </c>
      <c r="F18" s="1345">
        <f>[7]คีย์ข้อมูล!H10</f>
        <v>252572280.02000001</v>
      </c>
      <c r="G18" s="1345">
        <f t="shared" si="6"/>
        <v>91.88573050806454</v>
      </c>
      <c r="H18" s="1345">
        <f>[7]คีย์ข้อมูล!G10</f>
        <v>0</v>
      </c>
      <c r="I18" s="2447">
        <f>H18/E18*100</f>
        <v>0</v>
      </c>
      <c r="J18" s="1345">
        <f>H18+F18</f>
        <v>252572280.02000001</v>
      </c>
      <c r="K18" s="1106">
        <f t="shared" si="5"/>
        <v>91.88573050806454</v>
      </c>
      <c r="L18" s="1106"/>
      <c r="M18" s="1106"/>
      <c r="N18" s="1106">
        <f t="shared" si="2"/>
        <v>252572280.02000001</v>
      </c>
      <c r="O18" s="1106">
        <f t="shared" si="3"/>
        <v>91.88573050806454</v>
      </c>
      <c r="P18" s="1106">
        <f t="shared" si="1"/>
        <v>22304219.979999989</v>
      </c>
    </row>
    <row r="19" spans="1:80" s="1852" customFormat="1" ht="30" hidden="1" customHeight="1">
      <c r="A19" s="1866" t="s">
        <v>7</v>
      </c>
      <c r="B19" s="1106">
        <f>+'[7]โอนเปลี่ยนแปลง '!C12</f>
        <v>0</v>
      </c>
      <c r="C19" s="1106">
        <f>+'[7]โอนเปลี่ยนแปลง '!D12</f>
        <v>0</v>
      </c>
      <c r="D19" s="1106">
        <f>+'[7]โอนเปลี่ยนแปลง '!E12</f>
        <v>0</v>
      </c>
      <c r="E19" s="1106">
        <f>+'[7]โอนเปลี่ยนแปลง '!F12</f>
        <v>0</v>
      </c>
      <c r="F19" s="1345">
        <f>[7]คีย์ข้อมูล!G13</f>
        <v>0</v>
      </c>
      <c r="G19" s="1345">
        <v>0</v>
      </c>
      <c r="H19" s="1345">
        <f>[7]คีย์ข้อมูล!G13</f>
        <v>0</v>
      </c>
      <c r="I19" s="1106">
        <v>0</v>
      </c>
      <c r="J19" s="1345">
        <f>H19+F19</f>
        <v>0</v>
      </c>
      <c r="K19" s="1106">
        <v>0</v>
      </c>
      <c r="L19" s="1106"/>
      <c r="M19" s="1106"/>
      <c r="N19" s="1104">
        <f t="shared" si="2"/>
        <v>0</v>
      </c>
      <c r="O19" s="1104" t="e">
        <f t="shared" si="3"/>
        <v>#DIV/0!</v>
      </c>
      <c r="P19" s="1104">
        <f t="shared" ref="P19:P53" si="8">E19-N19</f>
        <v>0</v>
      </c>
    </row>
    <row r="20" spans="1:80" s="1852" customFormat="1" ht="30" hidden="1" customHeight="1">
      <c r="A20" s="1866" t="s">
        <v>5</v>
      </c>
      <c r="B20" s="1106">
        <f>+'[7]โอนเปลี่ยนแปลง '!C15</f>
        <v>0</v>
      </c>
      <c r="C20" s="1106">
        <f>+'[7]โอนเปลี่ยนแปลง '!D15</f>
        <v>0</v>
      </c>
      <c r="D20" s="1106">
        <f>+'[7]โอนเปลี่ยนแปลง '!E15</f>
        <v>0</v>
      </c>
      <c r="E20" s="1106">
        <f>+'[7]โอนเปลี่ยนแปลง '!F15</f>
        <v>0</v>
      </c>
      <c r="F20" s="1345">
        <f>[7]คีย์ข้อมูล!G16</f>
        <v>0</v>
      </c>
      <c r="G20" s="1345">
        <v>0</v>
      </c>
      <c r="H20" s="1345">
        <f>[7]คีย์ข้อมูล!G16</f>
        <v>0</v>
      </c>
      <c r="I20" s="1106">
        <v>0</v>
      </c>
      <c r="J20" s="1345">
        <f>H20+F20</f>
        <v>0</v>
      </c>
      <c r="K20" s="1106">
        <v>0</v>
      </c>
      <c r="L20" s="1106"/>
      <c r="M20" s="1106"/>
      <c r="N20" s="1104">
        <f t="shared" si="2"/>
        <v>0</v>
      </c>
      <c r="O20" s="1104" t="e">
        <f t="shared" si="3"/>
        <v>#DIV/0!</v>
      </c>
      <c r="P20" s="1104">
        <f t="shared" si="8"/>
        <v>0</v>
      </c>
    </row>
    <row r="21" spans="1:80" s="1848" customFormat="1" ht="30" customHeight="1">
      <c r="A21" s="1860" t="s">
        <v>1244</v>
      </c>
      <c r="B21" s="1107">
        <f>+'[7]โอนเปลี่ยนแปลง '!C16</f>
        <v>1654898500</v>
      </c>
      <c r="C21" s="1107">
        <f>+'[7]โอนเปลี่ยนแปลง '!D16</f>
        <v>0</v>
      </c>
      <c r="D21" s="1107">
        <f>+'[7]โอนเปลี่ยนแปลง '!E16</f>
        <v>0</v>
      </c>
      <c r="E21" s="1107">
        <f>+'[7]โอนเปลี่ยนแปลง '!F16</f>
        <v>1654898500</v>
      </c>
      <c r="F21" s="1108">
        <f>F22+F26+F31</f>
        <v>1091470004.6500001</v>
      </c>
      <c r="G21" s="1108">
        <f>+F21*100/E21</f>
        <v>65.953894130062977</v>
      </c>
      <c r="H21" s="1108">
        <f>H22+H26+H31</f>
        <v>193219850.05000001</v>
      </c>
      <c r="I21" s="1107">
        <f>H21/E21*100</f>
        <v>11.675631469241166</v>
      </c>
      <c r="J21" s="1108">
        <f>+J22+J26+J31</f>
        <v>1284689854.6999998</v>
      </c>
      <c r="K21" s="1107">
        <f>+J21*100/E21</f>
        <v>77.629525599304117</v>
      </c>
      <c r="L21" s="1107">
        <f>+L22</f>
        <v>0</v>
      </c>
      <c r="M21" s="1107">
        <f>L21/E21*100</f>
        <v>0</v>
      </c>
      <c r="N21" s="1107">
        <f t="shared" si="2"/>
        <v>1284689854.6999998</v>
      </c>
      <c r="O21" s="1107">
        <f t="shared" si="3"/>
        <v>77.629525599304117</v>
      </c>
      <c r="P21" s="1107">
        <f>E21-J21</f>
        <v>370208645.30000019</v>
      </c>
    </row>
    <row r="22" spans="1:80" s="1852" customFormat="1" ht="51" customHeight="1">
      <c r="A22" s="1859" t="str">
        <f>'[7]โอนเปลี่ยนแปลง '!B17</f>
        <v>ผลผลิต การจัดการฐานข้อมูลเพื่อการพัฒนาชุมชน (15004360004002000000)</v>
      </c>
      <c r="B22" s="1109">
        <f>'[7]โอนเปลี่ยนแปลง '!C17</f>
        <v>444978100</v>
      </c>
      <c r="C22" s="1109">
        <f>+'[7]โอนเปลี่ยนแปลง '!D17</f>
        <v>0</v>
      </c>
      <c r="D22" s="1109">
        <f>+'[7]โอนเปลี่ยนแปลง '!E17</f>
        <v>0</v>
      </c>
      <c r="E22" s="1109">
        <f>+'[7]โอนเปลี่ยนแปลง '!F17</f>
        <v>444978100</v>
      </c>
      <c r="F22" s="1110">
        <f>SUM(F23:F25)</f>
        <v>325161706.02999997</v>
      </c>
      <c r="G22" s="1110">
        <f>+F22*100/E22</f>
        <v>73.073642507350357</v>
      </c>
      <c r="H22" s="1110">
        <f>SUM(H23:H25)</f>
        <v>2396200</v>
      </c>
      <c r="I22" s="1109">
        <f t="shared" ref="I22:I45" si="9">H22/E22*100</f>
        <v>0.53849841149485778</v>
      </c>
      <c r="J22" s="1110">
        <f>SUM(J23:J25)</f>
        <v>327557906.02999997</v>
      </c>
      <c r="K22" s="1109">
        <f>+J22*100/E22</f>
        <v>73.612140918845213</v>
      </c>
      <c r="L22" s="1109">
        <f>SUM(L23:L25)</f>
        <v>0</v>
      </c>
      <c r="M22" s="1109">
        <f>L22/E22*100</f>
        <v>0</v>
      </c>
      <c r="N22" s="1109">
        <f t="shared" si="2"/>
        <v>327557906.02999997</v>
      </c>
      <c r="O22" s="1109">
        <f t="shared" si="3"/>
        <v>73.612140918845213</v>
      </c>
      <c r="P22" s="1109">
        <f>E22-J22</f>
        <v>117420193.97000003</v>
      </c>
    </row>
    <row r="23" spans="1:80" s="1852" customFormat="1" ht="29.25" customHeight="1">
      <c r="A23" s="1866" t="s">
        <v>5422</v>
      </c>
      <c r="B23" s="1106">
        <f>'[7]โอนเปลี่ยนแปลง '!C19</f>
        <v>444978100</v>
      </c>
      <c r="C23" s="1106">
        <f>'[7]โอนเปลี่ยนแปลง '!D19</f>
        <v>0</v>
      </c>
      <c r="D23" s="1106">
        <f>+'[7]โอนเปลี่ยนแปลง '!E19</f>
        <v>0</v>
      </c>
      <c r="E23" s="1106">
        <f>+'[7]โอนเปลี่ยนแปลง '!F19</f>
        <v>444978100</v>
      </c>
      <c r="F23" s="1345">
        <f>[7]คีย์ข้อมูล!H20</f>
        <v>325161706.02999997</v>
      </c>
      <c r="G23" s="1345">
        <f>F23/E23*100</f>
        <v>73.073642507350357</v>
      </c>
      <c r="H23" s="1345">
        <f>[7]คีย์ข้อมูล!G20</f>
        <v>2396200</v>
      </c>
      <c r="I23" s="1106">
        <f t="shared" si="9"/>
        <v>0.53849841149485778</v>
      </c>
      <c r="J23" s="1345">
        <f>H23+F23</f>
        <v>327557906.02999997</v>
      </c>
      <c r="K23" s="1106">
        <f>+J23*100/E23</f>
        <v>73.612140918845213</v>
      </c>
      <c r="L23" s="1106"/>
      <c r="M23" s="1106"/>
      <c r="N23" s="1106">
        <f t="shared" si="2"/>
        <v>327557906.02999997</v>
      </c>
      <c r="O23" s="1106">
        <f t="shared" si="3"/>
        <v>73.612140918845213</v>
      </c>
      <c r="P23" s="1106">
        <f>E23-J23</f>
        <v>117420193.97000003</v>
      </c>
    </row>
    <row r="24" spans="1:80" s="1852" customFormat="1" ht="31.5" hidden="1" customHeight="1">
      <c r="A24" s="1866" t="s">
        <v>7</v>
      </c>
      <c r="B24" s="1106">
        <f>'[7]โอนเปลี่ยนแปลง '!C23</f>
        <v>0</v>
      </c>
      <c r="C24" s="1106">
        <f>'[7]โอนเปลี่ยนแปลง '!D23</f>
        <v>0</v>
      </c>
      <c r="D24" s="1106">
        <f>+'[7]โอนเปลี่ยนแปลง '!E23</f>
        <v>0</v>
      </c>
      <c r="E24" s="1106">
        <f>+'[7]โอนเปลี่ยนแปลง '!F23</f>
        <v>0</v>
      </c>
      <c r="F24" s="1345">
        <f>[7]คีย์ข้อมูล!H24</f>
        <v>0</v>
      </c>
      <c r="G24" s="1345">
        <v>0</v>
      </c>
      <c r="H24" s="1345">
        <f>[7]คีย์ข้อมูล!G24</f>
        <v>0</v>
      </c>
      <c r="I24" s="1106">
        <v>0</v>
      </c>
      <c r="J24" s="1345">
        <f>H24+F24</f>
        <v>0</v>
      </c>
      <c r="K24" s="1106">
        <v>0</v>
      </c>
      <c r="L24" s="1106">
        <f>[7]คีย์ข้อมูล!I24</f>
        <v>0</v>
      </c>
      <c r="M24" s="1106" t="e">
        <f>L24/E24/100</f>
        <v>#DIV/0!</v>
      </c>
      <c r="N24" s="1106">
        <f t="shared" si="2"/>
        <v>0</v>
      </c>
      <c r="O24" s="1106">
        <v>0</v>
      </c>
      <c r="P24" s="1106">
        <f t="shared" si="8"/>
        <v>0</v>
      </c>
    </row>
    <row r="25" spans="1:80" s="1852" customFormat="1" ht="33" hidden="1" customHeight="1">
      <c r="A25" s="1866" t="s">
        <v>5</v>
      </c>
      <c r="B25" s="1106">
        <f>+'[7]โอนเปลี่ยนแปลง '!C26</f>
        <v>0</v>
      </c>
      <c r="C25" s="1106">
        <f>'[7]โอนเปลี่ยนแปลง '!D26</f>
        <v>0</v>
      </c>
      <c r="D25" s="1106">
        <f>+'[7]โอนเปลี่ยนแปลง '!E26</f>
        <v>0</v>
      </c>
      <c r="E25" s="1106">
        <f>+'[7]โอนเปลี่ยนแปลง '!F26</f>
        <v>0</v>
      </c>
      <c r="F25" s="1345">
        <f>[7]คีย์ข้อมูล!H27</f>
        <v>0</v>
      </c>
      <c r="G25" s="1345">
        <v>0</v>
      </c>
      <c r="H25" s="1345">
        <f>[7]คีย์ข้อมูล!G27</f>
        <v>0</v>
      </c>
      <c r="I25" s="1106">
        <v>0</v>
      </c>
      <c r="J25" s="1345">
        <f>H25+F25</f>
        <v>0</v>
      </c>
      <c r="K25" s="1106">
        <v>0</v>
      </c>
      <c r="L25" s="1106"/>
      <c r="M25" s="1106"/>
      <c r="N25" s="1106">
        <f t="shared" si="2"/>
        <v>0</v>
      </c>
      <c r="O25" s="1106">
        <v>0</v>
      </c>
      <c r="P25" s="1106">
        <f t="shared" si="8"/>
        <v>0</v>
      </c>
    </row>
    <row r="26" spans="1:80" s="1861" customFormat="1" ht="51" customHeight="1">
      <c r="A26" s="1859" t="str">
        <f>'[7]โอนเปลี่ยนแปลง '!B27</f>
        <v>ผลผลิตเสริมสร้างขีดความสามารถในการบริหารจัดการชุมชน(15004360001002000000)</v>
      </c>
      <c r="B26" s="1109">
        <f>'[7]โอนเปลี่ยนแปลง '!C27</f>
        <v>601648300</v>
      </c>
      <c r="C26" s="1109">
        <f>C27+C29+C30</f>
        <v>0</v>
      </c>
      <c r="D26" s="1109" t="e">
        <f>+'[7]โอนเปลี่ยนแปลง '!#REF!</f>
        <v>#REF!</v>
      </c>
      <c r="E26" s="1109">
        <f>'[7]โอนเปลี่ยนแปลง '!F27</f>
        <v>601648300</v>
      </c>
      <c r="F26" s="1110">
        <f>SUM(F27:F30)</f>
        <v>335847902.53999996</v>
      </c>
      <c r="G26" s="1110">
        <f>+F26*100/E26</f>
        <v>55.821300008659534</v>
      </c>
      <c r="H26" s="1110">
        <f>H27+H29+H28</f>
        <v>158703315.87</v>
      </c>
      <c r="I26" s="1109">
        <f>H26/E26*100</f>
        <v>26.378087641899761</v>
      </c>
      <c r="J26" s="1110">
        <f>SUM(J27:J30)</f>
        <v>494551218.40999997</v>
      </c>
      <c r="K26" s="1109">
        <f>+J26*100/E26</f>
        <v>82.199387650559302</v>
      </c>
      <c r="L26" s="1109">
        <f>SUM(L27:L29)</f>
        <v>0</v>
      </c>
      <c r="M26" s="1109">
        <f>L26/E26*100</f>
        <v>0</v>
      </c>
      <c r="N26" s="1109">
        <f t="shared" si="2"/>
        <v>494551218.40999997</v>
      </c>
      <c r="O26" s="1109">
        <f t="shared" si="3"/>
        <v>82.199387650559302</v>
      </c>
      <c r="P26" s="1109">
        <f>E26-J26</f>
        <v>107097081.59000003</v>
      </c>
      <c r="Q26" s="1852"/>
      <c r="R26" s="1852"/>
      <c r="S26" s="1852"/>
      <c r="T26" s="1852"/>
      <c r="U26" s="1852"/>
      <c r="V26" s="1852"/>
      <c r="W26" s="1852"/>
      <c r="X26" s="1852"/>
      <c r="Y26" s="1852"/>
      <c r="Z26" s="1852"/>
      <c r="AA26" s="1852"/>
      <c r="AB26" s="1852"/>
      <c r="AC26" s="1852"/>
      <c r="AD26" s="1852"/>
      <c r="AE26" s="1852"/>
      <c r="AF26" s="1852"/>
      <c r="AG26" s="1852"/>
      <c r="AH26" s="1852"/>
      <c r="AI26" s="1852"/>
      <c r="AJ26" s="1852"/>
      <c r="AK26" s="1852"/>
      <c r="AL26" s="1852"/>
      <c r="AM26" s="1852"/>
      <c r="AN26" s="1852"/>
      <c r="AO26" s="1852"/>
      <c r="AP26" s="1852"/>
      <c r="AQ26" s="1852"/>
      <c r="AR26" s="1852"/>
      <c r="AS26" s="1852"/>
      <c r="AT26" s="1852"/>
      <c r="AU26" s="1852"/>
      <c r="AV26" s="1852"/>
      <c r="AW26" s="1852"/>
      <c r="AX26" s="1852"/>
      <c r="AY26" s="1852"/>
      <c r="AZ26" s="1852"/>
      <c r="BA26" s="1852"/>
      <c r="BB26" s="1852"/>
      <c r="BC26" s="1852"/>
      <c r="BD26" s="1852"/>
      <c r="BE26" s="1852"/>
      <c r="BF26" s="1852"/>
      <c r="BG26" s="1852"/>
      <c r="BH26" s="1852"/>
      <c r="BI26" s="1852"/>
      <c r="BJ26" s="1852"/>
      <c r="BK26" s="1852"/>
      <c r="BL26" s="1852"/>
      <c r="BM26" s="1852"/>
      <c r="BN26" s="1852"/>
      <c r="BO26" s="1852"/>
      <c r="BP26" s="1852"/>
      <c r="BQ26" s="1852"/>
      <c r="BR26" s="1852"/>
      <c r="BS26" s="1852"/>
      <c r="BT26" s="1852"/>
      <c r="BU26" s="1852"/>
      <c r="BV26" s="1852"/>
      <c r="BW26" s="1852"/>
      <c r="BX26" s="1852"/>
      <c r="BY26" s="1852"/>
      <c r="BZ26" s="1852"/>
      <c r="CA26" s="1852"/>
      <c r="CB26" s="1852"/>
    </row>
    <row r="27" spans="1:80" s="2453" customFormat="1" ht="29.25" customHeight="1">
      <c r="A27" s="2448" t="s">
        <v>1</v>
      </c>
      <c r="B27" s="2449">
        <f>'[7]โอนเปลี่ยนแปลง '!C30</f>
        <v>347372300</v>
      </c>
      <c r="C27" s="2449">
        <f>'[7]โอนเปลี่ยนแปลง '!D29</f>
        <v>-132500</v>
      </c>
      <c r="D27" s="2449" t="e">
        <f>+'[7]โอนเปลี่ยนแปลง '!#REF!</f>
        <v>#REF!</v>
      </c>
      <c r="E27" s="2449">
        <f>B27+C27</f>
        <v>347239800</v>
      </c>
      <c r="F27" s="2450">
        <f>[7]คีย์ข้อมูล!H31+[7]คีย์ข้อมูล!H32+[7]คีย์ข้อมูล!H33</f>
        <v>320001403.53999996</v>
      </c>
      <c r="G27" s="2450">
        <f>F27/E27*100</f>
        <v>92.155738927392534</v>
      </c>
      <c r="H27" s="2450">
        <f>[7]คีย์ข้อมูล!G31+[7]คีย์ข้อมูล!G32+[7]คีย์ข้อมูล!G33</f>
        <v>6002833.8700000001</v>
      </c>
      <c r="I27" s="2449">
        <f>H27/E27*100</f>
        <v>1.7287286394013588</v>
      </c>
      <c r="J27" s="2450">
        <f>H27+F27</f>
        <v>326004237.40999997</v>
      </c>
      <c r="K27" s="2449">
        <f>+J27*100/E27</f>
        <v>93.884467566793887</v>
      </c>
      <c r="L27" s="2449"/>
      <c r="M27" s="2449">
        <f>L27/E27*100</f>
        <v>0</v>
      </c>
      <c r="N27" s="2449">
        <f t="shared" si="2"/>
        <v>326004237.40999997</v>
      </c>
      <c r="O27" s="2449">
        <f t="shared" si="3"/>
        <v>93.884467566793887</v>
      </c>
      <c r="P27" s="2449">
        <f>E27-J27</f>
        <v>21235562.590000033</v>
      </c>
      <c r="Q27" s="2451"/>
      <c r="R27" s="2452"/>
      <c r="S27" s="2452"/>
      <c r="T27" s="2452"/>
      <c r="U27" s="2452"/>
      <c r="V27" s="2452"/>
      <c r="W27" s="2452"/>
      <c r="X27" s="2452"/>
      <c r="Y27" s="2452"/>
      <c r="Z27" s="2452"/>
      <c r="AA27" s="2452"/>
      <c r="AB27" s="2452"/>
      <c r="AC27" s="2452"/>
      <c r="AD27" s="2452"/>
      <c r="AE27" s="2452"/>
      <c r="AF27" s="2452"/>
      <c r="AG27" s="2452"/>
      <c r="AH27" s="2452"/>
      <c r="AI27" s="2452"/>
      <c r="AJ27" s="2452"/>
      <c r="AK27" s="2452"/>
      <c r="AL27" s="2452"/>
      <c r="AM27" s="2452"/>
      <c r="AN27" s="2452"/>
      <c r="AO27" s="2452"/>
      <c r="AP27" s="2452"/>
      <c r="AQ27" s="2452"/>
      <c r="AR27" s="2452"/>
      <c r="AS27" s="2452"/>
      <c r="AT27" s="2452"/>
      <c r="AU27" s="2452"/>
      <c r="AV27" s="2452"/>
      <c r="AW27" s="2452"/>
      <c r="AX27" s="2452"/>
      <c r="AY27" s="2452"/>
      <c r="AZ27" s="2452"/>
      <c r="BA27" s="2452"/>
      <c r="BB27" s="2452"/>
      <c r="BC27" s="2452"/>
      <c r="BD27" s="2452"/>
      <c r="BE27" s="2452"/>
      <c r="BF27" s="2452"/>
      <c r="BG27" s="2452"/>
      <c r="BH27" s="2452"/>
      <c r="BI27" s="2452"/>
      <c r="BJ27" s="2452"/>
      <c r="BK27" s="2452"/>
      <c r="BL27" s="2452"/>
      <c r="BM27" s="2452"/>
      <c r="BN27" s="2452"/>
      <c r="BO27" s="2452"/>
      <c r="BP27" s="2452"/>
      <c r="BQ27" s="2452"/>
      <c r="BR27" s="2452"/>
      <c r="BS27" s="2452"/>
      <c r="BT27" s="2452"/>
      <c r="BU27" s="2452"/>
      <c r="BV27" s="2452"/>
      <c r="BW27" s="2452"/>
      <c r="BX27" s="2452"/>
      <c r="BY27" s="2452"/>
      <c r="BZ27" s="2452"/>
      <c r="CA27" s="2452"/>
      <c r="CB27" s="2452"/>
    </row>
    <row r="28" spans="1:80" s="1861" customFormat="1" ht="29.25" hidden="1" customHeight="1">
      <c r="A28" s="1866" t="s">
        <v>5422</v>
      </c>
      <c r="B28" s="1106">
        <f>[7]คีย์ข้อมูล!C34</f>
        <v>0</v>
      </c>
      <c r="C28" s="1106"/>
      <c r="D28" s="1106"/>
      <c r="E28" s="1106">
        <f>C28+B28</f>
        <v>0</v>
      </c>
      <c r="F28" s="1345">
        <f>[7]คีย์ข้อมูล!H34</f>
        <v>0</v>
      </c>
      <c r="G28" s="1345" t="e">
        <f>F28/B28*100</f>
        <v>#DIV/0!</v>
      </c>
      <c r="H28" s="1345">
        <f>[7]คีย์ข้อมูล!G34</f>
        <v>0</v>
      </c>
      <c r="I28" s="1106" t="e">
        <f>H28/B28*100</f>
        <v>#DIV/0!</v>
      </c>
      <c r="J28" s="1345">
        <f>H28+F28</f>
        <v>0</v>
      </c>
      <c r="K28" s="1106" t="e">
        <f>J28/B28*100</f>
        <v>#DIV/0!</v>
      </c>
      <c r="L28" s="1106"/>
      <c r="M28" s="1106"/>
      <c r="N28" s="1106">
        <f t="shared" si="2"/>
        <v>0</v>
      </c>
      <c r="O28" s="1106"/>
      <c r="P28" s="1106">
        <f>B28-J28</f>
        <v>0</v>
      </c>
      <c r="Q28" s="1862"/>
      <c r="R28" s="1852"/>
      <c r="S28" s="1852"/>
      <c r="T28" s="1852"/>
      <c r="U28" s="1852"/>
      <c r="V28" s="1852"/>
      <c r="W28" s="1852"/>
      <c r="X28" s="1852"/>
      <c r="Y28" s="1852"/>
      <c r="Z28" s="1852"/>
      <c r="AA28" s="1852"/>
      <c r="AB28" s="1852"/>
      <c r="AC28" s="1852"/>
      <c r="AD28" s="1852"/>
      <c r="AE28" s="1852"/>
      <c r="AF28" s="1852"/>
      <c r="AG28" s="1852"/>
      <c r="AH28" s="1852"/>
      <c r="AI28" s="1852"/>
      <c r="AJ28" s="1852"/>
      <c r="AK28" s="1852"/>
      <c r="AL28" s="1852"/>
      <c r="AM28" s="1852"/>
      <c r="AN28" s="1852"/>
      <c r="AO28" s="1852"/>
      <c r="AP28" s="1852"/>
      <c r="AQ28" s="1852"/>
      <c r="AR28" s="1852"/>
      <c r="AS28" s="1852"/>
      <c r="AT28" s="1852"/>
      <c r="AU28" s="1852"/>
      <c r="AV28" s="1852"/>
      <c r="AW28" s="1852"/>
      <c r="AX28" s="1852"/>
      <c r="AY28" s="1852"/>
      <c r="AZ28" s="1852"/>
      <c r="BA28" s="1852"/>
      <c r="BB28" s="1852"/>
      <c r="BC28" s="1852"/>
      <c r="BD28" s="1852"/>
      <c r="BE28" s="1852"/>
      <c r="BF28" s="1852"/>
      <c r="BG28" s="1852"/>
      <c r="BH28" s="1852"/>
      <c r="BI28" s="1852"/>
      <c r="BJ28" s="1852"/>
      <c r="BK28" s="1852"/>
      <c r="BL28" s="1852"/>
      <c r="BM28" s="1852"/>
      <c r="BN28" s="1852"/>
      <c r="BO28" s="1852"/>
      <c r="BP28" s="1852"/>
      <c r="BQ28" s="1852"/>
      <c r="BR28" s="1852"/>
      <c r="BS28" s="1852"/>
      <c r="BT28" s="1852"/>
      <c r="BU28" s="1852"/>
      <c r="BV28" s="1852"/>
      <c r="BW28" s="1852"/>
      <c r="BX28" s="1852"/>
      <c r="BY28" s="1852"/>
      <c r="BZ28" s="1852"/>
      <c r="CA28" s="1852"/>
      <c r="CB28" s="1852"/>
    </row>
    <row r="29" spans="1:80" s="1863" customFormat="1" ht="29.25" customHeight="1">
      <c r="A29" s="1866" t="s">
        <v>7</v>
      </c>
      <c r="B29" s="1106">
        <f>'[7]โอนเปลี่ยนแปลง '!C34</f>
        <v>254276000</v>
      </c>
      <c r="C29" s="1106">
        <f>'[7]โอนเปลี่ยนแปลง '!D34</f>
        <v>53500</v>
      </c>
      <c r="D29" s="1106" t="e">
        <f>+'[7]โอนเปลี่ยนแปลง '!#REF!</f>
        <v>#REF!</v>
      </c>
      <c r="E29" s="1106">
        <f>B29+C29</f>
        <v>254329500</v>
      </c>
      <c r="F29" s="1345">
        <f>[7]คีย์ข้อมูล!H35</f>
        <v>15767499</v>
      </c>
      <c r="G29" s="1345">
        <f>F29/E29*100</f>
        <v>6.1996343326275554</v>
      </c>
      <c r="H29" s="1345">
        <f>[7]คีย์ข้อมูล!G35</f>
        <v>152700482</v>
      </c>
      <c r="I29" s="1106">
        <f>H29/E29*100</f>
        <v>60.040412928897361</v>
      </c>
      <c r="J29" s="1345">
        <f>H29+F29</f>
        <v>168467981</v>
      </c>
      <c r="K29" s="1106">
        <f>J29/E29*100</f>
        <v>66.240047261524921</v>
      </c>
      <c r="L29" s="1106"/>
      <c r="M29" s="1106">
        <v>0</v>
      </c>
      <c r="N29" s="1106">
        <f t="shared" si="2"/>
        <v>168467981</v>
      </c>
      <c r="O29" s="1106">
        <v>0</v>
      </c>
      <c r="P29" s="1106">
        <f>E29-J29</f>
        <v>85861519</v>
      </c>
      <c r="Q29" s="1862"/>
      <c r="R29" s="1852"/>
      <c r="S29" s="1852"/>
      <c r="T29" s="1852"/>
      <c r="U29" s="1852"/>
      <c r="V29" s="1852"/>
      <c r="W29" s="1852"/>
      <c r="X29" s="1852"/>
      <c r="Y29" s="1852"/>
      <c r="Z29" s="1852"/>
      <c r="AA29" s="1852"/>
      <c r="AB29" s="1852"/>
      <c r="AC29" s="1852"/>
      <c r="AD29" s="1852"/>
      <c r="AE29" s="1852"/>
      <c r="AF29" s="1852"/>
      <c r="AG29" s="1852"/>
      <c r="AH29" s="1852"/>
      <c r="AI29" s="1852"/>
      <c r="AJ29" s="1852"/>
      <c r="AK29" s="1852"/>
      <c r="AL29" s="1852"/>
      <c r="AM29" s="1852"/>
      <c r="AN29" s="1852"/>
      <c r="AO29" s="1852"/>
      <c r="AP29" s="1852"/>
      <c r="AQ29" s="1852"/>
      <c r="AR29" s="1852"/>
      <c r="AS29" s="1852"/>
      <c r="AT29" s="1852"/>
      <c r="AU29" s="1852"/>
      <c r="AV29" s="1852"/>
      <c r="AW29" s="1852"/>
      <c r="AX29" s="1852"/>
      <c r="AY29" s="1852"/>
      <c r="AZ29" s="1852"/>
      <c r="BA29" s="1852"/>
      <c r="BB29" s="1852"/>
      <c r="BC29" s="1852"/>
      <c r="BD29" s="1852"/>
      <c r="BE29" s="1852"/>
      <c r="BF29" s="1852"/>
      <c r="BG29" s="1852"/>
      <c r="BH29" s="1852"/>
      <c r="BI29" s="1852"/>
      <c r="BJ29" s="1852"/>
      <c r="BK29" s="1852"/>
      <c r="BL29" s="1852"/>
      <c r="BM29" s="1852"/>
      <c r="BN29" s="1852"/>
      <c r="BO29" s="1852"/>
      <c r="BP29" s="1852"/>
      <c r="BQ29" s="1852"/>
      <c r="BR29" s="1852"/>
      <c r="BS29" s="1852"/>
      <c r="BT29" s="1852"/>
      <c r="BU29" s="1852"/>
      <c r="BV29" s="1852"/>
      <c r="BW29" s="1852"/>
      <c r="BX29" s="1852"/>
      <c r="BY29" s="1852"/>
      <c r="BZ29" s="1852"/>
      <c r="CA29" s="1852"/>
      <c r="CB29" s="1852"/>
    </row>
    <row r="30" spans="1:80" s="1864" customFormat="1" ht="29.25" customHeight="1">
      <c r="A30" s="1866" t="s">
        <v>5</v>
      </c>
      <c r="B30" s="1106"/>
      <c r="C30" s="1106">
        <f>'[7]โอนเปลี่ยนแปลง '!D37</f>
        <v>79000</v>
      </c>
      <c r="D30" s="1106">
        <f>'[7]โอนเปลี่ยนแปลง '!E37</f>
        <v>0</v>
      </c>
      <c r="E30" s="1106">
        <f>C30+B30</f>
        <v>79000</v>
      </c>
      <c r="F30" s="1345">
        <f>[7]คีย์ข้อมูล!H38</f>
        <v>79000</v>
      </c>
      <c r="G30" s="1345">
        <f>F30/E30*100</f>
        <v>100</v>
      </c>
      <c r="H30" s="1345">
        <f>[7]คีย์ข้อมูล!G38</f>
        <v>0</v>
      </c>
      <c r="I30" s="1106">
        <f>H30/E30*100</f>
        <v>0</v>
      </c>
      <c r="J30" s="1345">
        <f>H30+F30</f>
        <v>79000</v>
      </c>
      <c r="K30" s="1106">
        <f>J30/E30*100</f>
        <v>100</v>
      </c>
      <c r="L30" s="1106"/>
      <c r="M30" s="1106"/>
      <c r="N30" s="1106">
        <f t="shared" si="2"/>
        <v>79000</v>
      </c>
      <c r="O30" s="1106">
        <v>0</v>
      </c>
      <c r="P30" s="1106">
        <f>E30-J30</f>
        <v>0</v>
      </c>
      <c r="Q30" s="1862"/>
      <c r="R30" s="1852"/>
      <c r="S30" s="1852"/>
      <c r="T30" s="1852"/>
      <c r="U30" s="1852"/>
      <c r="V30" s="1852"/>
      <c r="W30" s="1852"/>
      <c r="X30" s="1852"/>
      <c r="Y30" s="1852"/>
      <c r="Z30" s="1852"/>
      <c r="AA30" s="1852"/>
      <c r="AB30" s="1852"/>
      <c r="AC30" s="1852"/>
      <c r="AD30" s="1852"/>
      <c r="AE30" s="1852"/>
      <c r="AF30" s="1852"/>
      <c r="AG30" s="1852"/>
      <c r="AH30" s="1852"/>
      <c r="AI30" s="1852"/>
      <c r="AJ30" s="1852"/>
      <c r="AK30" s="1852"/>
      <c r="AL30" s="1852"/>
      <c r="AM30" s="1852"/>
      <c r="AN30" s="1852"/>
      <c r="AO30" s="1852"/>
      <c r="AP30" s="1852"/>
      <c r="AQ30" s="1852"/>
      <c r="AR30" s="1852"/>
      <c r="AS30" s="1852"/>
      <c r="AT30" s="1852"/>
      <c r="AU30" s="1852"/>
      <c r="AV30" s="1852"/>
      <c r="AW30" s="1852"/>
      <c r="AX30" s="1852"/>
      <c r="AY30" s="1852"/>
      <c r="AZ30" s="1852"/>
      <c r="BA30" s="1852"/>
      <c r="BB30" s="1852"/>
      <c r="BC30" s="1852"/>
      <c r="BD30" s="1852"/>
      <c r="BE30" s="1852"/>
      <c r="BF30" s="1852"/>
      <c r="BG30" s="1852"/>
      <c r="BH30" s="1852"/>
      <c r="BI30" s="1852"/>
      <c r="BJ30" s="1852"/>
      <c r="BK30" s="1852"/>
      <c r="BL30" s="1852"/>
      <c r="BM30" s="1852"/>
      <c r="BN30" s="1852"/>
      <c r="BO30" s="1852"/>
      <c r="BP30" s="1852"/>
      <c r="BQ30" s="1852"/>
      <c r="BR30" s="1852"/>
      <c r="BS30" s="1852"/>
      <c r="BT30" s="1852"/>
      <c r="BU30" s="1852"/>
      <c r="BV30" s="1852"/>
      <c r="BW30" s="1852"/>
      <c r="BX30" s="1852"/>
      <c r="BY30" s="1852"/>
      <c r="BZ30" s="1852"/>
      <c r="CA30" s="1852"/>
      <c r="CB30" s="1852"/>
    </row>
    <row r="31" spans="1:80" s="1861" customFormat="1" ht="51" customHeight="1">
      <c r="A31" s="1859" t="str">
        <f>'[7]โอนเปลี่ยนแปลง '!B38</f>
        <v>ผลผลิตสร้างความมั่นคงทางอาชีพและรายได้ (15004360005002000000)</v>
      </c>
      <c r="B31" s="1109">
        <f>'[7]โอนเปลี่ยนแปลง '!C38</f>
        <v>608272100</v>
      </c>
      <c r="C31" s="1109">
        <f>'[7]โอนเปลี่ยนแปลง '!D38</f>
        <v>0</v>
      </c>
      <c r="D31" s="1109">
        <f>+'[7]โอนเปลี่ยนแปลง '!E58</f>
        <v>0</v>
      </c>
      <c r="E31" s="1109">
        <f>'[7]โอนเปลี่ยนแปลง '!F38</f>
        <v>608272100</v>
      </c>
      <c r="F31" s="1110">
        <f>SUM(F32:F34)</f>
        <v>430460396.08000004</v>
      </c>
      <c r="G31" s="1110">
        <f>+F31*100/E31</f>
        <v>70.767736360092812</v>
      </c>
      <c r="H31" s="1110">
        <f>SUM(H32:H34)</f>
        <v>32120334.18</v>
      </c>
      <c r="I31" s="1109">
        <f t="shared" si="9"/>
        <v>5.2805864645115239</v>
      </c>
      <c r="J31" s="1110">
        <f>SUM(J32:J34)</f>
        <v>462580730.25999999</v>
      </c>
      <c r="K31" s="1109">
        <f>+J31*100/E31</f>
        <v>76.048322824604313</v>
      </c>
      <c r="L31" s="1109">
        <f>SUM(L32:L34)</f>
        <v>0</v>
      </c>
      <c r="M31" s="1109"/>
      <c r="N31" s="1109">
        <f t="shared" si="2"/>
        <v>462580730.25999999</v>
      </c>
      <c r="O31" s="1109">
        <f t="shared" si="3"/>
        <v>76.048322824604327</v>
      </c>
      <c r="P31" s="1109">
        <f>E31-J31</f>
        <v>145691369.74000001</v>
      </c>
      <c r="Q31" s="1862"/>
      <c r="R31" s="1852"/>
      <c r="S31" s="2442">
        <f>H35+H38+H43+H49</f>
        <v>248288550.5</v>
      </c>
      <c r="T31" s="1852"/>
      <c r="U31" s="1852"/>
      <c r="V31" s="1852"/>
      <c r="W31" s="1852"/>
      <c r="X31" s="1852"/>
      <c r="Y31" s="1852"/>
      <c r="Z31" s="1852"/>
      <c r="AA31" s="1852"/>
      <c r="AB31" s="1852"/>
      <c r="AC31" s="1852"/>
      <c r="AD31" s="1852"/>
      <c r="AE31" s="1852"/>
      <c r="AF31" s="1852"/>
      <c r="AG31" s="1852"/>
      <c r="AH31" s="1852"/>
      <c r="AI31" s="1852"/>
      <c r="AJ31" s="1852"/>
      <c r="AK31" s="1852"/>
      <c r="AL31" s="1852"/>
      <c r="AM31" s="1852"/>
      <c r="AN31" s="1852"/>
      <c r="AO31" s="1852"/>
      <c r="AP31" s="1852"/>
      <c r="AQ31" s="1852"/>
      <c r="AR31" s="1852"/>
      <c r="AS31" s="1852"/>
      <c r="AT31" s="1852"/>
      <c r="AU31" s="1852"/>
      <c r="AV31" s="1852"/>
      <c r="AW31" s="1852"/>
      <c r="AX31" s="1852"/>
      <c r="AY31" s="1852"/>
      <c r="AZ31" s="1852"/>
      <c r="BA31" s="1852"/>
      <c r="BB31" s="1852"/>
      <c r="BC31" s="1852"/>
      <c r="BD31" s="1852"/>
      <c r="BE31" s="1852"/>
      <c r="BF31" s="1852"/>
      <c r="BG31" s="1852"/>
      <c r="BH31" s="1852"/>
      <c r="BI31" s="1852"/>
      <c r="BJ31" s="1852"/>
      <c r="BK31" s="1852"/>
      <c r="BL31" s="1852"/>
      <c r="BM31" s="1852"/>
      <c r="BN31" s="1852"/>
      <c r="BO31" s="1852"/>
      <c r="BP31" s="1852"/>
      <c r="BQ31" s="1852"/>
      <c r="BR31" s="1852"/>
      <c r="BS31" s="1852"/>
      <c r="BT31" s="1852"/>
      <c r="BU31" s="1852"/>
      <c r="BV31" s="1852"/>
      <c r="BW31" s="1852"/>
      <c r="BX31" s="1852"/>
      <c r="BY31" s="1852"/>
      <c r="BZ31" s="1852"/>
      <c r="CA31" s="1852"/>
      <c r="CB31" s="1852"/>
    </row>
    <row r="32" spans="1:80" s="1861" customFormat="1" ht="30.75" customHeight="1">
      <c r="A32" s="1866" t="s">
        <v>1</v>
      </c>
      <c r="B32" s="1106">
        <f>'[7]โอนเปลี่ยนแปลง '!C40</f>
        <v>431151000</v>
      </c>
      <c r="C32" s="1106">
        <f>'[7]โอนเปลี่ยนแปลง '!D40</f>
        <v>-3768556.09</v>
      </c>
      <c r="D32" s="1106">
        <f>+'[7]โอนเปลี่ยนแปลง '!E60</f>
        <v>0</v>
      </c>
      <c r="E32" s="1106">
        <f>'[7]โอนเปลี่ยนแปลง '!F40</f>
        <v>427382443.91000003</v>
      </c>
      <c r="F32" s="1344">
        <f>[7]คีย์ข้อมูล!H41</f>
        <v>395767040.43000001</v>
      </c>
      <c r="G32" s="1345">
        <f>F32/E32*100</f>
        <v>92.602549793398225</v>
      </c>
      <c r="H32" s="1345">
        <f>[7]คีย์ข้อมูล!G41</f>
        <v>12678806.029999999</v>
      </c>
      <c r="I32" s="1106">
        <f t="shared" si="9"/>
        <v>2.9666183556828445</v>
      </c>
      <c r="J32" s="1345">
        <f>H32+F32</f>
        <v>408445846.45999998</v>
      </c>
      <c r="K32" s="1106">
        <f>+J32*100/E32</f>
        <v>95.569168149081065</v>
      </c>
      <c r="L32" s="1106"/>
      <c r="M32" s="1106"/>
      <c r="N32" s="1106">
        <f t="shared" si="2"/>
        <v>408445846.45999998</v>
      </c>
      <c r="O32" s="1106">
        <f t="shared" si="3"/>
        <v>95.569168149081065</v>
      </c>
      <c r="P32" s="1106">
        <f>E32-J32</f>
        <v>18936597.450000048</v>
      </c>
      <c r="Q32" s="1862"/>
      <c r="R32" s="1852"/>
      <c r="S32" s="1852"/>
      <c r="T32" s="1852"/>
      <c r="U32" s="1852"/>
      <c r="V32" s="1852"/>
      <c r="W32" s="1852"/>
      <c r="X32" s="1852"/>
      <c r="Y32" s="1852"/>
      <c r="Z32" s="1852"/>
      <c r="AA32" s="1852"/>
      <c r="AB32" s="1852"/>
      <c r="AC32" s="1852"/>
      <c r="AD32" s="1852"/>
      <c r="AE32" s="1852"/>
      <c r="AF32" s="1852"/>
      <c r="AG32" s="1852"/>
      <c r="AH32" s="1852"/>
      <c r="AI32" s="1852"/>
      <c r="AJ32" s="1852"/>
      <c r="AK32" s="1852"/>
      <c r="AL32" s="1852"/>
      <c r="AM32" s="1852"/>
      <c r="AN32" s="1852"/>
      <c r="AO32" s="1852"/>
      <c r="AP32" s="1852"/>
      <c r="AQ32" s="1852"/>
      <c r="AR32" s="1852"/>
      <c r="AS32" s="1852"/>
      <c r="AT32" s="1852"/>
      <c r="AU32" s="1852"/>
      <c r="AV32" s="1852"/>
      <c r="AW32" s="1852"/>
      <c r="AX32" s="1852"/>
      <c r="AY32" s="1852"/>
      <c r="AZ32" s="1852"/>
      <c r="BA32" s="1852"/>
      <c r="BB32" s="1852"/>
      <c r="BC32" s="1852"/>
      <c r="BD32" s="1852"/>
      <c r="BE32" s="1852"/>
      <c r="BF32" s="1852"/>
      <c r="BG32" s="1852"/>
      <c r="BH32" s="1852"/>
      <c r="BI32" s="1852"/>
      <c r="BJ32" s="1852"/>
      <c r="BK32" s="1852"/>
      <c r="BL32" s="1852"/>
      <c r="BM32" s="1852"/>
      <c r="BN32" s="1852"/>
      <c r="BO32" s="1852"/>
      <c r="BP32" s="1852"/>
      <c r="BQ32" s="1852"/>
      <c r="BR32" s="1852"/>
      <c r="BS32" s="1852"/>
      <c r="BT32" s="1852"/>
      <c r="BU32" s="1852"/>
      <c r="BV32" s="1852"/>
      <c r="BW32" s="1852"/>
      <c r="BX32" s="1852"/>
      <c r="BY32" s="1852"/>
      <c r="BZ32" s="1852"/>
      <c r="CA32" s="1852"/>
      <c r="CB32" s="1852"/>
    </row>
    <row r="33" spans="1:80" s="1863" customFormat="1" ht="30.75" customHeight="1">
      <c r="A33" s="1866" t="s">
        <v>7</v>
      </c>
      <c r="B33" s="1106">
        <f>+'[7]โอนเปลี่ยนแปลง '!C43</f>
        <v>177121100</v>
      </c>
      <c r="C33" s="1106">
        <f>'[7]โอนเปลี่ยนแปลง '!D43</f>
        <v>-189692</v>
      </c>
      <c r="D33" s="1106">
        <f>'[7]โอนเปลี่ยนแปลง '!E43</f>
        <v>0</v>
      </c>
      <c r="E33" s="1106">
        <f>'[7]โอนเปลี่ยนแปลง '!F43</f>
        <v>176931408</v>
      </c>
      <c r="F33" s="1344">
        <f>[7]คีย์ข้อมูล!H44</f>
        <v>34693355.650000006</v>
      </c>
      <c r="G33" s="1345">
        <f>F33/E33*100</f>
        <v>19.608364643772013</v>
      </c>
      <c r="H33" s="1345">
        <f>[7]คีย์ข้อมูล!G44</f>
        <v>19441528.150000002</v>
      </c>
      <c r="I33" s="1106">
        <f>H33/E33*100</f>
        <v>10.988172405206882</v>
      </c>
      <c r="J33" s="1345">
        <f>H33+F33</f>
        <v>54134883.800000012</v>
      </c>
      <c r="K33" s="1106">
        <f>J33/E33*100</f>
        <v>30.596537048978895</v>
      </c>
      <c r="L33" s="1106"/>
      <c r="M33" s="1106"/>
      <c r="N33" s="1106">
        <f t="shared" si="2"/>
        <v>54134883.800000012</v>
      </c>
      <c r="O33" s="1106">
        <v>0</v>
      </c>
      <c r="P33" s="1106">
        <f>E33-J33</f>
        <v>122796524.19999999</v>
      </c>
      <c r="Q33" s="1861"/>
      <c r="R33" s="1861"/>
      <c r="S33" s="1861"/>
      <c r="T33" s="1861"/>
      <c r="U33" s="1861"/>
      <c r="V33" s="1861"/>
      <c r="W33" s="1861"/>
      <c r="X33" s="1861"/>
      <c r="Y33" s="1861"/>
      <c r="Z33" s="1861"/>
      <c r="AA33" s="1861"/>
      <c r="AB33" s="1861"/>
      <c r="AC33" s="1861"/>
      <c r="AD33" s="1861"/>
      <c r="AE33" s="1861"/>
      <c r="AF33" s="1861"/>
      <c r="AG33" s="1861"/>
      <c r="AH33" s="1861"/>
      <c r="AI33" s="1861"/>
      <c r="AJ33" s="1861"/>
      <c r="AK33" s="1861"/>
      <c r="AL33" s="1861"/>
      <c r="AM33" s="1861"/>
      <c r="AN33" s="1861"/>
      <c r="AO33" s="1861"/>
      <c r="AP33" s="1861"/>
      <c r="AQ33" s="1861"/>
      <c r="AR33" s="1861"/>
      <c r="AS33" s="1861"/>
      <c r="AT33" s="1861"/>
      <c r="AU33" s="1861"/>
      <c r="AV33" s="1861"/>
      <c r="AW33" s="1861"/>
      <c r="AX33" s="1861"/>
      <c r="AY33" s="1861"/>
      <c r="AZ33" s="1861"/>
      <c r="BA33" s="1861"/>
      <c r="BB33" s="1861"/>
      <c r="BC33" s="1861"/>
      <c r="BD33" s="1861"/>
      <c r="BE33" s="1861"/>
      <c r="BF33" s="1861"/>
      <c r="BG33" s="1861"/>
      <c r="BH33" s="1861"/>
      <c r="BI33" s="1861"/>
      <c r="BJ33" s="1861"/>
      <c r="BK33" s="1861"/>
      <c r="BL33" s="1861"/>
      <c r="BM33" s="1861"/>
      <c r="BN33" s="1861"/>
      <c r="BO33" s="1861"/>
      <c r="BP33" s="1861"/>
      <c r="BQ33" s="1861"/>
      <c r="BR33" s="1861"/>
      <c r="BS33" s="1861"/>
      <c r="BT33" s="1861"/>
      <c r="BU33" s="1861"/>
      <c r="BV33" s="1861"/>
      <c r="BW33" s="1861"/>
      <c r="BX33" s="1861"/>
      <c r="BY33" s="1861"/>
      <c r="BZ33" s="1861"/>
      <c r="CA33" s="1861"/>
      <c r="CB33" s="1861"/>
    </row>
    <row r="34" spans="1:80" s="1864" customFormat="1" ht="30.75" customHeight="1">
      <c r="A34" s="1866" t="s">
        <v>5</v>
      </c>
      <c r="B34" s="1106">
        <f>+'[7]โอนเปลี่ยนแปลง '!C66</f>
        <v>0</v>
      </c>
      <c r="C34" s="1106">
        <f>'[7]โอนเปลี่ยนแปลง '!D46</f>
        <v>3958248.09</v>
      </c>
      <c r="D34" s="1106">
        <f>+'[7]โอนเปลี่ยนแปลง '!E66</f>
        <v>0</v>
      </c>
      <c r="E34" s="1106">
        <f>'[7]โอนเปลี่ยนแปลง '!F46</f>
        <v>3958248.09</v>
      </c>
      <c r="F34" s="1345">
        <f>[7]คีย์ข้อมูล!H47</f>
        <v>0</v>
      </c>
      <c r="G34" s="1345">
        <v>0</v>
      </c>
      <c r="H34" s="1345">
        <f>[7]คีย์ข้อมูล!G47</f>
        <v>0</v>
      </c>
      <c r="I34" s="1106">
        <v>0</v>
      </c>
      <c r="J34" s="1345">
        <f>H34+F34</f>
        <v>0</v>
      </c>
      <c r="K34" s="1106">
        <v>0</v>
      </c>
      <c r="L34" s="1106"/>
      <c r="M34" s="1106"/>
      <c r="N34" s="1106">
        <f t="shared" si="2"/>
        <v>0</v>
      </c>
      <c r="O34" s="1106">
        <v>0</v>
      </c>
      <c r="P34" s="1106">
        <f t="shared" ref="P34" si="10">B34-N34</f>
        <v>0</v>
      </c>
    </row>
    <row r="35" spans="1:80" s="1852" customFormat="1" ht="29.25" customHeight="1">
      <c r="A35" s="2454" t="str">
        <f>[7]คีย์ข้อมูล!B48</f>
        <v>แผนงานยุทธศาสตร์พัฒนาและส่งเสริมเศรษฐกิจฐานราก</v>
      </c>
      <c r="B35" s="2455">
        <f>'[7]โอนเปลี่ยนแปลง '!C47</f>
        <v>679792600</v>
      </c>
      <c r="C35" s="2455"/>
      <c r="D35" s="2455"/>
      <c r="E35" s="2455">
        <f>B35</f>
        <v>679792600</v>
      </c>
      <c r="F35" s="2456">
        <f>F36</f>
        <v>403687495.87</v>
      </c>
      <c r="G35" s="2456">
        <f>F35/E35*100</f>
        <v>59.383920311871599</v>
      </c>
      <c r="H35" s="2456">
        <f>H36</f>
        <v>247811550.5</v>
      </c>
      <c r="I35" s="2455">
        <f>H35/E35*100</f>
        <v>36.453993541559591</v>
      </c>
      <c r="J35" s="2456">
        <f>J36</f>
        <v>651499046.37</v>
      </c>
      <c r="K35" s="2455">
        <f t="shared" ref="K35:K40" si="11">J35/E35*100</f>
        <v>95.837913853431175</v>
      </c>
      <c r="L35" s="2455"/>
      <c r="M35" s="2455"/>
      <c r="N35" s="2455">
        <f t="shared" si="2"/>
        <v>651499046.37</v>
      </c>
      <c r="O35" s="2455"/>
      <c r="P35" s="2455">
        <f t="shared" ref="P35:P40" si="12">E35-J35</f>
        <v>28293553.629999995</v>
      </c>
    </row>
    <row r="36" spans="1:80" s="1852" customFormat="1" ht="58.5" customHeight="1">
      <c r="A36" s="1859" t="str">
        <f>[7]คีย์ข้อมูล!B49</f>
        <v>ผลผลิตส่งเสริมเศรษฐกิจฐานราก การผลิต การตลาดและการจำหน่าวยผลิตภัณฑ์ชุมชน (15004400006002000000)</v>
      </c>
      <c r="B36" s="1109">
        <f>'[7]โอนเปลี่ยนแปลง '!C48</f>
        <v>679792600</v>
      </c>
      <c r="C36" s="1109"/>
      <c r="D36" s="1109"/>
      <c r="E36" s="1109">
        <f>B36</f>
        <v>679792600</v>
      </c>
      <c r="F36" s="1110">
        <f>[7]คีย์ข้อมูล!H49</f>
        <v>403687495.87</v>
      </c>
      <c r="G36" s="1110">
        <f>F36/E36*100</f>
        <v>59.383920311871599</v>
      </c>
      <c r="H36" s="1110">
        <f>[7]คีย์ข้อมูล!G49</f>
        <v>247811550.5</v>
      </c>
      <c r="I36" s="1109">
        <f>H36/E36*100</f>
        <v>36.453993541559591</v>
      </c>
      <c r="J36" s="1110">
        <f>[7]คีย์ข้อมูล!H49+[7]คีย์ข้อมูล!G49</f>
        <v>651499046.37</v>
      </c>
      <c r="K36" s="1109">
        <f t="shared" si="11"/>
        <v>95.837913853431175</v>
      </c>
      <c r="L36" s="1109"/>
      <c r="M36" s="1109"/>
      <c r="N36" s="1109"/>
      <c r="O36" s="1109"/>
      <c r="P36" s="1109">
        <f t="shared" si="12"/>
        <v>28293553.629999995</v>
      </c>
    </row>
    <row r="37" spans="1:80" s="1852" customFormat="1" ht="30.75" customHeight="1">
      <c r="A37" s="1866" t="s">
        <v>1</v>
      </c>
      <c r="B37" s="1106">
        <f>'[7]โอนเปลี่ยนแปลง '!C51</f>
        <v>679792600</v>
      </c>
      <c r="C37" s="1106"/>
      <c r="D37" s="1106"/>
      <c r="E37" s="1106">
        <f>B37</f>
        <v>679792600</v>
      </c>
      <c r="F37" s="1345">
        <f>[7]คีย์ข้อมูล!H52</f>
        <v>403687495.87</v>
      </c>
      <c r="G37" s="1345">
        <f>F37/E37*100</f>
        <v>59.383920311871599</v>
      </c>
      <c r="H37" s="1345">
        <f>[7]คีย์ข้อมูล!G52</f>
        <v>247811550.5</v>
      </c>
      <c r="I37" s="1106">
        <f>H37/E37*100</f>
        <v>36.453993541559591</v>
      </c>
      <c r="J37" s="1345">
        <f>H37+F37</f>
        <v>651499046.37</v>
      </c>
      <c r="K37" s="1106">
        <f t="shared" si="11"/>
        <v>95.837913853431175</v>
      </c>
      <c r="L37" s="1106"/>
      <c r="M37" s="1106"/>
      <c r="N37" s="1106"/>
      <c r="O37" s="1106"/>
      <c r="P37" s="1106">
        <f t="shared" si="12"/>
        <v>28293553.629999995</v>
      </c>
    </row>
    <row r="38" spans="1:80" s="1848" customFormat="1" ht="35.25" customHeight="1">
      <c r="A38" s="1860" t="str">
        <f>[7]คีย์ข้อมูล!B58</f>
        <v>แผนงานบูรณาการป้องกัน ปราบปราม และบำบัดรักษาผู้ติดยาเสพติด</v>
      </c>
      <c r="B38" s="1107">
        <f>'[7]โอนเปลี่ยนแปลง '!C57</f>
        <v>18768300</v>
      </c>
      <c r="C38" s="1107">
        <f>'[7]โอนเปลี่ยนแปลง '!D57</f>
        <v>0</v>
      </c>
      <c r="D38" s="1107">
        <f>'[7]โอนเปลี่ยนแปลง '!E57</f>
        <v>0</v>
      </c>
      <c r="E38" s="1107">
        <f>'[7]โอนเปลี่ยนแปลง '!F57</f>
        <v>18768300</v>
      </c>
      <c r="F38" s="1108">
        <f>F39</f>
        <v>18088687</v>
      </c>
      <c r="G38" s="1108">
        <f>+F38*100/E38</f>
        <v>96.378931496193047</v>
      </c>
      <c r="H38" s="1108">
        <f>+H39</f>
        <v>149700</v>
      </c>
      <c r="I38" s="1107">
        <f t="shared" si="9"/>
        <v>0.79762152139511833</v>
      </c>
      <c r="J38" s="1108">
        <f>H38+F38</f>
        <v>18238387</v>
      </c>
      <c r="K38" s="1107">
        <f t="shared" si="11"/>
        <v>97.176553017588162</v>
      </c>
      <c r="L38" s="1107">
        <v>0</v>
      </c>
      <c r="M38" s="1107"/>
      <c r="N38" s="1107">
        <f t="shared" si="2"/>
        <v>18238387</v>
      </c>
      <c r="O38" s="1107">
        <f t="shared" si="3"/>
        <v>97.176553017588162</v>
      </c>
      <c r="P38" s="1107">
        <f t="shared" si="12"/>
        <v>529913</v>
      </c>
    </row>
    <row r="39" spans="1:80" s="1852" customFormat="1" ht="50.25" customHeight="1">
      <c r="A39" s="1859" t="str">
        <f>[7]คีย์ข้อมูล!B59</f>
        <v>โครงการป้องกันและแก้ไขปัญหายาเสพติดโดยกองทุนแม่ของแผ่นดิน(15004060009002000000)</v>
      </c>
      <c r="B39" s="1109">
        <f>'[7]โอนเปลี่ยนแปลง '!C58</f>
        <v>18768300</v>
      </c>
      <c r="C39" s="1109">
        <f>'[7]โอนเปลี่ยนแปลง '!D58</f>
        <v>0</v>
      </c>
      <c r="D39" s="1109">
        <f>'[7]โอนเปลี่ยนแปลง '!E58</f>
        <v>0</v>
      </c>
      <c r="E39" s="1109">
        <f>'[7]โอนเปลี่ยนแปลง '!F58</f>
        <v>18768300</v>
      </c>
      <c r="F39" s="1110">
        <f>SUM(F40:F42)</f>
        <v>18088687</v>
      </c>
      <c r="G39" s="1110">
        <f>F39/E39*100</f>
        <v>96.378931496193047</v>
      </c>
      <c r="H39" s="1110">
        <f>SUM(H40:H42)</f>
        <v>149700</v>
      </c>
      <c r="I39" s="1109">
        <f t="shared" si="9"/>
        <v>0.79762152139511833</v>
      </c>
      <c r="J39" s="1110">
        <f>SUM(J40:J42)</f>
        <v>18238387</v>
      </c>
      <c r="K39" s="1109">
        <f t="shared" si="11"/>
        <v>97.176553017588162</v>
      </c>
      <c r="L39" s="1109">
        <v>0</v>
      </c>
      <c r="M39" s="1109"/>
      <c r="N39" s="1109">
        <f t="shared" si="2"/>
        <v>18238387</v>
      </c>
      <c r="O39" s="1109">
        <f t="shared" si="3"/>
        <v>97.176553017588162</v>
      </c>
      <c r="P39" s="1109">
        <f t="shared" si="12"/>
        <v>529913</v>
      </c>
    </row>
    <row r="40" spans="1:80" s="1852" customFormat="1" ht="31.5" customHeight="1">
      <c r="A40" s="1866" t="s">
        <v>1</v>
      </c>
      <c r="B40" s="1106">
        <f>'[7]โอนเปลี่ยนแปลง '!C61</f>
        <v>18768300</v>
      </c>
      <c r="C40" s="1106">
        <f>'[7]โอนเปลี่ยนแปลง '!D60</f>
        <v>0</v>
      </c>
      <c r="D40" s="1106">
        <f>'[7]โอนเปลี่ยนแปลง '!E60</f>
        <v>0</v>
      </c>
      <c r="E40" s="1106">
        <f>'[7]โอนเปลี่ยนแปลง '!F60</f>
        <v>18768300</v>
      </c>
      <c r="F40" s="1344">
        <f>[7]คีย์ข้อมูล!H61</f>
        <v>18088687</v>
      </c>
      <c r="G40" s="1345">
        <f>F40/E40*100</f>
        <v>96.378931496193047</v>
      </c>
      <c r="H40" s="1345">
        <f>[7]คีย์ข้อมูล!G61</f>
        <v>149700</v>
      </c>
      <c r="I40" s="1106">
        <f t="shared" si="9"/>
        <v>0.79762152139511833</v>
      </c>
      <c r="J40" s="1345">
        <f>H40+F40</f>
        <v>18238387</v>
      </c>
      <c r="K40" s="1106">
        <f t="shared" si="11"/>
        <v>97.176553017588162</v>
      </c>
      <c r="L40" s="1106"/>
      <c r="M40" s="1106"/>
      <c r="N40" s="1106">
        <f t="shared" si="2"/>
        <v>18238387</v>
      </c>
      <c r="O40" s="1106">
        <f t="shared" si="3"/>
        <v>97.176553017588162</v>
      </c>
      <c r="P40" s="1106">
        <f t="shared" si="12"/>
        <v>529913</v>
      </c>
    </row>
    <row r="41" spans="1:80" s="1852" customFormat="1" ht="27" hidden="1" customHeight="1">
      <c r="A41" s="1854" t="s">
        <v>7</v>
      </c>
      <c r="B41" s="1111">
        <f>'[7]โอนเปลี่ยนแปลง '!C63</f>
        <v>0</v>
      </c>
      <c r="C41" s="1111">
        <f>'[7]โอนเปลี่ยนแปลง '!D63</f>
        <v>0</v>
      </c>
      <c r="D41" s="1111">
        <f>'[7]โอนเปลี่ยนแปลง '!E63</f>
        <v>0</v>
      </c>
      <c r="E41" s="1111">
        <f>'[7]โอนเปลี่ยนแปลง '!F63</f>
        <v>0</v>
      </c>
      <c r="F41" s="1112">
        <f>[7]คีย์ข้อมูล!H64</f>
        <v>0</v>
      </c>
      <c r="G41" s="1112">
        <v>0</v>
      </c>
      <c r="H41" s="1112">
        <f>[7]คีย์ข้อมูล!G64</f>
        <v>0</v>
      </c>
      <c r="I41" s="1111">
        <v>0</v>
      </c>
      <c r="J41" s="1112">
        <f>H41+F41</f>
        <v>0</v>
      </c>
      <c r="K41" s="1111">
        <v>0</v>
      </c>
      <c r="L41" s="1111"/>
      <c r="M41" s="1111"/>
      <c r="N41" s="1111">
        <f t="shared" si="2"/>
        <v>0</v>
      </c>
      <c r="O41" s="1111">
        <v>0</v>
      </c>
      <c r="P41" s="1111">
        <f t="shared" si="8"/>
        <v>0</v>
      </c>
    </row>
    <row r="42" spans="1:80" s="1852" customFormat="1" ht="26.25" hidden="1" customHeight="1">
      <c r="A42" s="1865" t="s">
        <v>5</v>
      </c>
      <c r="B42" s="1105">
        <f>+'[7]โอนเปลี่ยนแปลง '!C66</f>
        <v>0</v>
      </c>
      <c r="C42" s="1105">
        <f>'[7]โอนเปลี่ยนแปลง '!D66</f>
        <v>0</v>
      </c>
      <c r="D42" s="1105">
        <f>'[7]โอนเปลี่ยนแปลง '!E66</f>
        <v>0</v>
      </c>
      <c r="E42" s="1105">
        <f>'[7]โอนเปลี่ยนแปลง '!F66</f>
        <v>0</v>
      </c>
      <c r="F42" s="1116">
        <f>[7]คีย์ข้อมูล!H67</f>
        <v>0</v>
      </c>
      <c r="G42" s="1116">
        <v>0</v>
      </c>
      <c r="H42" s="1116">
        <f>[7]คีย์ข้อมูล!G67</f>
        <v>0</v>
      </c>
      <c r="I42" s="1105">
        <v>0</v>
      </c>
      <c r="J42" s="1116">
        <f>H42+F42</f>
        <v>0</v>
      </c>
      <c r="K42" s="1105">
        <v>0</v>
      </c>
      <c r="L42" s="1105"/>
      <c r="M42" s="1105"/>
      <c r="N42" s="1105">
        <f t="shared" si="2"/>
        <v>0</v>
      </c>
      <c r="O42" s="1105">
        <v>0</v>
      </c>
      <c r="P42" s="1105">
        <f t="shared" si="8"/>
        <v>0</v>
      </c>
    </row>
    <row r="43" spans="1:80" s="1848" customFormat="1" ht="35.25" customHeight="1">
      <c r="A43" s="1860" t="s">
        <v>1145</v>
      </c>
      <c r="B43" s="1107">
        <f>+'[7]โอนเปลี่ยนแปลง '!C67</f>
        <v>43000000</v>
      </c>
      <c r="C43" s="1107">
        <f>'[7]โอนเปลี่ยนแปลง '!D67</f>
        <v>0</v>
      </c>
      <c r="D43" s="1107" t="e">
        <f>+'[7]โอนเปลี่ยนแปลง '!E67</f>
        <v>#REF!</v>
      </c>
      <c r="E43" s="1107">
        <f>+'[7]โอนเปลี่ยนแปลง '!F67</f>
        <v>43000000</v>
      </c>
      <c r="F43" s="1108">
        <f>F44</f>
        <v>29790466.699999999</v>
      </c>
      <c r="G43" s="1108">
        <f>+F43*100/E43</f>
        <v>69.280155116279076</v>
      </c>
      <c r="H43" s="1108">
        <f>+H44</f>
        <v>0</v>
      </c>
      <c r="I43" s="1107">
        <f t="shared" si="9"/>
        <v>0</v>
      </c>
      <c r="J43" s="1108">
        <f>+J44</f>
        <v>29790466.699999999</v>
      </c>
      <c r="K43" s="1107">
        <f>+J43*100/E43</f>
        <v>69.280155116279076</v>
      </c>
      <c r="L43" s="1107">
        <f>L44</f>
        <v>0</v>
      </c>
      <c r="M43" s="1107">
        <f>L43/E43*100</f>
        <v>0</v>
      </c>
      <c r="N43" s="1107">
        <f t="shared" si="2"/>
        <v>29790466.699999999</v>
      </c>
      <c r="O43" s="1107">
        <f t="shared" si="3"/>
        <v>69.280155116279062</v>
      </c>
      <c r="P43" s="1107">
        <f>E43-J43</f>
        <v>13209533.300000001</v>
      </c>
    </row>
    <row r="44" spans="1:80" s="1852" customFormat="1" ht="34.5" customHeight="1">
      <c r="A44" s="1859" t="str">
        <f>'[7]โอนเปลี่ยนแปลง '!B68</f>
        <v>โครงการส่งเสริมการท่องเที่ยวชุมชน (15004170024002000000)</v>
      </c>
      <c r="B44" s="1109">
        <f>+'[7]โอนเปลี่ยนแปลง '!C68</f>
        <v>43000000</v>
      </c>
      <c r="C44" s="1109">
        <f>'[7]โอนเปลี่ยนแปลง '!D68</f>
        <v>0</v>
      </c>
      <c r="D44" s="1109">
        <f>+'[7]โอนเปลี่ยนแปลง '!E68</f>
        <v>0</v>
      </c>
      <c r="E44" s="1109">
        <f>+'[7]โอนเปลี่ยนแปลง '!F68</f>
        <v>43000000</v>
      </c>
      <c r="F44" s="1110">
        <f>SUM(F45:F47)</f>
        <v>29790466.699999999</v>
      </c>
      <c r="G44" s="1110">
        <f>+F44*100/E44</f>
        <v>69.280155116279076</v>
      </c>
      <c r="H44" s="1110">
        <f>SUM(H45:H47)</f>
        <v>0</v>
      </c>
      <c r="I44" s="1109">
        <f t="shared" si="9"/>
        <v>0</v>
      </c>
      <c r="J44" s="1110">
        <f>SUM(J45:J47)</f>
        <v>29790466.699999999</v>
      </c>
      <c r="K44" s="1109">
        <f>+J44*100/E44</f>
        <v>69.280155116279076</v>
      </c>
      <c r="L44" s="1109">
        <f>SUM(L45:L47)</f>
        <v>0</v>
      </c>
      <c r="M44" s="1109">
        <f>L44/E44*100</f>
        <v>0</v>
      </c>
      <c r="N44" s="1109">
        <f t="shared" si="2"/>
        <v>29790466.699999999</v>
      </c>
      <c r="O44" s="1109">
        <f t="shared" si="3"/>
        <v>69.280155116279062</v>
      </c>
      <c r="P44" s="1109">
        <f>E44-J44</f>
        <v>13209533.300000001</v>
      </c>
    </row>
    <row r="45" spans="1:80" s="1852" customFormat="1" ht="32.25" customHeight="1">
      <c r="A45" s="1856" t="s">
        <v>1</v>
      </c>
      <c r="B45" s="1113">
        <f>'[7]โอนเปลี่ยนแปลง '!C70</f>
        <v>43000000</v>
      </c>
      <c r="C45" s="1113">
        <f>'[7]โอนเปลี่ยนแปลง '!D70</f>
        <v>0</v>
      </c>
      <c r="D45" s="1113">
        <f>+'[7]โอนเปลี่ยนแปลง '!E70</f>
        <v>0</v>
      </c>
      <c r="E45" s="1113">
        <f>+'[7]โอนเปลี่ยนแปลง '!F70</f>
        <v>43000000</v>
      </c>
      <c r="F45" s="1115">
        <f>[7]คีย์ข้อมูล!H71</f>
        <v>29790466.699999999</v>
      </c>
      <c r="G45" s="1114">
        <f>F45/E45*100</f>
        <v>69.280155116279062</v>
      </c>
      <c r="H45" s="1114">
        <f>[7]คีย์ข้อมูล!G71</f>
        <v>0</v>
      </c>
      <c r="I45" s="2457">
        <f t="shared" si="9"/>
        <v>0</v>
      </c>
      <c r="J45" s="1114">
        <f>H45+F45</f>
        <v>29790466.699999999</v>
      </c>
      <c r="K45" s="1113">
        <f>J45/E45*100</f>
        <v>69.280155116279062</v>
      </c>
      <c r="L45" s="1113">
        <f>[7]คีย์ข้อมูล!I71</f>
        <v>0</v>
      </c>
      <c r="M45" s="1113">
        <f>L45/E45*100</f>
        <v>0</v>
      </c>
      <c r="N45" s="2458">
        <f t="shared" si="2"/>
        <v>29790466.699999999</v>
      </c>
      <c r="O45" s="2458">
        <f t="shared" si="3"/>
        <v>69.280155116279062</v>
      </c>
      <c r="P45" s="2458">
        <f>E45-J45</f>
        <v>13209533.300000001</v>
      </c>
    </row>
    <row r="46" spans="1:80" s="1852" customFormat="1" ht="30.75" hidden="1" customHeight="1">
      <c r="A46" s="1856" t="s">
        <v>7</v>
      </c>
      <c r="B46" s="1113">
        <f>+'[7]โอนเปลี่ยนแปลง '!C73</f>
        <v>0</v>
      </c>
      <c r="C46" s="1113">
        <f>'[7]โอนเปลี่ยนแปลง '!D73</f>
        <v>0</v>
      </c>
      <c r="D46" s="1113">
        <f>+'[7]โอนเปลี่ยนแปลง '!E73</f>
        <v>0</v>
      </c>
      <c r="E46" s="1113">
        <f>+'[7]โอนเปลี่ยนแปลง '!F73</f>
        <v>0</v>
      </c>
      <c r="F46" s="1114">
        <f>[7]คีย์ข้อมูล!H74</f>
        <v>0</v>
      </c>
      <c r="G46" s="1114">
        <v>0</v>
      </c>
      <c r="H46" s="1114">
        <f>[7]คีย์ข้อมูล!G74</f>
        <v>0</v>
      </c>
      <c r="I46" s="2459">
        <v>0</v>
      </c>
      <c r="J46" s="1114">
        <f>H46+F46</f>
        <v>0</v>
      </c>
      <c r="K46" s="1113">
        <v>0</v>
      </c>
      <c r="L46" s="1113"/>
      <c r="M46" s="1113"/>
      <c r="N46" s="1113">
        <f t="shared" si="2"/>
        <v>0</v>
      </c>
      <c r="O46" s="1113">
        <v>0</v>
      </c>
      <c r="P46" s="1113">
        <f t="shared" si="8"/>
        <v>0</v>
      </c>
    </row>
    <row r="47" spans="1:80" s="1852" customFormat="1" ht="30.75" hidden="1" customHeight="1">
      <c r="A47" s="1855" t="s">
        <v>5</v>
      </c>
      <c r="B47" s="1117">
        <f>+'[7]โอนเปลี่ยนแปลง '!C76</f>
        <v>0</v>
      </c>
      <c r="C47" s="1117">
        <f>'[7]โอนเปลี่ยนแปลง '!D76</f>
        <v>0</v>
      </c>
      <c r="D47" s="1117">
        <f>+'[7]โอนเปลี่ยนแปลง '!E76</f>
        <v>0</v>
      </c>
      <c r="E47" s="1117">
        <f>+'[7]โอนเปลี่ยนแปลง '!F76</f>
        <v>0</v>
      </c>
      <c r="F47" s="1115">
        <f>[7]คีย์ข้อมูล!H77</f>
        <v>0</v>
      </c>
      <c r="G47" s="1118">
        <v>0</v>
      </c>
      <c r="H47" s="1118">
        <f>[7]คีย์ข้อมูล!G77</f>
        <v>0</v>
      </c>
      <c r="I47" s="1117">
        <v>0</v>
      </c>
      <c r="J47" s="1118">
        <f>H47+F47</f>
        <v>0</v>
      </c>
      <c r="K47" s="1117">
        <v>0</v>
      </c>
      <c r="L47" s="1117"/>
      <c r="M47" s="1117"/>
      <c r="N47" s="1105">
        <f t="shared" si="2"/>
        <v>0</v>
      </c>
      <c r="O47" s="1105">
        <v>0</v>
      </c>
      <c r="P47" s="1105">
        <f t="shared" si="8"/>
        <v>0</v>
      </c>
    </row>
    <row r="48" spans="1:80" s="1852" customFormat="1" ht="25.5" hidden="1" customHeight="1">
      <c r="A48" s="1855" t="s">
        <v>5</v>
      </c>
      <c r="B48" s="1117">
        <v>0</v>
      </c>
      <c r="C48" s="1117">
        <v>0</v>
      </c>
      <c r="D48" s="1117" t="e">
        <f>+'[7]โอนเปลี่ยนแปลง '!#REF!</f>
        <v>#REF!</v>
      </c>
      <c r="E48" s="1117">
        <v>0</v>
      </c>
      <c r="F48" s="1115">
        <v>0</v>
      </c>
      <c r="G48" s="1118">
        <v>0</v>
      </c>
      <c r="H48" s="1118">
        <v>0</v>
      </c>
      <c r="I48" s="1105">
        <v>0</v>
      </c>
      <c r="J48" s="1118">
        <f>H48+F48</f>
        <v>0</v>
      </c>
      <c r="K48" s="1117"/>
      <c r="L48" s="1117"/>
      <c r="M48" s="1117"/>
      <c r="N48" s="1104">
        <f t="shared" si="2"/>
        <v>0</v>
      </c>
      <c r="O48" s="1104" t="e">
        <f t="shared" si="3"/>
        <v>#DIV/0!</v>
      </c>
      <c r="P48" s="1104">
        <f t="shared" si="8"/>
        <v>0</v>
      </c>
    </row>
    <row r="49" spans="1:17" s="1848" customFormat="1" ht="37.5" customHeight="1">
      <c r="A49" s="1860" t="s">
        <v>1146</v>
      </c>
      <c r="B49" s="1107">
        <f>+'[7]โอนเปลี่ยนแปลง '!C77</f>
        <v>20664600</v>
      </c>
      <c r="C49" s="1107">
        <f>'[7]โอนเปลี่ยนแปลง '!D77</f>
        <v>0</v>
      </c>
      <c r="D49" s="1107">
        <f>+'[7]โอนเปลี่ยนแปลง '!E77</f>
        <v>0</v>
      </c>
      <c r="E49" s="1107">
        <f>+'[7]โอนเปลี่ยนแปลง '!F77</f>
        <v>20664600</v>
      </c>
      <c r="F49" s="1108">
        <f>F50</f>
        <v>19488221.23</v>
      </c>
      <c r="G49" s="1108">
        <f>+F49*100/E49</f>
        <v>94.307275388829211</v>
      </c>
      <c r="H49" s="1108">
        <f>+H50</f>
        <v>327300</v>
      </c>
      <c r="I49" s="1107">
        <f>H49/E49*100</f>
        <v>1.5838680642257776</v>
      </c>
      <c r="J49" s="1108">
        <f>+J50</f>
        <v>19815521.23</v>
      </c>
      <c r="K49" s="1107">
        <f>+J49*100/E49</f>
        <v>95.89114345305498</v>
      </c>
      <c r="L49" s="1107">
        <v>0</v>
      </c>
      <c r="M49" s="1107"/>
      <c r="N49" s="1107">
        <f t="shared" si="2"/>
        <v>19815521.23</v>
      </c>
      <c r="O49" s="1107">
        <f t="shared" si="3"/>
        <v>95.89114345305498</v>
      </c>
      <c r="P49" s="1107">
        <f>E49-J49</f>
        <v>849078.76999999955</v>
      </c>
    </row>
    <row r="50" spans="1:17" s="1852" customFormat="1" ht="54" customHeight="1">
      <c r="A50" s="1859" t="str">
        <f>'[7]โอนเปลี่ยนแปลง '!B78</f>
        <v>โครงการส่งเสริมการพัฒนาชุมชนธรรมาภิบาล (15004560011002000000)</v>
      </c>
      <c r="B50" s="1109">
        <f>+'[7]โอนเปลี่ยนแปลง '!C78</f>
        <v>20664600</v>
      </c>
      <c r="C50" s="1109">
        <f>'[7]โอนเปลี่ยนแปลง '!D78</f>
        <v>0</v>
      </c>
      <c r="D50" s="1109">
        <f>+'[7]โอนเปลี่ยนแปลง '!E78</f>
        <v>0</v>
      </c>
      <c r="E50" s="1109">
        <f>+'[7]โอนเปลี่ยนแปลง '!F78</f>
        <v>20664600</v>
      </c>
      <c r="F50" s="1110">
        <f>SUM(F51:F53)</f>
        <v>19488221.23</v>
      </c>
      <c r="G50" s="1110">
        <f>+F50*100/E50</f>
        <v>94.307275388829211</v>
      </c>
      <c r="H50" s="1110">
        <f>SUM(H51:H53)</f>
        <v>327300</v>
      </c>
      <c r="I50" s="1109">
        <f>H50/E50*100</f>
        <v>1.5838680642257776</v>
      </c>
      <c r="J50" s="1110">
        <f>SUM(J51:J53)</f>
        <v>19815521.23</v>
      </c>
      <c r="K50" s="1109">
        <f>+J50*100/E50</f>
        <v>95.89114345305498</v>
      </c>
      <c r="L50" s="1109">
        <v>0</v>
      </c>
      <c r="M50" s="1109"/>
      <c r="N50" s="1109">
        <f t="shared" si="2"/>
        <v>19815521.23</v>
      </c>
      <c r="O50" s="1109">
        <f t="shared" si="3"/>
        <v>95.89114345305498</v>
      </c>
      <c r="P50" s="1109">
        <f>E50-J50</f>
        <v>849078.76999999955</v>
      </c>
    </row>
    <row r="51" spans="1:17" s="1852" customFormat="1" ht="28.5" customHeight="1">
      <c r="A51" s="1866" t="s">
        <v>1</v>
      </c>
      <c r="B51" s="1106">
        <f>+'[7]โอนเปลี่ยนแปลง '!C80</f>
        <v>20664600</v>
      </c>
      <c r="C51" s="1106">
        <f>'[7]โอนเปลี่ยนแปลง '!D80</f>
        <v>0</v>
      </c>
      <c r="D51" s="1106">
        <f>+'[7]โอนเปลี่ยนแปลง '!E80</f>
        <v>0</v>
      </c>
      <c r="E51" s="1106">
        <f>+'[7]โอนเปลี่ยนแปลง '!F80</f>
        <v>20664600</v>
      </c>
      <c r="F51" s="1345">
        <f>[7]คีย์ข้อมูล!H81</f>
        <v>19488221.23</v>
      </c>
      <c r="G51" s="1345">
        <f>F51/E51*100</f>
        <v>94.307275388829197</v>
      </c>
      <c r="H51" s="1345">
        <f>[7]คีย์ข้อมูล!G81</f>
        <v>327300</v>
      </c>
      <c r="I51" s="1106">
        <f>H51/E51*100</f>
        <v>1.5838680642257776</v>
      </c>
      <c r="J51" s="1345">
        <f>H51+F51</f>
        <v>19815521.23</v>
      </c>
      <c r="K51" s="1106">
        <f>J51/E51*100</f>
        <v>95.89114345305498</v>
      </c>
      <c r="L51" s="1106"/>
      <c r="M51" s="1106"/>
      <c r="N51" s="1106">
        <f t="shared" si="2"/>
        <v>19815521.23</v>
      </c>
      <c r="O51" s="1106">
        <f t="shared" si="3"/>
        <v>95.89114345305498</v>
      </c>
      <c r="P51" s="1106">
        <f>E51-J51</f>
        <v>849078.76999999955</v>
      </c>
    </row>
    <row r="52" spans="1:17" s="1852" customFormat="1" ht="30" hidden="1" customHeight="1">
      <c r="A52" s="1854" t="s">
        <v>7</v>
      </c>
      <c r="B52" s="1111">
        <f>+'[7]โอนเปลี่ยนแปลง '!C83</f>
        <v>0</v>
      </c>
      <c r="C52" s="1111">
        <f>'[7]โอนเปลี่ยนแปลง '!D83</f>
        <v>0</v>
      </c>
      <c r="D52" s="1111">
        <f>+'[7]โอนเปลี่ยนแปลง '!E83</f>
        <v>0</v>
      </c>
      <c r="E52" s="1111">
        <f>+'[7]โอนเปลี่ยนแปลง '!F83</f>
        <v>0</v>
      </c>
      <c r="F52" s="1112">
        <f>[7]คีย์ข้อมูล!H84</f>
        <v>0</v>
      </c>
      <c r="G52" s="1112">
        <v>0</v>
      </c>
      <c r="H52" s="1112">
        <f>[7]คีย์ข้อมูล!G84</f>
        <v>0</v>
      </c>
      <c r="I52" s="1111">
        <v>0</v>
      </c>
      <c r="J52" s="1112">
        <f>H52+F52</f>
        <v>0</v>
      </c>
      <c r="K52" s="1111">
        <v>0</v>
      </c>
      <c r="L52" s="1111"/>
      <c r="M52" s="1111"/>
      <c r="N52" s="1111"/>
      <c r="O52" s="1111">
        <v>0</v>
      </c>
      <c r="P52" s="1111">
        <f t="shared" si="8"/>
        <v>0</v>
      </c>
    </row>
    <row r="53" spans="1:17" s="1852" customFormat="1" ht="30" hidden="1" customHeight="1">
      <c r="A53" s="1865" t="s">
        <v>5</v>
      </c>
      <c r="B53" s="1105">
        <f>+'[7]โอนเปลี่ยนแปลง '!C86</f>
        <v>0</v>
      </c>
      <c r="C53" s="1105">
        <f>'[7]โอนเปลี่ยนแปลง '!D86</f>
        <v>0</v>
      </c>
      <c r="D53" s="1105">
        <f>+'[7]โอนเปลี่ยนแปลง '!E86</f>
        <v>0</v>
      </c>
      <c r="E53" s="1105">
        <f>+'[7]โอนเปลี่ยนแปลง '!F86</f>
        <v>0</v>
      </c>
      <c r="F53" s="1116">
        <f>[7]คีย์ข้อมูล!H87</f>
        <v>0</v>
      </c>
      <c r="G53" s="1116">
        <v>0</v>
      </c>
      <c r="H53" s="1116">
        <f>[7]คีย์ข้อมูล!G87</f>
        <v>0</v>
      </c>
      <c r="I53" s="1105">
        <v>0</v>
      </c>
      <c r="J53" s="1116">
        <f>H53+F53</f>
        <v>0</v>
      </c>
      <c r="K53" s="1105">
        <v>0</v>
      </c>
      <c r="L53" s="1105"/>
      <c r="M53" s="1105"/>
      <c r="N53" s="1105"/>
      <c r="O53" s="1105">
        <v>0</v>
      </c>
      <c r="P53" s="1105">
        <f t="shared" si="8"/>
        <v>0</v>
      </c>
    </row>
    <row r="54" spans="1:17" s="1852" customFormat="1" ht="21" customHeight="1">
      <c r="A54" s="2460"/>
      <c r="B54" s="2461"/>
      <c r="C54" s="2461"/>
      <c r="D54" s="2461"/>
      <c r="E54" s="2461"/>
      <c r="F54" s="2462"/>
      <c r="G54" s="2462"/>
      <c r="H54" s="2462"/>
      <c r="I54" s="2461"/>
      <c r="J54" s="2462"/>
      <c r="K54" s="2461"/>
      <c r="L54" s="2461"/>
      <c r="M54" s="2461"/>
      <c r="N54" s="2461"/>
      <c r="O54" s="2461"/>
      <c r="P54" s="2463"/>
      <c r="Q54" s="2452"/>
    </row>
    <row r="55" spans="1:17" s="1867" customFormat="1" ht="33" customHeight="1">
      <c r="A55" s="2464" t="s">
        <v>5423</v>
      </c>
      <c r="B55" s="2464"/>
      <c r="C55" s="2464"/>
      <c r="D55" s="2464"/>
      <c r="E55" s="2464"/>
      <c r="F55" s="2464"/>
      <c r="G55" s="2465"/>
      <c r="H55" s="2466"/>
      <c r="I55" s="2467"/>
      <c r="J55" s="2468"/>
      <c r="K55" s="2469"/>
      <c r="L55" s="2468"/>
      <c r="M55" s="2468"/>
      <c r="N55" s="2468"/>
      <c r="O55" s="2468"/>
      <c r="P55" s="2468"/>
      <c r="Q55" s="2470"/>
    </row>
    <row r="56" spans="1:17" s="1867" customFormat="1" ht="30" customHeight="1">
      <c r="A56" s="2471" t="s">
        <v>5424</v>
      </c>
      <c r="B56" s="2472" t="s">
        <v>5425</v>
      </c>
      <c r="C56" s="2472" t="s">
        <v>5426</v>
      </c>
      <c r="D56" s="2472" t="s">
        <v>5427</v>
      </c>
      <c r="E56" s="2472" t="s">
        <v>5427</v>
      </c>
      <c r="F56" s="2472"/>
      <c r="G56" s="2473"/>
      <c r="H56" s="2473"/>
      <c r="I56" s="2467"/>
      <c r="J56" s="2468"/>
      <c r="K56" s="2469"/>
      <c r="L56" s="2468"/>
      <c r="M56" s="2468"/>
      <c r="N56" s="2468"/>
      <c r="O56" s="2468"/>
      <c r="P56" s="2468"/>
      <c r="Q56" s="2470"/>
    </row>
    <row r="57" spans="1:17" ht="30.75" customHeight="1">
      <c r="A57" s="2474" t="s">
        <v>5428</v>
      </c>
      <c r="B57" s="2475" t="s">
        <v>5429</v>
      </c>
      <c r="C57" s="2475" t="s">
        <v>5430</v>
      </c>
      <c r="D57" s="2476"/>
      <c r="E57" s="2475" t="s">
        <v>5431</v>
      </c>
      <c r="F57" s="2475"/>
      <c r="G57" s="2477"/>
      <c r="H57" s="2478"/>
      <c r="I57" s="2467"/>
      <c r="J57" s="2468"/>
      <c r="K57" s="2469"/>
      <c r="L57" s="2468"/>
      <c r="M57" s="2468"/>
      <c r="N57" s="2468"/>
      <c r="O57" s="2468"/>
      <c r="P57" s="2468"/>
      <c r="Q57" s="2479"/>
    </row>
    <row r="58" spans="1:17" ht="30.75" customHeight="1">
      <c r="A58" s="2474" t="s">
        <v>5432</v>
      </c>
      <c r="B58" s="2475" t="s">
        <v>5433</v>
      </c>
      <c r="C58" s="2475" t="s">
        <v>5430</v>
      </c>
      <c r="D58" s="2476"/>
      <c r="E58" s="2475" t="s">
        <v>5431</v>
      </c>
      <c r="F58" s="2475"/>
      <c r="G58" s="2477"/>
      <c r="H58" s="2478"/>
      <c r="I58" s="2467"/>
      <c r="J58" s="2478"/>
      <c r="K58" s="2469"/>
      <c r="L58" s="2468"/>
      <c r="M58" s="2468"/>
      <c r="N58" s="2468"/>
      <c r="O58" s="2468"/>
      <c r="P58" s="2468"/>
      <c r="Q58" s="2479"/>
    </row>
    <row r="59" spans="1:17" ht="30.75" customHeight="1">
      <c r="A59" s="2474" t="s">
        <v>5434</v>
      </c>
      <c r="B59" s="2475" t="s">
        <v>5435</v>
      </c>
      <c r="C59" s="2475" t="s">
        <v>5436</v>
      </c>
      <c r="D59" s="2476"/>
      <c r="E59" s="2475" t="s">
        <v>5431</v>
      </c>
      <c r="F59" s="2475"/>
      <c r="G59" s="2477"/>
      <c r="H59" s="2478"/>
      <c r="I59" s="2467"/>
      <c r="J59" s="2468"/>
      <c r="K59" s="2469"/>
      <c r="L59" s="2468"/>
      <c r="M59" s="2468"/>
      <c r="N59" s="2468"/>
      <c r="O59" s="2468"/>
      <c r="P59" s="2468"/>
      <c r="Q59" s="2479"/>
    </row>
    <row r="60" spans="1:17" ht="23.25" customHeight="1">
      <c r="A60" s="2480" t="s">
        <v>5437</v>
      </c>
      <c r="B60" s="2480"/>
      <c r="C60" s="2480"/>
      <c r="D60" s="2480"/>
      <c r="E60" s="2480"/>
      <c r="F60" s="2480"/>
      <c r="G60" s="2480"/>
      <c r="H60" s="2480"/>
      <c r="I60" s="2467"/>
      <c r="J60" s="2468"/>
      <c r="K60" s="2469"/>
      <c r="L60" s="2468"/>
      <c r="M60" s="2468"/>
      <c r="N60" s="2468"/>
      <c r="O60" s="2468"/>
      <c r="P60" s="2468"/>
      <c r="Q60" s="2479"/>
    </row>
    <row r="61" spans="1:17" ht="3" customHeight="1">
      <c r="A61" s="2481"/>
      <c r="B61" s="2468"/>
      <c r="C61" s="2468"/>
      <c r="D61" s="2468"/>
      <c r="E61" s="2468"/>
      <c r="F61" s="2468"/>
      <c r="G61" s="2482"/>
      <c r="H61" s="2468"/>
      <c r="I61" s="2467"/>
      <c r="J61" s="2468"/>
      <c r="K61" s="2469"/>
      <c r="L61" s="2468"/>
      <c r="M61" s="2468"/>
      <c r="N61" s="2468"/>
      <c r="O61" s="2468"/>
      <c r="P61" s="2468"/>
      <c r="Q61" s="2479"/>
    </row>
    <row r="62" spans="1:17" ht="26.25" customHeight="1">
      <c r="A62" s="2483" t="s">
        <v>5378</v>
      </c>
      <c r="B62" s="2483"/>
      <c r="C62" s="2483"/>
      <c r="D62" s="2483"/>
      <c r="E62" s="2483"/>
      <c r="F62" s="2483"/>
      <c r="G62" s="2483"/>
      <c r="H62" s="2483"/>
      <c r="I62" s="2483"/>
      <c r="J62" s="2483"/>
      <c r="K62" s="2483"/>
      <c r="L62" s="2483"/>
      <c r="M62" s="2483"/>
      <c r="N62" s="2483"/>
      <c r="O62" s="2483"/>
      <c r="P62" s="2483"/>
    </row>
    <row r="63" spans="1:17" ht="24" customHeight="1">
      <c r="A63" s="2483" t="s">
        <v>5364</v>
      </c>
      <c r="B63" s="2483"/>
      <c r="C63" s="2483"/>
      <c r="D63" s="2483"/>
      <c r="E63" s="2483"/>
      <c r="F63" s="2483"/>
      <c r="G63" s="2483"/>
      <c r="H63" s="2483"/>
      <c r="I63" s="2484"/>
      <c r="J63" s="2485"/>
      <c r="K63" s="2486"/>
      <c r="L63" s="2485"/>
      <c r="M63" s="2485"/>
      <c r="N63" s="2485"/>
      <c r="O63" s="2485"/>
      <c r="P63" s="2485"/>
    </row>
    <row r="64" spans="1:17" ht="24" customHeight="1">
      <c r="A64" s="2483" t="s">
        <v>5379</v>
      </c>
      <c r="B64" s="2483"/>
      <c r="C64" s="2483"/>
      <c r="D64" s="2483"/>
      <c r="E64" s="2483"/>
      <c r="F64" s="2483"/>
      <c r="G64" s="2483"/>
      <c r="H64" s="2483"/>
      <c r="I64" s="2483"/>
      <c r="J64" s="2483"/>
      <c r="K64" s="2483"/>
      <c r="L64" s="2483"/>
      <c r="M64" s="2483"/>
      <c r="N64" s="2483"/>
      <c r="O64" s="2483"/>
      <c r="P64" s="2483"/>
    </row>
    <row r="65" spans="1:80" ht="24" customHeight="1">
      <c r="A65" s="2483" t="s">
        <v>5365</v>
      </c>
      <c r="B65" s="2483"/>
      <c r="C65" s="2483"/>
      <c r="D65" s="2483"/>
      <c r="E65" s="2483"/>
      <c r="F65" s="2483"/>
      <c r="G65" s="2483"/>
      <c r="H65" s="2483"/>
      <c r="I65" s="2483"/>
      <c r="J65" s="2483"/>
      <c r="K65" s="2483"/>
      <c r="L65" s="2483"/>
      <c r="M65" s="2483"/>
      <c r="N65" s="2483"/>
      <c r="O65" s="2483"/>
      <c r="P65" s="2483"/>
    </row>
    <row r="66" spans="1:80" ht="24" customHeight="1">
      <c r="A66" s="2483" t="s">
        <v>5398</v>
      </c>
      <c r="B66" s="2483"/>
      <c r="C66" s="2483"/>
      <c r="D66" s="2483"/>
      <c r="E66" s="2483"/>
      <c r="F66" s="2483"/>
      <c r="G66" s="2483"/>
      <c r="H66" s="2483"/>
      <c r="I66" s="2483"/>
      <c r="J66" s="2483"/>
      <c r="K66" s="2483"/>
      <c r="L66" s="2483"/>
      <c r="M66" s="2483"/>
      <c r="N66" s="2483"/>
      <c r="O66" s="2483"/>
      <c r="P66" s="2483"/>
    </row>
    <row r="67" spans="1:80" ht="24" customHeight="1">
      <c r="A67" s="2483" t="s">
        <v>5417</v>
      </c>
      <c r="B67" s="2483"/>
      <c r="C67" s="2483"/>
      <c r="D67" s="2483"/>
      <c r="E67" s="2483"/>
      <c r="F67" s="2483"/>
      <c r="G67" s="2483"/>
      <c r="H67" s="2483"/>
      <c r="I67" s="2483"/>
      <c r="J67" s="2483"/>
      <c r="K67" s="2483"/>
      <c r="L67" s="2483"/>
      <c r="M67" s="2483"/>
      <c r="N67" s="2483"/>
      <c r="O67" s="2483"/>
      <c r="P67" s="2483"/>
    </row>
    <row r="68" spans="1:80" ht="24" customHeight="1">
      <c r="A68" s="2483" t="s">
        <v>5418</v>
      </c>
      <c r="B68" s="2483"/>
      <c r="C68" s="2483"/>
      <c r="D68" s="2483"/>
      <c r="E68" s="2483"/>
      <c r="F68" s="2483"/>
      <c r="G68" s="2487"/>
      <c r="H68" s="2488"/>
      <c r="I68" s="2489"/>
      <c r="J68" s="2488"/>
      <c r="K68" s="2490"/>
      <c r="L68" s="2488"/>
      <c r="M68" s="2488"/>
      <c r="N68" s="2488"/>
      <c r="O68" s="2488"/>
      <c r="P68" s="2488"/>
    </row>
    <row r="74" spans="1:80" s="1119" customFormat="1">
      <c r="A74" s="1868"/>
      <c r="E74" s="1119" t="s">
        <v>1234</v>
      </c>
      <c r="G74" s="2491"/>
      <c r="I74" s="2492"/>
      <c r="K74" s="1349"/>
      <c r="Q74" s="1849"/>
      <c r="R74" s="1849"/>
      <c r="S74" s="1849"/>
      <c r="T74" s="1849"/>
      <c r="U74" s="1849"/>
      <c r="V74" s="1849"/>
      <c r="W74" s="1849"/>
      <c r="X74" s="1849"/>
      <c r="Y74" s="1849"/>
      <c r="Z74" s="1849"/>
      <c r="AA74" s="1849"/>
      <c r="AB74" s="1849"/>
      <c r="AC74" s="1849"/>
      <c r="AD74" s="1849"/>
      <c r="AE74" s="1849"/>
      <c r="AF74" s="1849"/>
      <c r="AG74" s="1849"/>
      <c r="AH74" s="1849"/>
      <c r="AI74" s="1849"/>
      <c r="AJ74" s="1849"/>
      <c r="AK74" s="1849"/>
      <c r="AL74" s="1849"/>
      <c r="AM74" s="1849"/>
      <c r="AN74" s="1849"/>
      <c r="AO74" s="1849"/>
      <c r="AP74" s="1849"/>
      <c r="AQ74" s="1849"/>
      <c r="AR74" s="1849"/>
      <c r="AS74" s="1849"/>
      <c r="AT74" s="1849"/>
      <c r="AU74" s="1849"/>
      <c r="AV74" s="1849"/>
      <c r="AW74" s="1849"/>
      <c r="AX74" s="1849"/>
      <c r="AY74" s="1849"/>
      <c r="AZ74" s="1849"/>
      <c r="BA74" s="1849"/>
      <c r="BB74" s="1849"/>
      <c r="BC74" s="1849"/>
      <c r="BD74" s="1849"/>
      <c r="BE74" s="1849"/>
      <c r="BF74" s="1849"/>
      <c r="BG74" s="1849"/>
      <c r="BH74" s="1849"/>
      <c r="BI74" s="1849"/>
      <c r="BJ74" s="1849"/>
      <c r="BK74" s="1849"/>
      <c r="BL74" s="1849"/>
      <c r="BM74" s="1849"/>
      <c r="BN74" s="1849"/>
      <c r="BO74" s="1849"/>
      <c r="BP74" s="1849"/>
      <c r="BQ74" s="1849"/>
      <c r="BR74" s="1849"/>
      <c r="BS74" s="1849"/>
      <c r="BT74" s="1849"/>
      <c r="BU74" s="1849"/>
      <c r="BV74" s="1849"/>
      <c r="BW74" s="1849"/>
      <c r="BX74" s="1849"/>
      <c r="BY74" s="1849"/>
      <c r="BZ74" s="1849"/>
      <c r="CA74" s="1849"/>
      <c r="CB74" s="1849"/>
    </row>
  </sheetData>
  <mergeCells count="24">
    <mergeCell ref="A67:P67"/>
    <mergeCell ref="A68:F68"/>
    <mergeCell ref="A60:H60"/>
    <mergeCell ref="A62:P62"/>
    <mergeCell ref="A63:H63"/>
    <mergeCell ref="A64:P64"/>
    <mergeCell ref="A65:P65"/>
    <mergeCell ref="A66:P66"/>
    <mergeCell ref="J4:K5"/>
    <mergeCell ref="L4:M5"/>
    <mergeCell ref="N4:O4"/>
    <mergeCell ref="P4:P6"/>
    <mergeCell ref="A55:F55"/>
    <mergeCell ref="G56:H56"/>
    <mergeCell ref="A1:P1"/>
    <mergeCell ref="A2:P2"/>
    <mergeCell ref="A3:P3"/>
    <mergeCell ref="A4:A6"/>
    <mergeCell ref="B4:B6"/>
    <mergeCell ref="C4:C6"/>
    <mergeCell ref="D4:D6"/>
    <mergeCell ref="E4:E6"/>
    <mergeCell ref="F4:G5"/>
    <mergeCell ref="H4:I5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56" fitToHeight="3" orientation="landscape" r:id="rId1"/>
  <headerFooter alignWithMargins="0">
    <oddHeader>&amp;R&amp;P</oddHeader>
  </headerFooter>
  <rowBreaks count="2" manualBreakCount="2">
    <brk id="30" max="15" man="1"/>
    <brk id="59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D67B-D6C1-462F-9B3D-BC165ED54098}">
  <dimension ref="A1:AX82"/>
  <sheetViews>
    <sheetView zoomScale="70" zoomScaleNormal="70" workbookViewId="0">
      <pane xSplit="9" ySplit="9" topLeftCell="J17" activePane="bottomRight" state="frozen"/>
      <selection activeCell="AH10" sqref="AH10"/>
      <selection pane="topRight" activeCell="AH10" sqref="AH10"/>
      <selection pane="bottomLeft" activeCell="AH10" sqref="AH10"/>
      <selection pane="bottomRight" activeCell="N10" sqref="N10:O23"/>
    </sheetView>
  </sheetViews>
  <sheetFormatPr defaultColWidth="9.140625" defaultRowHeight="22.5"/>
  <cols>
    <col min="1" max="1" width="6.42578125" style="1442" customWidth="1"/>
    <col min="2" max="2" width="20.85546875" style="1442" customWidth="1"/>
    <col min="3" max="3" width="38.5703125" style="1442" customWidth="1"/>
    <col min="4" max="5" width="21" style="1443" hidden="1" customWidth="1"/>
    <col min="6" max="6" width="24.28515625" style="1444" customWidth="1"/>
    <col min="7" max="7" width="20.7109375" style="1444" hidden="1" customWidth="1"/>
    <col min="8" max="8" width="12.7109375" style="1543" hidden="1" customWidth="1"/>
    <col min="9" max="9" width="9.7109375" style="1446" hidden="1" customWidth="1"/>
    <col min="10" max="10" width="23.85546875" style="1445" customWidth="1"/>
    <col min="11" max="11" width="11.42578125" style="1446" customWidth="1"/>
    <col min="12" max="12" width="21.42578125" style="1445" customWidth="1"/>
    <col min="13" max="13" width="11.42578125" style="1445" customWidth="1"/>
    <col min="14" max="14" width="21.7109375" style="1447" customWidth="1"/>
    <col min="15" max="15" width="11.42578125" style="1446" customWidth="1"/>
    <col min="16" max="16" width="15.85546875" style="1445" hidden="1" customWidth="1"/>
    <col min="17" max="17" width="18.5703125" style="1445" hidden="1" customWidth="1"/>
    <col min="18" max="18" width="13.28515625" style="1445" hidden="1" customWidth="1"/>
    <col min="19" max="19" width="16.42578125" style="1445" hidden="1" customWidth="1"/>
    <col min="20" max="20" width="16.42578125" style="1448" hidden="1" customWidth="1"/>
    <col min="21" max="21" width="16.85546875" style="1448" hidden="1" customWidth="1"/>
    <col min="22" max="22" width="15.7109375" style="1448" hidden="1" customWidth="1"/>
    <col min="23" max="23" width="16.85546875" style="1448" hidden="1" customWidth="1"/>
    <col min="24" max="25" width="12.42578125" style="1448" hidden="1" customWidth="1"/>
    <col min="26" max="26" width="9.140625" style="1448" hidden="1" customWidth="1"/>
    <col min="27" max="27" width="15.28515625" style="1448" hidden="1" customWidth="1"/>
    <col min="28" max="28" width="17.28515625" style="1448" hidden="1" customWidth="1"/>
    <col min="29" max="30" width="17.42578125" style="1448" hidden="1" customWidth="1"/>
    <col min="31" max="31" width="21.5703125" style="1448" customWidth="1"/>
    <col min="32" max="32" width="7.85546875" style="1450" hidden="1" customWidth="1"/>
    <col min="33" max="33" width="9.7109375" style="1451" hidden="1" customWidth="1"/>
    <col min="34" max="34" width="21.42578125" style="1450" hidden="1" customWidth="1"/>
    <col min="35" max="35" width="20.140625" style="1450" hidden="1" customWidth="1"/>
    <col min="36" max="36" width="16.85546875" style="1450" hidden="1" customWidth="1"/>
    <col min="37" max="37" width="17.7109375" style="1450" hidden="1" customWidth="1"/>
    <col min="38" max="16384" width="9.140625" style="1450"/>
  </cols>
  <sheetData>
    <row r="1" spans="1:37" ht="26.1" customHeight="1">
      <c r="H1" s="1445"/>
      <c r="AE1" s="1449" t="s">
        <v>1228</v>
      </c>
      <c r="AH1" s="1452" t="s">
        <v>1229</v>
      </c>
      <c r="AI1" s="2054" t="s">
        <v>1230</v>
      </c>
      <c r="AJ1" s="2054"/>
      <c r="AK1" s="2054"/>
    </row>
    <row r="2" spans="1:37" s="1453" customFormat="1" ht="26.1" customHeight="1">
      <c r="A2" s="2055" t="s">
        <v>5419</v>
      </c>
      <c r="B2" s="2055"/>
      <c r="C2" s="2055"/>
      <c r="D2" s="2055"/>
      <c r="E2" s="2055"/>
      <c r="F2" s="2055"/>
      <c r="G2" s="2055"/>
      <c r="H2" s="2055"/>
      <c r="I2" s="2055"/>
      <c r="J2" s="2055"/>
      <c r="K2" s="2055"/>
      <c r="L2" s="2055"/>
      <c r="M2" s="2055"/>
      <c r="N2" s="2055"/>
      <c r="O2" s="2055"/>
      <c r="P2" s="2055"/>
      <c r="Q2" s="2055"/>
      <c r="R2" s="2055"/>
      <c r="S2" s="2055"/>
      <c r="T2" s="2055"/>
      <c r="U2" s="2055"/>
      <c r="V2" s="2055"/>
      <c r="W2" s="2055"/>
      <c r="X2" s="2055"/>
      <c r="Y2" s="2055"/>
      <c r="Z2" s="2055"/>
      <c r="AA2" s="2055"/>
      <c r="AB2" s="2055"/>
      <c r="AC2" s="2055"/>
      <c r="AD2" s="2055"/>
      <c r="AE2" s="2055"/>
      <c r="AF2" s="2055"/>
      <c r="AG2" s="2055"/>
      <c r="AH2" s="2055"/>
    </row>
    <row r="3" spans="1:37" s="1453" customFormat="1" ht="26.1" customHeight="1">
      <c r="A3" s="2055" t="s">
        <v>898</v>
      </c>
      <c r="B3" s="2055"/>
      <c r="C3" s="2055"/>
      <c r="D3" s="2055"/>
      <c r="E3" s="2055"/>
      <c r="F3" s="2055"/>
      <c r="G3" s="2055"/>
      <c r="H3" s="2055"/>
      <c r="I3" s="2055"/>
      <c r="J3" s="2055"/>
      <c r="K3" s="2055"/>
      <c r="L3" s="2055"/>
      <c r="M3" s="2055"/>
      <c r="N3" s="2055"/>
      <c r="O3" s="2055"/>
      <c r="P3" s="2055"/>
      <c r="Q3" s="2055"/>
      <c r="R3" s="2055"/>
      <c r="S3" s="2055"/>
      <c r="T3" s="2055"/>
      <c r="U3" s="2055"/>
      <c r="V3" s="2055"/>
      <c r="W3" s="2055"/>
      <c r="X3" s="2055"/>
      <c r="Y3" s="2055"/>
      <c r="Z3" s="2055"/>
      <c r="AA3" s="2055"/>
      <c r="AB3" s="2055"/>
      <c r="AC3" s="2055"/>
      <c r="AD3" s="2055"/>
      <c r="AE3" s="2055"/>
      <c r="AF3" s="2055"/>
      <c r="AG3" s="2055"/>
      <c r="AH3" s="2055"/>
    </row>
    <row r="4" spans="1:37" s="1453" customFormat="1" ht="26.1" customHeight="1">
      <c r="A4" s="2056" t="str">
        <f>[8]จังหวัด!A5</f>
        <v xml:space="preserve">ข้อมูลสะสมตั้งแต่วันที่ 1 ตุลาคม 2566  ถึงวันที่ 15 กันยายน 2567 </v>
      </c>
      <c r="B4" s="2056"/>
      <c r="C4" s="2056"/>
      <c r="D4" s="2056"/>
      <c r="E4" s="2056"/>
      <c r="F4" s="2056"/>
      <c r="G4" s="2056"/>
      <c r="H4" s="2056"/>
      <c r="I4" s="2056"/>
      <c r="J4" s="2056"/>
      <c r="K4" s="2056"/>
      <c r="L4" s="2056"/>
      <c r="M4" s="2056"/>
      <c r="N4" s="2056"/>
      <c r="O4" s="2056"/>
      <c r="P4" s="2056"/>
      <c r="Q4" s="2056"/>
      <c r="R4" s="2056"/>
      <c r="S4" s="2056"/>
      <c r="T4" s="2056"/>
      <c r="U4" s="2056"/>
      <c r="V4" s="2056"/>
      <c r="W4" s="2056"/>
      <c r="X4" s="2056"/>
      <c r="Y4" s="2056"/>
      <c r="Z4" s="2056"/>
      <c r="AA4" s="2056"/>
      <c r="AB4" s="2056"/>
      <c r="AC4" s="2056"/>
      <c r="AD4" s="2056"/>
      <c r="AE4" s="2056"/>
      <c r="AF4" s="2056"/>
      <c r="AG4" s="2056"/>
      <c r="AH4" s="2056"/>
    </row>
    <row r="5" spans="1:37" s="1453" customFormat="1" ht="26.1" customHeight="1">
      <c r="A5" s="2057" t="s">
        <v>804</v>
      </c>
      <c r="B5" s="2057"/>
      <c r="C5" s="2057"/>
      <c r="D5" s="2057"/>
      <c r="E5" s="2057"/>
      <c r="F5" s="2057"/>
      <c r="G5" s="2057"/>
      <c r="H5" s="2057"/>
      <c r="I5" s="2057"/>
      <c r="J5" s="2057"/>
      <c r="K5" s="2057"/>
      <c r="L5" s="2057"/>
      <c r="M5" s="2057"/>
      <c r="N5" s="2057"/>
      <c r="O5" s="2057"/>
      <c r="P5" s="2057"/>
      <c r="Q5" s="2057"/>
      <c r="R5" s="2057"/>
      <c r="S5" s="2057"/>
      <c r="T5" s="2057"/>
      <c r="U5" s="2057"/>
      <c r="V5" s="2057"/>
      <c r="W5" s="2057"/>
      <c r="X5" s="2057"/>
      <c r="Y5" s="2057"/>
      <c r="Z5" s="2057"/>
      <c r="AA5" s="2057"/>
      <c r="AB5" s="2057"/>
      <c r="AC5" s="2057"/>
      <c r="AD5" s="2057"/>
      <c r="AE5" s="2057"/>
      <c r="AF5" s="2057"/>
      <c r="AG5" s="2057"/>
      <c r="AH5" s="2057"/>
    </row>
    <row r="6" spans="1:37" s="1464" customFormat="1" ht="26.1" customHeight="1">
      <c r="A6" s="2058" t="s">
        <v>805</v>
      </c>
      <c r="B6" s="2060" t="s">
        <v>723</v>
      </c>
      <c r="C6" s="2062" t="s">
        <v>724</v>
      </c>
      <c r="D6" s="1455" t="s">
        <v>316</v>
      </c>
      <c r="E6" s="1456"/>
      <c r="F6" s="2064" t="s">
        <v>5351</v>
      </c>
      <c r="G6" s="2034" t="s">
        <v>1236</v>
      </c>
      <c r="H6" s="2066"/>
      <c r="I6" s="2066"/>
      <c r="J6" s="2066"/>
      <c r="K6" s="2066"/>
      <c r="L6" s="2066"/>
      <c r="M6" s="2066"/>
      <c r="N6" s="2066"/>
      <c r="O6" s="2067"/>
      <c r="P6" s="2040" t="s">
        <v>955</v>
      </c>
      <c r="Q6" s="2041"/>
      <c r="R6" s="2041"/>
      <c r="S6" s="1457"/>
      <c r="T6" s="1458"/>
      <c r="U6" s="1458"/>
      <c r="V6" s="1458"/>
      <c r="W6" s="1458"/>
      <c r="X6" s="1458"/>
      <c r="Y6" s="1458"/>
      <c r="Z6" s="1458"/>
      <c r="AA6" s="1458"/>
      <c r="AB6" s="1459" t="s">
        <v>807</v>
      </c>
      <c r="AC6" s="1460"/>
      <c r="AD6" s="2042" t="s">
        <v>1136</v>
      </c>
      <c r="AE6" s="2045" t="s">
        <v>4</v>
      </c>
      <c r="AF6" s="1461"/>
      <c r="AG6" s="2046" t="s">
        <v>861</v>
      </c>
      <c r="AH6" s="2049" t="s">
        <v>1231</v>
      </c>
      <c r="AI6" s="2052" t="s">
        <v>971</v>
      </c>
      <c r="AJ6" s="1462"/>
      <c r="AK6" s="1463"/>
    </row>
    <row r="7" spans="1:37" s="1464" customFormat="1" ht="26.1" customHeight="1">
      <c r="A7" s="2059"/>
      <c r="B7" s="2061"/>
      <c r="C7" s="2063"/>
      <c r="D7" s="1465"/>
      <c r="E7" s="1466"/>
      <c r="F7" s="2065"/>
      <c r="G7" s="2033"/>
      <c r="H7" s="2033"/>
      <c r="I7" s="2034"/>
      <c r="J7" s="2033" t="s">
        <v>806</v>
      </c>
      <c r="K7" s="2033"/>
      <c r="L7" s="2035" t="s">
        <v>753</v>
      </c>
      <c r="M7" s="2036"/>
      <c r="N7" s="2033" t="s">
        <v>4629</v>
      </c>
      <c r="O7" s="2033"/>
      <c r="P7" s="1468"/>
      <c r="Q7" s="1469"/>
      <c r="R7" s="1470"/>
      <c r="S7" s="1457"/>
      <c r="T7" s="1458"/>
      <c r="U7" s="1458"/>
      <c r="V7" s="1458"/>
      <c r="W7" s="1458"/>
      <c r="X7" s="1458"/>
      <c r="Y7" s="1458"/>
      <c r="Z7" s="1458"/>
      <c r="AA7" s="1458"/>
      <c r="AB7" s="1471"/>
      <c r="AC7" s="1472"/>
      <c r="AD7" s="2043"/>
      <c r="AE7" s="2043"/>
      <c r="AF7" s="1473"/>
      <c r="AG7" s="2047"/>
      <c r="AH7" s="2050"/>
      <c r="AI7" s="2053"/>
      <c r="AJ7" s="1474" t="s">
        <v>957</v>
      </c>
      <c r="AK7" s="1474" t="s">
        <v>1189</v>
      </c>
    </row>
    <row r="8" spans="1:37" s="1464" customFormat="1" ht="26.1" customHeight="1">
      <c r="A8" s="2059"/>
      <c r="B8" s="2061"/>
      <c r="C8" s="2063"/>
      <c r="D8" s="1465"/>
      <c r="E8" s="1466"/>
      <c r="F8" s="2065"/>
      <c r="G8" s="1467" t="s">
        <v>803</v>
      </c>
      <c r="H8" s="1475" t="s">
        <v>12</v>
      </c>
      <c r="I8" s="1476" t="s">
        <v>860</v>
      </c>
      <c r="J8" s="1477" t="s">
        <v>803</v>
      </c>
      <c r="K8" s="1478" t="s">
        <v>12</v>
      </c>
      <c r="L8" s="1477" t="s">
        <v>803</v>
      </c>
      <c r="M8" s="1479" t="s">
        <v>12</v>
      </c>
      <c r="N8" s="1477" t="s">
        <v>803</v>
      </c>
      <c r="O8" s="1479" t="s">
        <v>12</v>
      </c>
      <c r="P8" s="1480" t="s">
        <v>956</v>
      </c>
      <c r="Q8" s="1481" t="s">
        <v>808</v>
      </c>
      <c r="R8" s="1470" t="s">
        <v>12</v>
      </c>
      <c r="S8" s="1482" t="s">
        <v>957</v>
      </c>
      <c r="T8" s="1483" t="s">
        <v>958</v>
      </c>
      <c r="U8" s="1483" t="s">
        <v>959</v>
      </c>
      <c r="V8" s="1483" t="s">
        <v>960</v>
      </c>
      <c r="W8" s="1483" t="s">
        <v>961</v>
      </c>
      <c r="X8" s="1484" t="s">
        <v>962</v>
      </c>
      <c r="Y8" s="1484" t="s">
        <v>962</v>
      </c>
      <c r="Z8" s="1458"/>
      <c r="AA8" s="1458"/>
      <c r="AB8" s="1485" t="s">
        <v>963</v>
      </c>
      <c r="AC8" s="1486" t="s">
        <v>809</v>
      </c>
      <c r="AD8" s="2044"/>
      <c r="AE8" s="2044"/>
      <c r="AF8" s="1487" t="s">
        <v>12</v>
      </c>
      <c r="AG8" s="2048"/>
      <c r="AH8" s="2051"/>
      <c r="AI8" s="2053"/>
      <c r="AJ8" s="1488"/>
      <c r="AK8" s="1489"/>
    </row>
    <row r="9" spans="1:37" s="1491" customFormat="1" ht="26.1" customHeight="1" thickBot="1">
      <c r="A9" s="2037" t="s">
        <v>273</v>
      </c>
      <c r="B9" s="2038"/>
      <c r="C9" s="2039"/>
      <c r="D9" s="1961">
        <v>682201783.96000004</v>
      </c>
      <c r="E9" s="1961">
        <v>0</v>
      </c>
      <c r="F9" s="1962">
        <f>SUM(F10:F23)</f>
        <v>830237357.85000014</v>
      </c>
      <c r="G9" s="1963">
        <f>D9+F9</f>
        <v>1512439141.8100002</v>
      </c>
      <c r="H9" s="1964">
        <v>65.685544051499804</v>
      </c>
      <c r="I9" s="1965"/>
      <c r="J9" s="1966">
        <f>SUM(J10:J23)</f>
        <v>459276428.74000001</v>
      </c>
      <c r="K9" s="1964">
        <f t="shared" ref="K9:K23" si="0">J9*100/F9</f>
        <v>55.318689817734985</v>
      </c>
      <c r="L9" s="1967">
        <f>SUM(L10:L23)</f>
        <v>203920008.98000002</v>
      </c>
      <c r="M9" s="1968">
        <f t="shared" ref="M9:M23" si="1">L9/F9*100</f>
        <v>24.561651803777597</v>
      </c>
      <c r="N9" s="1963">
        <f t="shared" ref="N9:N23" si="2">J9+L9</f>
        <v>663196437.72000003</v>
      </c>
      <c r="O9" s="1964">
        <f t="shared" ref="O9:O23" si="3">N9*100/F9</f>
        <v>79.880341621512585</v>
      </c>
      <c r="P9" s="1969"/>
      <c r="Q9" s="1970"/>
      <c r="R9" s="1971"/>
      <c r="S9" s="1972"/>
      <c r="T9" s="1972"/>
      <c r="U9" s="1973"/>
      <c r="V9" s="1974"/>
      <c r="W9" s="1974"/>
      <c r="X9" s="1975"/>
      <c r="Y9" s="1975"/>
      <c r="Z9" s="1976"/>
      <c r="AA9" s="1976"/>
      <c r="AB9" s="1977"/>
      <c r="AC9" s="1978"/>
      <c r="AD9" s="1979">
        <f>SUM(AD10:AD23)</f>
        <v>0</v>
      </c>
      <c r="AE9" s="1979">
        <f>F9-N9-AD9</f>
        <v>167040920.13000011</v>
      </c>
      <c r="AF9" s="1490">
        <f>G9-O9-AE9</f>
        <v>1345398141.7996585</v>
      </c>
      <c r="AG9" s="1490">
        <f>H9-P9-AF9</f>
        <v>-1345398076.1141145</v>
      </c>
      <c r="AH9" s="1490">
        <f>I9-Q9-AG9</f>
        <v>1345398076.1141145</v>
      </c>
      <c r="AI9" s="1490">
        <f>J9-R9-AH9</f>
        <v>-886121647.37411451</v>
      </c>
      <c r="AJ9" s="1490">
        <f>SUM(AJ10:AJ23)</f>
        <v>481573356.53999996</v>
      </c>
      <c r="AK9" s="1490">
        <f>SUM(AK10:AK23)</f>
        <v>348664001.30999994</v>
      </c>
    </row>
    <row r="10" spans="1:37" s="1464" customFormat="1" ht="26.1" customHeight="1" thickTop="1">
      <c r="A10" s="2493">
        <v>1</v>
      </c>
      <c r="B10" s="2494" t="str">
        <f>'[8]ส่วนกลาง+ศพช. 11 ศูนย์'!B10</f>
        <v>1500400001</v>
      </c>
      <c r="C10" s="2495" t="s">
        <v>824</v>
      </c>
      <c r="D10" s="1492">
        <f>+F10+E10</f>
        <v>402867</v>
      </c>
      <c r="E10" s="1492">
        <f>+[2]คืนเงินส่วนกลาง!C9</f>
        <v>0</v>
      </c>
      <c r="F10" s="1492">
        <f>[8]BPMส่วนกลาง!G12</f>
        <v>402867</v>
      </c>
      <c r="G10" s="2496">
        <v>1973372.99</v>
      </c>
      <c r="H10" s="2497">
        <v>72.857748969040813</v>
      </c>
      <c r="I10" s="2498">
        <v>8</v>
      </c>
      <c r="J10" s="2499">
        <f>[8]BPMส่วนกลาง!I12</f>
        <v>402867</v>
      </c>
      <c r="K10" s="2497">
        <f t="shared" si="0"/>
        <v>100</v>
      </c>
      <c r="L10" s="2500">
        <f>[8]BPMส่วนกลาง!J12</f>
        <v>0</v>
      </c>
      <c r="M10" s="2500">
        <f t="shared" si="1"/>
        <v>0</v>
      </c>
      <c r="N10" s="2501">
        <f t="shared" si="2"/>
        <v>402867</v>
      </c>
      <c r="O10" s="2497">
        <f t="shared" si="3"/>
        <v>100</v>
      </c>
      <c r="P10" s="2502">
        <v>0</v>
      </c>
      <c r="Q10" s="2503">
        <f>+F10-P10</f>
        <v>402867</v>
      </c>
      <c r="R10" s="2504">
        <f>+J10*100/Q10</f>
        <v>100</v>
      </c>
      <c r="S10" s="2505">
        <f>+[2]ส่วนกลาง!O12</f>
        <v>6653041.1500000004</v>
      </c>
      <c r="T10" s="2505">
        <f>+'[2]zfma 47 คีย์ Link เบิกจ่าย'!D717</f>
        <v>293700</v>
      </c>
      <c r="U10" s="2506">
        <f>+F10-S10</f>
        <v>-6250174.1500000004</v>
      </c>
      <c r="V10" s="2506">
        <f>+S10-T10+S12</f>
        <v>6359341.1500000004</v>
      </c>
      <c r="W10" s="2506">
        <f>+T10-F10</f>
        <v>-109167</v>
      </c>
      <c r="X10" s="2506" t="e">
        <f>+Q10*100/#REF!</f>
        <v>#REF!</v>
      </c>
      <c r="Y10" s="2506">
        <v>0.99077763677100006</v>
      </c>
      <c r="Z10" s="2507"/>
      <c r="AA10" s="2507"/>
      <c r="AB10" s="2508"/>
      <c r="AC10" s="2509">
        <f>+F10-AB10</f>
        <v>402867</v>
      </c>
      <c r="AD10" s="2510"/>
      <c r="AE10" s="2510">
        <f t="shared" ref="AE10:AI23" si="4">F10-N10</f>
        <v>0</v>
      </c>
      <c r="AF10" s="1493">
        <f t="shared" si="4"/>
        <v>1973272.99</v>
      </c>
      <c r="AG10" s="1493">
        <f t="shared" si="4"/>
        <v>72.857748969040813</v>
      </c>
      <c r="AH10" s="1493">
        <f t="shared" si="4"/>
        <v>-402859</v>
      </c>
      <c r="AI10" s="1493">
        <f t="shared" si="4"/>
        <v>402767</v>
      </c>
      <c r="AJ10" s="1493">
        <v>1154740.52</v>
      </c>
      <c r="AK10" s="1493">
        <f t="shared" ref="AK10:AK23" si="5">F10-AJ10</f>
        <v>-751873.52</v>
      </c>
    </row>
    <row r="11" spans="1:37" s="1464" customFormat="1" ht="26.1" customHeight="1">
      <c r="A11" s="2511">
        <v>2</v>
      </c>
      <c r="B11" s="1494" t="str">
        <f>'[8]ส่วนกลาง+ศพช. 11 ศูนย์'!B14</f>
        <v>1500400004</v>
      </c>
      <c r="C11" s="2512" t="s">
        <v>5377</v>
      </c>
      <c r="D11" s="1496">
        <f>+F11+E11</f>
        <v>468745</v>
      </c>
      <c r="E11" s="1497">
        <f>+[2]คืนเงินส่วนกลาง!C13</f>
        <v>0</v>
      </c>
      <c r="F11" s="1498">
        <f>[8]BPMส่วนกลาง!G16</f>
        <v>468745</v>
      </c>
      <c r="G11" s="1517">
        <v>1327458.21</v>
      </c>
      <c r="H11" s="1499">
        <v>82.262980899737826</v>
      </c>
      <c r="I11" s="1500">
        <v>3</v>
      </c>
      <c r="J11" s="1891">
        <f>[8]BPMส่วนกลาง!I16</f>
        <v>468745</v>
      </c>
      <c r="K11" s="1502">
        <f t="shared" si="0"/>
        <v>100</v>
      </c>
      <c r="L11" s="1503">
        <f>[8]BPMส่วนกลาง!J16</f>
        <v>0</v>
      </c>
      <c r="M11" s="1503">
        <f t="shared" si="1"/>
        <v>0</v>
      </c>
      <c r="N11" s="1504">
        <f t="shared" si="2"/>
        <v>468745</v>
      </c>
      <c r="O11" s="1499">
        <f t="shared" si="3"/>
        <v>100</v>
      </c>
      <c r="P11" s="1518">
        <v>276000</v>
      </c>
      <c r="Q11" s="1505">
        <f>+F11-P11</f>
        <v>192745</v>
      </c>
      <c r="R11" s="1506">
        <f>+J11*100/Q11</f>
        <v>243.194375989001</v>
      </c>
      <c r="S11" s="1507">
        <f>+[2]ส่วนกลาง!O22</f>
        <v>12654220</v>
      </c>
      <c r="T11" s="1508" t="e">
        <f>+'[2]zfma 47 คีย์ Link เบิกจ่าย'!#REF!</f>
        <v>#REF!</v>
      </c>
      <c r="U11" s="1509">
        <f>+F11-S11</f>
        <v>-12185475</v>
      </c>
      <c r="V11" s="1510" t="e">
        <f>+S11-T11</f>
        <v>#REF!</v>
      </c>
      <c r="W11" s="1510" t="e">
        <f>+T11-F11</f>
        <v>#REF!</v>
      </c>
      <c r="X11" s="1511" t="e">
        <f>+Q11*100/#REF!</f>
        <v>#REF!</v>
      </c>
      <c r="Y11" s="1511">
        <v>1.4379983857846135</v>
      </c>
      <c r="Z11" s="1458">
        <v>4802700</v>
      </c>
      <c r="AA11" s="1458"/>
      <c r="AB11" s="1508">
        <f>660000/2</f>
        <v>330000</v>
      </c>
      <c r="AC11" s="2513">
        <f>+F11-AB11</f>
        <v>138745</v>
      </c>
      <c r="AD11" s="2514"/>
      <c r="AE11" s="2514">
        <f t="shared" si="4"/>
        <v>0</v>
      </c>
      <c r="AF11" s="1515">
        <f t="shared" si="4"/>
        <v>1327358.21</v>
      </c>
      <c r="AG11" s="1515">
        <f t="shared" si="4"/>
        <v>-275917.73701910028</v>
      </c>
      <c r="AH11" s="1515">
        <f t="shared" si="4"/>
        <v>-192742</v>
      </c>
      <c r="AI11" s="1515">
        <f t="shared" si="4"/>
        <v>468501.80562401097</v>
      </c>
      <c r="AJ11" s="1515">
        <v>3925710.76</v>
      </c>
      <c r="AK11" s="1515">
        <f t="shared" si="5"/>
        <v>-3456965.76</v>
      </c>
    </row>
    <row r="12" spans="1:37" s="1464" customFormat="1" ht="26.1" customHeight="1">
      <c r="A12" s="2515">
        <v>3</v>
      </c>
      <c r="B12" s="2516" t="str">
        <f>'[8]ส่วนกลาง+ศพช. 11 ศูนย์'!B11</f>
        <v>1500400002</v>
      </c>
      <c r="C12" s="2517" t="s">
        <v>811</v>
      </c>
      <c r="D12" s="1846">
        <v>3985100</v>
      </c>
      <c r="E12" s="1847">
        <f>+[2]คืนเงินส่วนกลาง!C10</f>
        <v>0</v>
      </c>
      <c r="F12" s="2518">
        <f>[8]BPMส่วนกลาง!G13</f>
        <v>372418.1</v>
      </c>
      <c r="G12" s="2519">
        <v>1081041.94</v>
      </c>
      <c r="H12" s="2520">
        <v>88.883833788417064</v>
      </c>
      <c r="I12" s="2521">
        <v>2</v>
      </c>
      <c r="J12" s="2522">
        <f>[8]BPMส่วนกลาง!I13</f>
        <v>372418.1</v>
      </c>
      <c r="K12" s="2520">
        <f t="shared" si="0"/>
        <v>100</v>
      </c>
      <c r="L12" s="2523">
        <f>[8]BPMส่วนกลาง!J13</f>
        <v>0</v>
      </c>
      <c r="M12" s="2524">
        <f t="shared" si="1"/>
        <v>0</v>
      </c>
      <c r="N12" s="2525">
        <f t="shared" si="2"/>
        <v>372418.1</v>
      </c>
      <c r="O12" s="2520">
        <f t="shared" si="3"/>
        <v>100</v>
      </c>
      <c r="P12" s="2526"/>
      <c r="Q12" s="2527"/>
      <c r="R12" s="2528"/>
      <c r="S12" s="2529"/>
      <c r="T12" s="2529"/>
      <c r="U12" s="2530"/>
      <c r="V12" s="2530"/>
      <c r="W12" s="2530"/>
      <c r="X12" s="2531"/>
      <c r="Y12" s="2531"/>
      <c r="Z12" s="2532"/>
      <c r="AA12" s="2532"/>
      <c r="AB12" s="2533"/>
      <c r="AC12" s="2534"/>
      <c r="AD12" s="2535"/>
      <c r="AE12" s="2535">
        <f t="shared" si="4"/>
        <v>0</v>
      </c>
      <c r="AF12" s="1515">
        <f t="shared" si="4"/>
        <v>1080941.94</v>
      </c>
      <c r="AG12" s="1515">
        <f t="shared" si="4"/>
        <v>88.883833788417064</v>
      </c>
      <c r="AH12" s="1515">
        <f t="shared" si="4"/>
        <v>2</v>
      </c>
      <c r="AI12" s="1515">
        <f t="shared" si="4"/>
        <v>372418.1</v>
      </c>
      <c r="AJ12" s="1515">
        <v>4912340</v>
      </c>
      <c r="AK12" s="1515">
        <f t="shared" si="5"/>
        <v>-4539921.9000000004</v>
      </c>
    </row>
    <row r="13" spans="1:37" s="1464" customFormat="1" ht="26.1" customHeight="1">
      <c r="A13" s="2515">
        <v>4</v>
      </c>
      <c r="B13" s="2536" t="str">
        <f>'[8]ส่วนกลาง+ศพช. 11 ศูนย์'!B19</f>
        <v>1500400010</v>
      </c>
      <c r="C13" s="2537" t="s">
        <v>829</v>
      </c>
      <c r="D13" s="1496">
        <f t="shared" ref="D13:D23" si="6">+F13+E13</f>
        <v>547563060.11000001</v>
      </c>
      <c r="E13" s="1497">
        <f>+[2]คืนเงินส่วนกลาง!C19</f>
        <v>0</v>
      </c>
      <c r="F13" s="2518">
        <f>[8]BPMส่วนกลาง!G4</f>
        <v>547563060.11000001</v>
      </c>
      <c r="G13" s="2538">
        <v>323927071.58000004</v>
      </c>
      <c r="H13" s="2520">
        <v>63.618583556724928</v>
      </c>
      <c r="I13" s="2521">
        <v>9</v>
      </c>
      <c r="J13" s="2539">
        <f>[8]BPMส่วนกลาง!I4</f>
        <v>342556648.46999997</v>
      </c>
      <c r="K13" s="2540">
        <f t="shared" si="0"/>
        <v>62.560218799490187</v>
      </c>
      <c r="L13" s="2524">
        <f>[8]BPMส่วนกลาง!J4</f>
        <v>189265000</v>
      </c>
      <c r="M13" s="2524">
        <f t="shared" si="1"/>
        <v>34.564968637946194</v>
      </c>
      <c r="N13" s="2525">
        <f t="shared" si="2"/>
        <v>531821648.46999997</v>
      </c>
      <c r="O13" s="2520">
        <f t="shared" si="3"/>
        <v>97.125187437436395</v>
      </c>
      <c r="P13" s="2541">
        <v>312000</v>
      </c>
      <c r="Q13" s="2542">
        <f t="shared" ref="Q13:Q21" si="7">+F13-P13</f>
        <v>547251060.11000001</v>
      </c>
      <c r="R13" s="2528">
        <f t="shared" ref="R13:R21" si="8">+J13*100/Q13</f>
        <v>62.595885771540487</v>
      </c>
      <c r="S13" s="2543">
        <f>+[2]ส่วนกลาง!O21</f>
        <v>10133698.970000001</v>
      </c>
      <c r="T13" s="2544" t="e">
        <f>+'[2]zfma 47 คีย์ Link เบิกจ่าย'!#REF!</f>
        <v>#REF!</v>
      </c>
      <c r="U13" s="2545">
        <f t="shared" ref="U13:U21" si="9">+F13-S13</f>
        <v>537429361.13999999</v>
      </c>
      <c r="V13" s="2545" t="e">
        <f>+S13-T13</f>
        <v>#REF!</v>
      </c>
      <c r="W13" s="2545" t="e">
        <f>+T13-F13</f>
        <v>#REF!</v>
      </c>
      <c r="X13" s="2546" t="e">
        <f>+Q13*100/Q12</f>
        <v>#DIV/0!</v>
      </c>
      <c r="Y13" s="2546">
        <v>0.46218445101793404</v>
      </c>
      <c r="Z13" s="2532"/>
      <c r="AA13" s="2532"/>
      <c r="AB13" s="2547">
        <f>624000/2</f>
        <v>312000</v>
      </c>
      <c r="AC13" s="2534">
        <f t="shared" ref="AC13:AC21" si="10">+F13-AB13</f>
        <v>547251060.11000001</v>
      </c>
      <c r="AD13" s="2535"/>
      <c r="AE13" s="2535">
        <f t="shared" si="4"/>
        <v>15741411.640000045</v>
      </c>
      <c r="AF13" s="1515">
        <f t="shared" si="4"/>
        <v>323926974.45481259</v>
      </c>
      <c r="AG13" s="1515">
        <f t="shared" si="4"/>
        <v>-311936.38141644327</v>
      </c>
      <c r="AH13" s="1515">
        <f t="shared" si="4"/>
        <v>-547251051.11000001</v>
      </c>
      <c r="AI13" s="1515">
        <f t="shared" si="4"/>
        <v>342556585.87411422</v>
      </c>
      <c r="AJ13" s="1515">
        <v>22239297.66</v>
      </c>
      <c r="AK13" s="1515">
        <f t="shared" si="5"/>
        <v>525323762.44999999</v>
      </c>
    </row>
    <row r="14" spans="1:37" s="1464" customFormat="1" ht="26.1" customHeight="1">
      <c r="A14" s="2515">
        <v>5</v>
      </c>
      <c r="B14" s="2536" t="str">
        <f>'[8]ส่วนกลาง+ศพช. 11 ศูนย์'!B21</f>
        <v>1500400111</v>
      </c>
      <c r="C14" s="2548" t="s">
        <v>826</v>
      </c>
      <c r="D14" s="1496">
        <f t="shared" si="6"/>
        <v>12228337.949999999</v>
      </c>
      <c r="E14" s="1497">
        <f>+[2]คืนเงินส่วนกลาง!C21</f>
        <v>0</v>
      </c>
      <c r="F14" s="2518">
        <f>[8]BPMส่วนกลาง!G5</f>
        <v>12228337.949999999</v>
      </c>
      <c r="G14" s="2538">
        <v>7164639.8499999996</v>
      </c>
      <c r="H14" s="2520">
        <v>32.5275132796707</v>
      </c>
      <c r="I14" s="2521">
        <v>14</v>
      </c>
      <c r="J14" s="2539">
        <f>[8]BPMส่วนกลาง!I5</f>
        <v>10228773.42</v>
      </c>
      <c r="K14" s="2540">
        <f t="shared" si="0"/>
        <v>83.648108694935118</v>
      </c>
      <c r="L14" s="2524">
        <f>[8]BPMส่วนกลาง!J5</f>
        <v>1500000</v>
      </c>
      <c r="M14" s="2524">
        <f t="shared" si="1"/>
        <v>12.266589344629619</v>
      </c>
      <c r="N14" s="2525">
        <f t="shared" si="2"/>
        <v>11728773.42</v>
      </c>
      <c r="O14" s="2520">
        <f t="shared" si="3"/>
        <v>95.91469803956474</v>
      </c>
      <c r="P14" s="2549">
        <v>54000</v>
      </c>
      <c r="Q14" s="2542">
        <f t="shared" si="7"/>
        <v>12174337.949999999</v>
      </c>
      <c r="R14" s="2528">
        <f t="shared" si="8"/>
        <v>84.019134855706881</v>
      </c>
      <c r="S14" s="2543">
        <f>+[2]ส่วนกลาง!O15</f>
        <v>17678075</v>
      </c>
      <c r="T14" s="2544">
        <f>+'[2]zfma 47 คีย์ Link เบิกจ่าย'!D1098</f>
        <v>748300</v>
      </c>
      <c r="U14" s="2545">
        <f t="shared" si="9"/>
        <v>-5449737.0500000007</v>
      </c>
      <c r="V14" s="2545">
        <f>+S14-T14</f>
        <v>16929775</v>
      </c>
      <c r="W14" s="2545">
        <f>+T14-F14</f>
        <v>-11480037.949999999</v>
      </c>
      <c r="X14" s="2546" t="e">
        <f>+Q14*100/#REF!</f>
        <v>#REF!</v>
      </c>
      <c r="Y14" s="2546">
        <v>19.45249781506994</v>
      </c>
      <c r="Z14" s="2532"/>
      <c r="AA14" s="2550">
        <f>+Z14-W14</f>
        <v>11480037.949999999</v>
      </c>
      <c r="AB14" s="2547">
        <f>108000/2</f>
        <v>54000</v>
      </c>
      <c r="AC14" s="2534">
        <f t="shared" si="10"/>
        <v>12174337.949999999</v>
      </c>
      <c r="AD14" s="2535"/>
      <c r="AE14" s="2535">
        <f t="shared" si="4"/>
        <v>499564.52999999933</v>
      </c>
      <c r="AF14" s="1515">
        <f t="shared" si="4"/>
        <v>7164543.9353019604</v>
      </c>
      <c r="AG14" s="1515">
        <f t="shared" si="4"/>
        <v>-53967.472486720326</v>
      </c>
      <c r="AH14" s="1515">
        <f t="shared" si="4"/>
        <v>-12174323.949999999</v>
      </c>
      <c r="AI14" s="1515">
        <f t="shared" si="4"/>
        <v>10228689.400865145</v>
      </c>
      <c r="AJ14" s="1515">
        <v>4312000</v>
      </c>
      <c r="AK14" s="1515">
        <f t="shared" si="5"/>
        <v>7916337.9499999993</v>
      </c>
    </row>
    <row r="15" spans="1:37" s="1464" customFormat="1" ht="26.1" customHeight="1">
      <c r="A15" s="2515">
        <v>6</v>
      </c>
      <c r="B15" s="2536" t="str">
        <f>'[8]ส่วนกลาง+ศพช. 11 ศูนย์'!B23</f>
        <v>1500400125</v>
      </c>
      <c r="C15" s="2551" t="s">
        <v>868</v>
      </c>
      <c r="D15" s="1496">
        <f t="shared" si="6"/>
        <v>1699690.4</v>
      </c>
      <c r="E15" s="1497"/>
      <c r="F15" s="2518">
        <f>[8]BPMส่วนกลาง!G10</f>
        <v>1699690.4</v>
      </c>
      <c r="G15" s="2538"/>
      <c r="H15" s="2520"/>
      <c r="I15" s="2521"/>
      <c r="J15" s="2539">
        <f>[8]BPMส่วนกลาง!I10</f>
        <v>1618335.92</v>
      </c>
      <c r="K15" s="2540">
        <f t="shared" si="0"/>
        <v>95.213570659691911</v>
      </c>
      <c r="L15" s="2524">
        <f>[8]BPMส่วนกลาง!J10</f>
        <v>0</v>
      </c>
      <c r="M15" s="2524">
        <f t="shared" si="1"/>
        <v>0</v>
      </c>
      <c r="N15" s="2525">
        <f t="shared" si="2"/>
        <v>1618335.92</v>
      </c>
      <c r="O15" s="2520">
        <f t="shared" si="3"/>
        <v>95.213570659691911</v>
      </c>
      <c r="P15" s="2552">
        <v>0</v>
      </c>
      <c r="Q15" s="2542">
        <f t="shared" si="7"/>
        <v>1699690.4</v>
      </c>
      <c r="R15" s="2528">
        <f t="shared" si="8"/>
        <v>95.213570659691911</v>
      </c>
      <c r="S15" s="2543">
        <f>+[2]ส่วนกลาง!O16</f>
        <v>16798450.48</v>
      </c>
      <c r="T15" s="2553">
        <f>+'[2]zfma 47 คีย์ Link เบิกจ่าย'!D1139</f>
        <v>0</v>
      </c>
      <c r="U15" s="2545">
        <f t="shared" si="9"/>
        <v>-15098760.08</v>
      </c>
      <c r="V15" s="2545">
        <f>+S15-T15</f>
        <v>16798450.48</v>
      </c>
      <c r="W15" s="2545">
        <f>+T15-F15</f>
        <v>-1699690.4</v>
      </c>
      <c r="X15" s="2546" t="e">
        <f>+Q15*100/#REF!</f>
        <v>#REF!</v>
      </c>
      <c r="Y15" s="2546">
        <v>1.3485422353811252</v>
      </c>
      <c r="Z15" s="2532"/>
      <c r="AA15" s="2532"/>
      <c r="AB15" s="2547"/>
      <c r="AC15" s="2534">
        <f t="shared" si="10"/>
        <v>1699690.4</v>
      </c>
      <c r="AD15" s="2535"/>
      <c r="AE15" s="2535">
        <f t="shared" si="4"/>
        <v>81354.479999999981</v>
      </c>
      <c r="AF15" s="1515">
        <f t="shared" si="4"/>
        <v>-95.213570659691911</v>
      </c>
      <c r="AG15" s="1515">
        <f t="shared" si="4"/>
        <v>0</v>
      </c>
      <c r="AH15" s="1515">
        <f t="shared" si="4"/>
        <v>-1699690.4</v>
      </c>
      <c r="AI15" s="1515">
        <f t="shared" si="4"/>
        <v>1618240.7064293402</v>
      </c>
      <c r="AJ15" s="1515">
        <v>36639600</v>
      </c>
      <c r="AK15" s="1515">
        <f t="shared" si="5"/>
        <v>-34939909.600000001</v>
      </c>
    </row>
    <row r="16" spans="1:37" s="1464" customFormat="1" ht="26.1" customHeight="1">
      <c r="A16" s="2515">
        <v>7</v>
      </c>
      <c r="B16" s="2536" t="str">
        <f>'[8]ส่วนกลาง+ศพช. 11 ศูนย์'!B16</f>
        <v>1500400007</v>
      </c>
      <c r="C16" s="2548" t="s">
        <v>831</v>
      </c>
      <c r="D16" s="1496">
        <f t="shared" si="6"/>
        <v>10002406.23</v>
      </c>
      <c r="E16" s="1497">
        <f>+[2]คืนเงินส่วนกลาง!C16</f>
        <v>0</v>
      </c>
      <c r="F16" s="2518">
        <f>[8]BPMส่วนกลาง!G9</f>
        <v>10002406.23</v>
      </c>
      <c r="G16" s="2538">
        <v>8739110.6600000001</v>
      </c>
      <c r="H16" s="2520">
        <v>48.841682770376138</v>
      </c>
      <c r="I16" s="2521">
        <v>11</v>
      </c>
      <c r="J16" s="2539">
        <f>[8]BPMส่วนกลาง!I9</f>
        <v>3073031.93</v>
      </c>
      <c r="K16" s="2540">
        <f t="shared" si="0"/>
        <v>30.722926657218959</v>
      </c>
      <c r="L16" s="2524">
        <f>[8]BPMส่วนกลาง!J9</f>
        <v>6260000</v>
      </c>
      <c r="M16" s="2524">
        <f t="shared" si="1"/>
        <v>62.584940623832267</v>
      </c>
      <c r="N16" s="2525">
        <f t="shared" si="2"/>
        <v>9333031.9299999997</v>
      </c>
      <c r="O16" s="2520">
        <f t="shared" si="3"/>
        <v>93.30786728105123</v>
      </c>
      <c r="P16" s="2541"/>
      <c r="Q16" s="2542">
        <f t="shared" si="7"/>
        <v>10002406.23</v>
      </c>
      <c r="R16" s="2528">
        <f t="shared" si="8"/>
        <v>30.722926657218959</v>
      </c>
      <c r="S16" s="2543">
        <f>+[2]ส่วนกลาง!O10</f>
        <v>1216241.3500000001</v>
      </c>
      <c r="T16" s="2544">
        <f>+'[2]zfma 47 คีย์ Link เบิกจ่าย'!D648</f>
        <v>1659165</v>
      </c>
      <c r="U16" s="2545">
        <f t="shared" si="9"/>
        <v>8786164.8800000008</v>
      </c>
      <c r="V16" s="2545">
        <v>0</v>
      </c>
      <c r="W16" s="2545">
        <v>0</v>
      </c>
      <c r="X16" s="2546" t="e">
        <f>+Q16*100/Q12</f>
        <v>#DIV/0!</v>
      </c>
      <c r="Y16" s="2546">
        <v>1.3503316094938693</v>
      </c>
      <c r="Z16" s="2532"/>
      <c r="AA16" s="2532"/>
      <c r="AB16" s="2547"/>
      <c r="AC16" s="2534">
        <f t="shared" si="10"/>
        <v>10002406.23</v>
      </c>
      <c r="AD16" s="2535"/>
      <c r="AE16" s="2554">
        <f t="shared" si="4"/>
        <v>669374.30000000075</v>
      </c>
      <c r="AF16" s="1515">
        <f t="shared" si="4"/>
        <v>8739017.352132719</v>
      </c>
      <c r="AG16" s="1515">
        <f t="shared" si="4"/>
        <v>48.841682770376138</v>
      </c>
      <c r="AH16" s="1515">
        <f t="shared" si="4"/>
        <v>-10002395.23</v>
      </c>
      <c r="AI16" s="1515">
        <f t="shared" si="4"/>
        <v>3073001.207073343</v>
      </c>
      <c r="AJ16" s="1515">
        <v>167162052</v>
      </c>
      <c r="AK16" s="1515">
        <f t="shared" si="5"/>
        <v>-157159645.77000001</v>
      </c>
    </row>
    <row r="17" spans="1:37" s="1464" customFormat="1" ht="26.1" customHeight="1">
      <c r="A17" s="2515">
        <v>8</v>
      </c>
      <c r="B17" s="2536" t="str">
        <f>'[8]ส่วนกลาง+ศพช. 11 ศูนย์'!B20</f>
        <v>1500400011</v>
      </c>
      <c r="C17" s="2548" t="s">
        <v>833</v>
      </c>
      <c r="D17" s="1496">
        <f t="shared" si="6"/>
        <v>11081518.85</v>
      </c>
      <c r="E17" s="1519">
        <f>+[2]คืนเงินส่วนกลาง!C20</f>
        <v>0</v>
      </c>
      <c r="F17" s="2518">
        <f>[8]BPMส่วนกลาง!G3</f>
        <v>11081518.85</v>
      </c>
      <c r="G17" s="2538">
        <v>7995666.5</v>
      </c>
      <c r="H17" s="2520">
        <v>44.214710271021303</v>
      </c>
      <c r="I17" s="2521">
        <v>12</v>
      </c>
      <c r="J17" s="2539">
        <f>[8]BPMส่วนกลาง!I3</f>
        <v>9383379.7000000011</v>
      </c>
      <c r="K17" s="2540">
        <f t="shared" si="0"/>
        <v>84.675935014088807</v>
      </c>
      <c r="L17" s="2524">
        <f>[8]BPMส่วนกลาง!J3</f>
        <v>729440.4</v>
      </c>
      <c r="M17" s="2524">
        <f t="shared" si="1"/>
        <v>6.5824947813900083</v>
      </c>
      <c r="N17" s="2525">
        <f t="shared" si="2"/>
        <v>10112820.100000001</v>
      </c>
      <c r="O17" s="2520">
        <f t="shared" si="3"/>
        <v>91.258429795478818</v>
      </c>
      <c r="P17" s="2541">
        <v>132000</v>
      </c>
      <c r="Q17" s="2542">
        <f t="shared" si="7"/>
        <v>10949518.85</v>
      </c>
      <c r="R17" s="2528">
        <f t="shared" si="8"/>
        <v>85.69673086594122</v>
      </c>
      <c r="S17" s="2543">
        <f>+[2]ส่วนกลาง!O20</f>
        <v>18214764.739999998</v>
      </c>
      <c r="T17" s="2544">
        <f>+'[2]zfma 47 คีย์ Link เบิกจ่าย'!D1481</f>
        <v>0</v>
      </c>
      <c r="U17" s="2545">
        <f t="shared" si="9"/>
        <v>-7133245.8899999987</v>
      </c>
      <c r="V17" s="2545">
        <f>+S17-T17</f>
        <v>18214764.739999998</v>
      </c>
      <c r="W17" s="2545">
        <f>+T17-F17</f>
        <v>-11081518.85</v>
      </c>
      <c r="X17" s="2546" t="e">
        <f>+Q17*100/#REF!</f>
        <v>#REF!</v>
      </c>
      <c r="Y17" s="2546">
        <v>2.1042538281645511</v>
      </c>
      <c r="Z17" s="2532"/>
      <c r="AA17" s="2532"/>
      <c r="AB17" s="2547">
        <f>264000/2</f>
        <v>132000</v>
      </c>
      <c r="AC17" s="2534">
        <f t="shared" si="10"/>
        <v>10949518.85</v>
      </c>
      <c r="AD17" s="2535"/>
      <c r="AE17" s="2535">
        <f t="shared" si="4"/>
        <v>968698.74999999814</v>
      </c>
      <c r="AF17" s="1515">
        <f t="shared" si="4"/>
        <v>7995575.2415702045</v>
      </c>
      <c r="AG17" s="1515">
        <f t="shared" si="4"/>
        <v>-131955.78528972898</v>
      </c>
      <c r="AH17" s="1515">
        <f t="shared" si="4"/>
        <v>-10949506.85</v>
      </c>
      <c r="AI17" s="1515">
        <f t="shared" si="4"/>
        <v>9383294.003269136</v>
      </c>
      <c r="AJ17" s="1515">
        <v>8196200</v>
      </c>
      <c r="AK17" s="1515">
        <f t="shared" si="5"/>
        <v>2885318.8499999996</v>
      </c>
    </row>
    <row r="18" spans="1:37" s="1464" customFormat="1" ht="26.1" customHeight="1">
      <c r="A18" s="2515">
        <v>9</v>
      </c>
      <c r="B18" s="1494" t="str">
        <f>'[8]ส่วนกลาง+ศพช. 11 ศูนย์'!B22</f>
        <v>1500400112</v>
      </c>
      <c r="C18" s="1495" t="s">
        <v>750</v>
      </c>
      <c r="D18" s="1496">
        <f t="shared" si="6"/>
        <v>5419555</v>
      </c>
      <c r="E18" s="1519">
        <f>+[2]คืนเงินส่วนกลาง!C22</f>
        <v>0</v>
      </c>
      <c r="F18" s="1498">
        <f>[8]BPMส่วนกลาง!G15</f>
        <v>5419555</v>
      </c>
      <c r="G18" s="2555">
        <v>6100841.5700000003</v>
      </c>
      <c r="H18" s="1499">
        <v>48.211913258976054</v>
      </c>
      <c r="I18" s="1500">
        <v>10</v>
      </c>
      <c r="J18" s="1983">
        <f>[8]BPMส่วนกลาง!I15</f>
        <v>4854619.24</v>
      </c>
      <c r="K18" s="1502">
        <f t="shared" si="0"/>
        <v>89.575975149251178</v>
      </c>
      <c r="L18" s="1503">
        <f>[8]BPMส่วนกลาง!J15</f>
        <v>0</v>
      </c>
      <c r="M18" s="1503">
        <f t="shared" si="1"/>
        <v>0</v>
      </c>
      <c r="N18" s="1504">
        <f t="shared" si="2"/>
        <v>4854619.24</v>
      </c>
      <c r="O18" s="1499">
        <f t="shared" si="3"/>
        <v>89.575975149251178</v>
      </c>
      <c r="P18" s="1518">
        <v>0</v>
      </c>
      <c r="Q18" s="1505">
        <f t="shared" si="7"/>
        <v>5419555</v>
      </c>
      <c r="R18" s="1506">
        <f t="shared" si="8"/>
        <v>89.575975149251178</v>
      </c>
      <c r="S18" s="1507">
        <f>+[2]ส่วนกลาง!O17</f>
        <v>16847429.469999999</v>
      </c>
      <c r="T18" s="1508">
        <f>+'[2]zfma 47 คีย์ Link เบิกจ่าย'!D1206</f>
        <v>0</v>
      </c>
      <c r="U18" s="1509">
        <f t="shared" si="9"/>
        <v>-11427874.469999999</v>
      </c>
      <c r="V18" s="1510">
        <f>+S18-T18</f>
        <v>16847429.469999999</v>
      </c>
      <c r="W18" s="1510">
        <f>+T18-F18</f>
        <v>-5419555</v>
      </c>
      <c r="X18" s="1511" t="e">
        <f>+Q18*100/#REF!</f>
        <v>#REF!</v>
      </c>
      <c r="Y18" s="1511">
        <v>63.059749317621943</v>
      </c>
      <c r="Z18" s="1458"/>
      <c r="AA18" s="1458"/>
      <c r="AB18" s="1512"/>
      <c r="AC18" s="1513">
        <f t="shared" si="10"/>
        <v>5419555</v>
      </c>
      <c r="AD18" s="1514"/>
      <c r="AE18" s="1514">
        <f t="shared" si="4"/>
        <v>564935.75999999978</v>
      </c>
      <c r="AF18" s="2556">
        <f t="shared" si="4"/>
        <v>6100751.9940248514</v>
      </c>
      <c r="AG18" s="2556">
        <f t="shared" si="4"/>
        <v>48.211913258976054</v>
      </c>
      <c r="AH18" s="2556">
        <f t="shared" si="4"/>
        <v>-5419545</v>
      </c>
      <c r="AI18" s="2556">
        <f t="shared" si="4"/>
        <v>4854529.6640248513</v>
      </c>
      <c r="AJ18" s="2556">
        <v>17477100</v>
      </c>
      <c r="AK18" s="2556">
        <f t="shared" si="5"/>
        <v>-12057545</v>
      </c>
    </row>
    <row r="19" spans="1:37" s="1464" customFormat="1" ht="26.1" customHeight="1">
      <c r="A19" s="2515">
        <v>10</v>
      </c>
      <c r="B19" s="2536" t="str">
        <f>'[8]ส่วนกลาง+ศพช. 11 ศูนย์'!B13</f>
        <v>1500400004</v>
      </c>
      <c r="C19" s="2548" t="s">
        <v>813</v>
      </c>
      <c r="D19" s="1496">
        <f t="shared" si="6"/>
        <v>6088297.5800000001</v>
      </c>
      <c r="E19" s="1519">
        <f>+[2]คืนเงินส่วนกลาง!C12</f>
        <v>0</v>
      </c>
      <c r="F19" s="2518">
        <f>[8]BPMส่วนกลาง!G6</f>
        <v>6088297.5800000001</v>
      </c>
      <c r="G19" s="2557">
        <v>5619538.1500000004</v>
      </c>
      <c r="H19" s="2520">
        <v>82.803241347309736</v>
      </c>
      <c r="I19" s="2521">
        <v>6</v>
      </c>
      <c r="J19" s="2558">
        <f>[8]BPMส่วนกลาง!I6</f>
        <v>5445427.5800000001</v>
      </c>
      <c r="K19" s="2540">
        <f t="shared" si="0"/>
        <v>89.440890633995579</v>
      </c>
      <c r="L19" s="2524">
        <f>[8]BPMส่วนกลาง!J6</f>
        <v>0</v>
      </c>
      <c r="M19" s="2524">
        <f t="shared" si="1"/>
        <v>0</v>
      </c>
      <c r="N19" s="2525">
        <f t="shared" si="2"/>
        <v>5445427.5800000001</v>
      </c>
      <c r="O19" s="2520">
        <f t="shared" si="3"/>
        <v>89.440890633995579</v>
      </c>
      <c r="P19" s="2559">
        <v>1344000</v>
      </c>
      <c r="Q19" s="2542">
        <f t="shared" si="7"/>
        <v>4744297.58</v>
      </c>
      <c r="R19" s="2528">
        <f t="shared" si="8"/>
        <v>114.7783731559267</v>
      </c>
      <c r="S19" s="2543">
        <f>+[2]ส่วนกลาง!O9</f>
        <v>2708528.63</v>
      </c>
      <c r="T19" s="2544">
        <f>+'[2]zfma 47 คีย์ Link เบิกจ่าย'!D619</f>
        <v>166780</v>
      </c>
      <c r="U19" s="2545">
        <f t="shared" si="9"/>
        <v>3379768.95</v>
      </c>
      <c r="V19" s="2545">
        <f>+S19-T19</f>
        <v>2541748.63</v>
      </c>
      <c r="W19" s="2545">
        <f>+T19-F19</f>
        <v>-5921517.5800000001</v>
      </c>
      <c r="X19" s="2546">
        <f>+Q19*100/Q13</f>
        <v>0.86693255177000006</v>
      </c>
      <c r="Y19" s="2546">
        <v>0.31547330704666804</v>
      </c>
      <c r="Z19" s="2532"/>
      <c r="AA19" s="2532"/>
      <c r="AB19" s="2547">
        <f>2688000/2</f>
        <v>1344000</v>
      </c>
      <c r="AC19" s="2534">
        <f t="shared" si="10"/>
        <v>4744297.58</v>
      </c>
      <c r="AD19" s="2535"/>
      <c r="AE19" s="2535">
        <f t="shared" si="4"/>
        <v>642870</v>
      </c>
      <c r="AF19" s="1515">
        <f>G19-O19-AE19</f>
        <v>4976578.7091093659</v>
      </c>
      <c r="AG19" s="1515">
        <f>H19-P19-AF19</f>
        <v>-6320495.905868019</v>
      </c>
      <c r="AH19" s="1515">
        <f>I19-Q19-AG19</f>
        <v>1576204.3258680189</v>
      </c>
      <c r="AI19" s="1515">
        <f>J19-R19-AH19</f>
        <v>3869108.4757588254</v>
      </c>
      <c r="AJ19" s="1515">
        <v>206562415.59999999</v>
      </c>
      <c r="AK19" s="1515">
        <f t="shared" si="5"/>
        <v>-200474118.01999998</v>
      </c>
    </row>
    <row r="20" spans="1:37" s="1464" customFormat="1" ht="26.1" customHeight="1">
      <c r="A20" s="2515">
        <v>11</v>
      </c>
      <c r="B20" s="2536" t="str">
        <f>'[8]ส่วนกลาง+ศพช. 11 ศูนย์'!B12</f>
        <v>1500400003</v>
      </c>
      <c r="C20" s="2548" t="s">
        <v>815</v>
      </c>
      <c r="D20" s="1496">
        <f t="shared" si="6"/>
        <v>4905492.76</v>
      </c>
      <c r="E20" s="1519">
        <f>+[2]คืนเงินส่วนกลาง!C11</f>
        <v>0</v>
      </c>
      <c r="F20" s="2518">
        <f>[8]BPMส่วนกลาง!G14</f>
        <v>4905492.76</v>
      </c>
      <c r="G20" s="2538">
        <v>7364234.3099999996</v>
      </c>
      <c r="H20" s="2520">
        <v>81.007532124269858</v>
      </c>
      <c r="I20" s="2521">
        <v>5</v>
      </c>
      <c r="J20" s="2539">
        <f>[8]BPMส่วนกลาง!I14</f>
        <v>4239918.26</v>
      </c>
      <c r="K20" s="2540">
        <f t="shared" si="0"/>
        <v>86.432056216101728</v>
      </c>
      <c r="L20" s="2524">
        <f>[8]BPMส่วนกลาง!J14</f>
        <v>0</v>
      </c>
      <c r="M20" s="2524">
        <f t="shared" si="1"/>
        <v>0</v>
      </c>
      <c r="N20" s="2525">
        <f t="shared" si="2"/>
        <v>4239918.26</v>
      </c>
      <c r="O20" s="2520">
        <f t="shared" si="3"/>
        <v>86.432056216101728</v>
      </c>
      <c r="P20" s="2560">
        <f>492000+'[2] ศูนย์'!G9</f>
        <v>4734000</v>
      </c>
      <c r="Q20" s="2561">
        <f t="shared" si="7"/>
        <v>171492.75999999978</v>
      </c>
      <c r="R20" s="2528">
        <f t="shared" si="8"/>
        <v>2472.3599177014853</v>
      </c>
      <c r="S20" s="2543">
        <f>+[2]ส่วนกลาง!O19</f>
        <v>513609334.31999999</v>
      </c>
      <c r="T20" s="2544">
        <f>+'[2]zfma 47 คีย์ Link เบิกจ่าย'!D1397</f>
        <v>4289500</v>
      </c>
      <c r="U20" s="2545">
        <f t="shared" si="9"/>
        <v>-508703841.56</v>
      </c>
      <c r="V20" s="2545">
        <f>+S20-T20</f>
        <v>509319834.31999999</v>
      </c>
      <c r="W20" s="2545">
        <f>+T20-F20</f>
        <v>-615992.75999999978</v>
      </c>
      <c r="X20" s="2546" t="e">
        <f>+Q20*100/#REF!</f>
        <v>#REF!</v>
      </c>
      <c r="Y20" s="2546">
        <v>1.1308570732501717</v>
      </c>
      <c r="Z20" s="2532"/>
      <c r="AA20" s="2532"/>
      <c r="AB20" s="2547">
        <f>(984000/2)+'[2] ศูนย์'!P9</f>
        <v>4890000</v>
      </c>
      <c r="AC20" s="2534">
        <f t="shared" si="10"/>
        <v>15492.759999999776</v>
      </c>
      <c r="AD20" s="2535"/>
      <c r="AE20" s="2535">
        <f t="shared" si="4"/>
        <v>665574.5</v>
      </c>
      <c r="AF20" s="1515">
        <f t="shared" si="4"/>
        <v>7364147.8779437831</v>
      </c>
      <c r="AG20" s="1515">
        <f t="shared" si="4"/>
        <v>-4733918.9924678756</v>
      </c>
      <c r="AH20" s="1515">
        <f t="shared" si="4"/>
        <v>-171487.75999999978</v>
      </c>
      <c r="AI20" s="1515">
        <f t="shared" si="4"/>
        <v>4237445.9000822986</v>
      </c>
      <c r="AJ20" s="1515">
        <v>1457400</v>
      </c>
      <c r="AK20" s="1515">
        <f t="shared" si="5"/>
        <v>3448092.76</v>
      </c>
    </row>
    <row r="21" spans="1:37" s="1464" customFormat="1" ht="26.1" customHeight="1">
      <c r="A21" s="1516">
        <v>12</v>
      </c>
      <c r="B21" s="1494" t="str">
        <f>'[8]ส่วนกลาง+ศพช. 11 ศูนย์'!B17</f>
        <v>1500400008</v>
      </c>
      <c r="C21" s="1495" t="s">
        <v>835</v>
      </c>
      <c r="D21" s="1496">
        <f t="shared" si="6"/>
        <v>7491972.6999999993</v>
      </c>
      <c r="E21" s="1519">
        <f>+[2]คืนเงินส่วนกลาง!C17</f>
        <v>0</v>
      </c>
      <c r="F21" s="1498">
        <f>[8]BPMส่วนกลาง!G7</f>
        <v>7491972.6999999993</v>
      </c>
      <c r="G21" s="2562">
        <v>5750857.9400000004</v>
      </c>
      <c r="H21" s="1499">
        <v>34.169000929232624</v>
      </c>
      <c r="I21" s="1500">
        <v>13</v>
      </c>
      <c r="J21" s="1501">
        <f>[8]BPMส่วนกลาง!I7</f>
        <v>6000570.0999999996</v>
      </c>
      <c r="K21" s="1502">
        <f t="shared" si="0"/>
        <v>80.093325753843189</v>
      </c>
      <c r="L21" s="1503">
        <f>[8]BPMส่วนกลาง!J7</f>
        <v>30000</v>
      </c>
      <c r="M21" s="1503">
        <f t="shared" si="1"/>
        <v>0.40042858138017512</v>
      </c>
      <c r="N21" s="1504">
        <f t="shared" si="2"/>
        <v>6030570.0999999996</v>
      </c>
      <c r="O21" s="1499">
        <f t="shared" si="3"/>
        <v>80.493754335223358</v>
      </c>
      <c r="P21" s="1518"/>
      <c r="Q21" s="1505">
        <f t="shared" si="7"/>
        <v>7491972.6999999993</v>
      </c>
      <c r="R21" s="1506">
        <f t="shared" si="8"/>
        <v>80.093325753843189</v>
      </c>
      <c r="S21" s="1507">
        <f>+[2]ส่วนกลาง!O14</f>
        <v>32255060.34</v>
      </c>
      <c r="T21" s="1508">
        <f>+'[2]zfma 47 คีย์ Link เบิกจ่าย'!D1067</f>
        <v>464410</v>
      </c>
      <c r="U21" s="1509">
        <f t="shared" si="9"/>
        <v>-24763087.640000001</v>
      </c>
      <c r="V21" s="1510">
        <f>+S21-T21</f>
        <v>31790650.34</v>
      </c>
      <c r="W21" s="1510">
        <f>+T21-F21</f>
        <v>-7027562.6999999993</v>
      </c>
      <c r="X21" s="1511" t="e">
        <f>+Q21*100/#REF!</f>
        <v>#REF!</v>
      </c>
      <c r="Y21" s="1511">
        <v>1.0057089110295563</v>
      </c>
      <c r="Z21" s="1458"/>
      <c r="AA21" s="1458"/>
      <c r="AB21" s="1512">
        <f>108000/2</f>
        <v>54000</v>
      </c>
      <c r="AC21" s="1513">
        <f t="shared" si="10"/>
        <v>7437972.6999999993</v>
      </c>
      <c r="AD21" s="1514"/>
      <c r="AE21" s="1514">
        <f t="shared" si="4"/>
        <v>1461402.5999999996</v>
      </c>
      <c r="AF21" s="1515">
        <f t="shared" si="4"/>
        <v>5750777.4462456647</v>
      </c>
      <c r="AG21" s="1515">
        <f t="shared" si="4"/>
        <v>34.169000929232624</v>
      </c>
      <c r="AH21" s="1515">
        <f t="shared" si="4"/>
        <v>-7491959.6999999993</v>
      </c>
      <c r="AI21" s="1515">
        <f t="shared" si="4"/>
        <v>6000490.0066742459</v>
      </c>
      <c r="AJ21" s="1515">
        <v>2456600</v>
      </c>
      <c r="AK21" s="1515">
        <f t="shared" si="5"/>
        <v>5035372.6999999993</v>
      </c>
    </row>
    <row r="22" spans="1:37" s="1464" customFormat="1" ht="26.1" customHeight="1">
      <c r="A22" s="1516">
        <v>13</v>
      </c>
      <c r="B22" s="2536" t="str">
        <f>'[8]ส่วนกลาง+ศพช. 11 ศูนย์'!B15</f>
        <v>1500400006</v>
      </c>
      <c r="C22" s="2551" t="s">
        <v>822</v>
      </c>
      <c r="D22" s="1496">
        <f t="shared" si="6"/>
        <v>37946780</v>
      </c>
      <c r="E22" s="1519">
        <f>+[2]คืนเงินส่วนกลาง!C15</f>
        <v>0</v>
      </c>
      <c r="F22" s="2518">
        <f>[8]BPMส่วนกลาง!G11</f>
        <v>37946780</v>
      </c>
      <c r="G22" s="2538">
        <v>13619078.119999999</v>
      </c>
      <c r="H22" s="2520">
        <v>77.531810517645823</v>
      </c>
      <c r="I22" s="2521">
        <v>7</v>
      </c>
      <c r="J22" s="2539">
        <f>[8]BPMส่วนกลาง!I11</f>
        <v>14241044</v>
      </c>
      <c r="K22" s="2540">
        <f t="shared" si="0"/>
        <v>37.528991919736008</v>
      </c>
      <c r="L22" s="2524">
        <f>[8]BPMส่วนกลาง!J11</f>
        <v>2360000</v>
      </c>
      <c r="M22" s="2524">
        <f t="shared" si="1"/>
        <v>6.2192365202001332</v>
      </c>
      <c r="N22" s="2525">
        <f t="shared" si="2"/>
        <v>16601044</v>
      </c>
      <c r="O22" s="2520">
        <f t="shared" si="3"/>
        <v>43.748228439936142</v>
      </c>
      <c r="P22" s="2541"/>
      <c r="Q22" s="2542"/>
      <c r="R22" s="2528"/>
      <c r="S22" s="2543"/>
      <c r="T22" s="2544"/>
      <c r="U22" s="2545"/>
      <c r="V22" s="2545"/>
      <c r="W22" s="2545"/>
      <c r="X22" s="2546"/>
      <c r="Y22" s="2546"/>
      <c r="Z22" s="2532"/>
      <c r="AA22" s="2532"/>
      <c r="AB22" s="2544"/>
      <c r="AC22" s="2563"/>
      <c r="AD22" s="2554"/>
      <c r="AE22" s="2554">
        <f t="shared" si="4"/>
        <v>21345736</v>
      </c>
      <c r="AF22" s="1515">
        <f t="shared" si="4"/>
        <v>13619034.371771559</v>
      </c>
      <c r="AG22" s="1515">
        <f t="shared" si="4"/>
        <v>77.531810517645823</v>
      </c>
      <c r="AH22" s="1515">
        <f t="shared" si="4"/>
        <v>7</v>
      </c>
      <c r="AI22" s="1515">
        <f t="shared" si="4"/>
        <v>14241044</v>
      </c>
      <c r="AJ22" s="1515">
        <v>3344400</v>
      </c>
      <c r="AK22" s="1515">
        <f t="shared" si="5"/>
        <v>34602380</v>
      </c>
    </row>
    <row r="23" spans="1:37" s="1464" customFormat="1" ht="26.1" customHeight="1">
      <c r="A23" s="1516">
        <v>14</v>
      </c>
      <c r="B23" s="2564" t="str">
        <f>'[8]ส่วนกลาง+ศพช. 11 ศูนย์'!B18</f>
        <v>1500400009</v>
      </c>
      <c r="C23" s="2565" t="s">
        <v>817</v>
      </c>
      <c r="D23" s="2566">
        <f t="shared" si="6"/>
        <v>184566216.17000002</v>
      </c>
      <c r="E23" s="2566">
        <f>+[2]คืนเงินส่วนกลาง!C18+'[2] ศูนย์'!E9</f>
        <v>0</v>
      </c>
      <c r="F23" s="1869">
        <f>'[8]ศพช. (เสนอ)'!G9+[8]BPMส่วนกลาง!G8</f>
        <v>184566216.17000002</v>
      </c>
      <c r="G23" s="2567">
        <v>85728328.860000014</v>
      </c>
      <c r="H23" s="2568">
        <v>81.715633391443149</v>
      </c>
      <c r="I23" s="2569">
        <v>4</v>
      </c>
      <c r="J23" s="2570">
        <f>[8]BPMส่วนกลาง!I8+[8]ศพช.!L9</f>
        <v>56390650.019999996</v>
      </c>
      <c r="K23" s="2568">
        <f t="shared" si="0"/>
        <v>30.553072599191051</v>
      </c>
      <c r="L23" s="2571">
        <f>[8]BPMส่วนกลาง!J8+[8]ศพช.!N9</f>
        <v>3775568.58</v>
      </c>
      <c r="M23" s="2524">
        <f t="shared" si="1"/>
        <v>2.0456444621058947</v>
      </c>
      <c r="N23" s="2571">
        <f t="shared" si="2"/>
        <v>60166218.599999994</v>
      </c>
      <c r="O23" s="2568">
        <f t="shared" si="3"/>
        <v>32.598717061296945</v>
      </c>
      <c r="P23" s="2572">
        <v>0</v>
      </c>
      <c r="Q23" s="2573">
        <f>+F23-P23</f>
        <v>184566216.17000002</v>
      </c>
      <c r="R23" s="2574">
        <f>+J23*100/Q23</f>
        <v>30.553072599191051</v>
      </c>
      <c r="S23" s="2575">
        <f>+[2]ส่วนกลาง!O11</f>
        <v>9117736.8499999996</v>
      </c>
      <c r="T23" s="2572">
        <f>+'[2]zfma 47 คีย์ Link เบิกจ่าย'!D681</f>
        <v>6514200</v>
      </c>
      <c r="U23" s="2576">
        <f>+F23-S23</f>
        <v>175448479.32000002</v>
      </c>
      <c r="V23" s="2576">
        <f>+S23-T23</f>
        <v>2603536.8499999996</v>
      </c>
      <c r="W23" s="2576">
        <f>+T23-F23</f>
        <v>-178052016.17000002</v>
      </c>
      <c r="X23" s="2577">
        <f>+Q23*100/Q18</f>
        <v>3405.5603489585401</v>
      </c>
      <c r="Y23" s="2577">
        <v>1.0268485567311691</v>
      </c>
      <c r="Z23" s="1704"/>
      <c r="AA23" s="1704"/>
      <c r="AB23" s="2578"/>
      <c r="AC23" s="2578">
        <f>+F23-AB23</f>
        <v>184566216.17000002</v>
      </c>
      <c r="AD23" s="2579"/>
      <c r="AE23" s="2580">
        <f t="shared" si="4"/>
        <v>124399997.57000002</v>
      </c>
      <c r="AF23" s="2581">
        <f t="shared" si="4"/>
        <v>85728296.261282951</v>
      </c>
      <c r="AG23" s="2581">
        <f t="shared" si="4"/>
        <v>81.715633391443149</v>
      </c>
      <c r="AH23" s="2581">
        <f t="shared" si="4"/>
        <v>-184566212.17000002</v>
      </c>
      <c r="AI23" s="2581">
        <f t="shared" si="4"/>
        <v>56390619.466927394</v>
      </c>
      <c r="AJ23" s="2581">
        <v>1733500</v>
      </c>
      <c r="AK23" s="2556">
        <f t="shared" si="5"/>
        <v>182832716.17000002</v>
      </c>
    </row>
    <row r="24" spans="1:37" s="1464" customFormat="1" ht="26.1" customHeight="1">
      <c r="A24" s="1520"/>
      <c r="B24" s="1520"/>
      <c r="C24" s="1521"/>
      <c r="D24" s="1522"/>
      <c r="E24" s="1522"/>
      <c r="F24" s="1523"/>
      <c r="G24" s="1523"/>
      <c r="H24" s="1524"/>
      <c r="I24" s="1525"/>
      <c r="J24" s="1526"/>
      <c r="K24" s="1525"/>
      <c r="L24" s="1524"/>
      <c r="M24" s="1527"/>
      <c r="N24" s="1528"/>
      <c r="O24" s="1525"/>
      <c r="P24" s="1529"/>
      <c r="Q24" s="1524"/>
      <c r="R24" s="1524"/>
      <c r="S24" s="1524"/>
      <c r="T24" s="1530"/>
      <c r="U24" s="1530"/>
      <c r="V24" s="1530"/>
      <c r="W24" s="1530"/>
      <c r="X24" s="1530"/>
      <c r="Y24" s="1530"/>
      <c r="Z24" s="1530"/>
      <c r="AA24" s="1530"/>
      <c r="AB24" s="1530"/>
      <c r="AC24" s="1531"/>
      <c r="AD24" s="1530"/>
      <c r="AE24" s="1530"/>
      <c r="AF24" s="1532"/>
      <c r="AG24" s="1532"/>
      <c r="AH24" s="1532"/>
      <c r="AI24" s="1532"/>
      <c r="AJ24" s="1532"/>
      <c r="AK24" s="1532"/>
    </row>
    <row r="25" spans="1:37" s="1464" customFormat="1" ht="26.1" customHeight="1">
      <c r="A25" s="1442"/>
      <c r="B25" s="1442"/>
      <c r="C25" s="1533"/>
      <c r="D25" s="1534"/>
      <c r="E25" s="1534"/>
      <c r="F25" s="1535"/>
      <c r="G25" s="1535"/>
      <c r="H25" s="1447"/>
      <c r="I25" s="1536"/>
      <c r="J25" s="1934"/>
      <c r="K25" s="1538"/>
      <c r="L25" s="1447"/>
      <c r="M25" s="1447"/>
      <c r="N25" s="1447"/>
      <c r="O25" s="1536"/>
      <c r="P25" s="1539"/>
      <c r="Q25" s="1539"/>
      <c r="R25" s="1539"/>
      <c r="S25" s="1445"/>
      <c r="T25" s="1448"/>
      <c r="U25" s="1448"/>
      <c r="V25" s="1448"/>
      <c r="W25" s="1448"/>
      <c r="X25" s="1448"/>
      <c r="Y25" s="1448"/>
      <c r="Z25" s="1448"/>
      <c r="AA25" s="1448"/>
      <c r="AB25" s="1448"/>
      <c r="AC25" s="1448"/>
      <c r="AD25" s="1448"/>
      <c r="AE25" s="1448"/>
      <c r="AG25" s="1540"/>
    </row>
    <row r="26" spans="1:37" s="1464" customFormat="1" ht="26.1" customHeight="1">
      <c r="A26" s="1933"/>
      <c r="B26" s="1934"/>
      <c r="C26" s="1934"/>
      <c r="D26" s="1934"/>
      <c r="E26" s="1934"/>
      <c r="F26" s="1934"/>
      <c r="G26" s="1934"/>
      <c r="H26" s="1934"/>
      <c r="I26" s="1934"/>
      <c r="J26" s="1934"/>
      <c r="K26" s="1934"/>
      <c r="L26" s="1934"/>
      <c r="M26" s="1934"/>
      <c r="N26" s="1934"/>
      <c r="O26" s="1934"/>
      <c r="P26" s="1934"/>
      <c r="Q26" s="1934"/>
      <c r="R26" s="1934"/>
      <c r="S26" s="1934"/>
      <c r="T26" s="1934"/>
      <c r="U26" s="1934"/>
      <c r="V26" s="1934"/>
      <c r="W26" s="1934"/>
      <c r="X26" s="1934"/>
      <c r="Y26" s="1934"/>
      <c r="Z26" s="1934"/>
      <c r="AA26" s="1934"/>
      <c r="AB26" s="1934"/>
      <c r="AC26" s="1934"/>
      <c r="AD26" s="1934"/>
      <c r="AE26" s="1934"/>
      <c r="AF26" s="1934"/>
      <c r="AG26" s="1934"/>
      <c r="AH26" s="1934"/>
      <c r="AI26" s="1934"/>
      <c r="AJ26" s="1934"/>
    </row>
    <row r="27" spans="1:37" s="1464" customFormat="1" ht="26.1" customHeight="1">
      <c r="A27" s="1934"/>
      <c r="B27" s="1934"/>
      <c r="C27" s="1934"/>
      <c r="D27" s="1934"/>
      <c r="E27" s="1934"/>
      <c r="F27" s="1934"/>
      <c r="G27" s="1934"/>
      <c r="H27" s="1934"/>
      <c r="I27" s="1934"/>
      <c r="J27" s="1537"/>
      <c r="K27" s="1934"/>
      <c r="L27" s="1934"/>
      <c r="M27" s="1934"/>
      <c r="N27" s="1934"/>
      <c r="O27" s="1934"/>
      <c r="P27" s="1934"/>
      <c r="Q27" s="1934"/>
      <c r="R27" s="1934"/>
      <c r="S27" s="1934"/>
      <c r="T27" s="1934"/>
      <c r="U27" s="1934"/>
      <c r="V27" s="1934"/>
      <c r="W27" s="1934"/>
      <c r="X27" s="1934"/>
      <c r="Y27" s="1934"/>
      <c r="Z27" s="1934"/>
      <c r="AA27" s="1934"/>
      <c r="AB27" s="1934"/>
      <c r="AC27" s="1934"/>
      <c r="AD27" s="1934"/>
      <c r="AE27" s="1934"/>
      <c r="AF27" s="1934"/>
      <c r="AG27" s="1934"/>
      <c r="AH27" s="1934"/>
      <c r="AI27" s="1934"/>
      <c r="AJ27" s="1934"/>
    </row>
    <row r="28" spans="1:37" s="1464" customFormat="1" ht="26.1" customHeight="1">
      <c r="A28" s="1442"/>
      <c r="B28" s="1442"/>
      <c r="C28" s="1541"/>
      <c r="D28" s="1534"/>
      <c r="E28" s="1534"/>
      <c r="F28" s="1535"/>
      <c r="G28" s="1535"/>
      <c r="H28" s="1445"/>
      <c r="I28" s="1446"/>
      <c r="J28" s="1537"/>
      <c r="K28" s="1446"/>
      <c r="L28" s="1445"/>
      <c r="M28" s="1445"/>
      <c r="N28" s="1447"/>
      <c r="O28" s="1446"/>
      <c r="P28" s="1445"/>
      <c r="Q28" s="1445"/>
      <c r="R28" s="1445"/>
      <c r="S28" s="1445"/>
      <c r="T28" s="1448"/>
      <c r="U28" s="1448"/>
      <c r="V28" s="1448"/>
      <c r="W28" s="1448"/>
      <c r="X28" s="1448"/>
      <c r="Y28" s="1448"/>
      <c r="Z28" s="1448"/>
      <c r="AA28" s="1448"/>
      <c r="AB28" s="1448"/>
      <c r="AC28" s="1448"/>
      <c r="AD28" s="1448"/>
      <c r="AE28" s="1448"/>
      <c r="AG28" s="1542"/>
    </row>
    <row r="29" spans="1:37" s="1464" customFormat="1" ht="26.1" customHeight="1">
      <c r="A29" s="1442"/>
      <c r="B29" s="1442"/>
      <c r="C29" s="1533"/>
      <c r="D29" s="1534"/>
      <c r="E29" s="1534"/>
      <c r="F29" s="1535"/>
      <c r="G29" s="1535"/>
      <c r="H29" s="1445"/>
      <c r="I29" s="1446"/>
      <c r="J29" s="1445"/>
      <c r="K29" s="1446"/>
      <c r="L29" s="1445"/>
      <c r="M29" s="1445"/>
      <c r="N29" s="1447"/>
      <c r="O29" s="1446"/>
      <c r="P29" s="1445"/>
      <c r="Q29" s="1445"/>
      <c r="R29" s="1445"/>
      <c r="S29" s="1445"/>
      <c r="T29" s="1448"/>
      <c r="U29" s="1448"/>
      <c r="V29" s="1448"/>
      <c r="W29" s="1448"/>
      <c r="X29" s="1448"/>
      <c r="Y29" s="1448"/>
      <c r="Z29" s="1448"/>
      <c r="AA29" s="1448"/>
      <c r="AB29" s="1448"/>
      <c r="AC29" s="1448"/>
      <c r="AD29" s="1448"/>
      <c r="AE29" s="1448"/>
      <c r="AG29" s="1542"/>
    </row>
    <row r="30" spans="1:37" s="1464" customFormat="1" ht="26.1" customHeight="1">
      <c r="A30" s="1442"/>
      <c r="B30" s="1442"/>
      <c r="C30" s="1442"/>
      <c r="D30" s="1443"/>
      <c r="E30" s="1443"/>
      <c r="F30" s="1444"/>
      <c r="G30" s="1444"/>
      <c r="H30" s="1445"/>
      <c r="I30" s="1446"/>
      <c r="J30" s="1445"/>
      <c r="K30" s="1446"/>
      <c r="L30" s="1445"/>
      <c r="M30" s="1445"/>
      <c r="N30" s="1447"/>
      <c r="O30" s="1446"/>
      <c r="P30" s="1445"/>
      <c r="Q30" s="1445"/>
      <c r="R30" s="1445"/>
      <c r="S30" s="1445"/>
      <c r="T30" s="1448"/>
      <c r="U30" s="1448"/>
      <c r="V30" s="1448"/>
      <c r="W30" s="1448"/>
      <c r="X30" s="1448"/>
      <c r="Y30" s="1448"/>
      <c r="Z30" s="1448"/>
      <c r="AA30" s="1448"/>
      <c r="AB30" s="1448"/>
      <c r="AC30" s="1448"/>
      <c r="AD30" s="1448"/>
      <c r="AE30" s="1448"/>
      <c r="AG30" s="1542"/>
    </row>
    <row r="31" spans="1:37" s="1464" customFormat="1" ht="26.1" customHeight="1">
      <c r="A31" s="1442"/>
      <c r="B31" s="1442"/>
      <c r="C31" s="1442"/>
      <c r="D31" s="1443"/>
      <c r="E31" s="1443"/>
      <c r="F31" s="1444"/>
      <c r="G31" s="1444"/>
      <c r="H31" s="1445"/>
      <c r="I31" s="1446"/>
      <c r="J31" s="1445"/>
      <c r="K31" s="1446"/>
      <c r="L31" s="1445"/>
      <c r="M31" s="1445"/>
      <c r="N31" s="1447"/>
      <c r="O31" s="1446"/>
      <c r="P31" s="1445"/>
      <c r="Q31" s="1445"/>
      <c r="R31" s="1445"/>
      <c r="S31" s="1445"/>
      <c r="T31" s="1448"/>
      <c r="U31" s="1448"/>
      <c r="V31" s="1448"/>
      <c r="W31" s="1448"/>
      <c r="X31" s="1448"/>
      <c r="Y31" s="1448"/>
      <c r="Z31" s="1448"/>
      <c r="AA31" s="1448"/>
      <c r="AB31" s="1448"/>
      <c r="AC31" s="1448"/>
      <c r="AD31" s="1448"/>
      <c r="AE31" s="1448"/>
      <c r="AG31" s="1542"/>
    </row>
    <row r="32" spans="1:37" s="1464" customFormat="1" ht="26.1" customHeight="1">
      <c r="A32" s="1442"/>
      <c r="B32" s="1442"/>
      <c r="C32" s="1442"/>
      <c r="D32" s="1443"/>
      <c r="E32" s="1443"/>
      <c r="F32" s="1444"/>
      <c r="G32" s="1444"/>
      <c r="H32" s="1445"/>
      <c r="I32" s="1446"/>
      <c r="J32" s="1445"/>
      <c r="K32" s="1446"/>
      <c r="L32" s="1445"/>
      <c r="M32" s="1445"/>
      <c r="N32" s="1447"/>
      <c r="O32" s="1446"/>
      <c r="P32" s="1445"/>
      <c r="Q32" s="1445"/>
      <c r="R32" s="1445"/>
      <c r="S32" s="1445"/>
      <c r="T32" s="1448"/>
      <c r="U32" s="1448"/>
      <c r="V32" s="1448"/>
      <c r="W32" s="1448"/>
      <c r="X32" s="1448"/>
      <c r="Y32" s="1448"/>
      <c r="Z32" s="1448"/>
      <c r="AA32" s="1448"/>
      <c r="AB32" s="1448"/>
      <c r="AC32" s="1448"/>
      <c r="AD32" s="1448"/>
      <c r="AE32" s="1448"/>
      <c r="AG32" s="1542"/>
    </row>
    <row r="33" spans="1:33" s="1464" customFormat="1" ht="26.1" customHeight="1">
      <c r="A33" s="1442"/>
      <c r="B33" s="1442"/>
      <c r="C33" s="1442"/>
      <c r="D33" s="1443"/>
      <c r="E33" s="1443"/>
      <c r="F33" s="1444"/>
      <c r="G33" s="1444"/>
      <c r="H33" s="1445"/>
      <c r="I33" s="1446"/>
      <c r="J33" s="1445"/>
      <c r="K33" s="1446"/>
      <c r="L33" s="1445"/>
      <c r="M33" s="1445"/>
      <c r="N33" s="1447"/>
      <c r="O33" s="1446"/>
      <c r="P33" s="1445"/>
      <c r="Q33" s="1445"/>
      <c r="R33" s="1445"/>
      <c r="S33" s="1445"/>
      <c r="T33" s="1448"/>
      <c r="U33" s="1448"/>
      <c r="V33" s="1448"/>
      <c r="W33" s="1448"/>
      <c r="X33" s="1448"/>
      <c r="Y33" s="1448"/>
      <c r="Z33" s="1448"/>
      <c r="AA33" s="1448"/>
      <c r="AB33" s="1448"/>
      <c r="AC33" s="1448"/>
      <c r="AD33" s="1448"/>
      <c r="AE33" s="1448"/>
      <c r="AG33" s="1542"/>
    </row>
    <row r="34" spans="1:33" s="1464" customFormat="1" ht="26.1" customHeight="1">
      <c r="A34" s="1442"/>
      <c r="B34" s="1442"/>
      <c r="C34" s="1442"/>
      <c r="D34" s="1443"/>
      <c r="E34" s="1443"/>
      <c r="F34" s="1444"/>
      <c r="G34" s="1444"/>
      <c r="H34" s="1445"/>
      <c r="I34" s="1446"/>
      <c r="J34" s="1445"/>
      <c r="K34" s="1446"/>
      <c r="L34" s="1445"/>
      <c r="M34" s="1445"/>
      <c r="N34" s="1447"/>
      <c r="O34" s="1446"/>
      <c r="P34" s="1445"/>
      <c r="Q34" s="1445"/>
      <c r="R34" s="1445"/>
      <c r="S34" s="1445"/>
      <c r="T34" s="1448"/>
      <c r="U34" s="1448"/>
      <c r="V34" s="1448"/>
      <c r="W34" s="1448"/>
      <c r="X34" s="1448"/>
      <c r="Y34" s="1448"/>
      <c r="Z34" s="1448"/>
      <c r="AA34" s="1448"/>
      <c r="AB34" s="1448"/>
      <c r="AC34" s="1448"/>
      <c r="AD34" s="1448"/>
      <c r="AE34" s="1448"/>
      <c r="AG34" s="1542"/>
    </row>
    <row r="35" spans="1:33" s="1464" customFormat="1" ht="26.1" customHeight="1">
      <c r="A35" s="1442"/>
      <c r="B35" s="1442"/>
      <c r="C35" s="1442"/>
      <c r="D35" s="1443"/>
      <c r="E35" s="1443"/>
      <c r="F35" s="1444"/>
      <c r="G35" s="1444"/>
      <c r="H35" s="1445"/>
      <c r="I35" s="1446"/>
      <c r="J35" s="1445"/>
      <c r="K35" s="1446"/>
      <c r="L35" s="1445"/>
      <c r="M35" s="1445"/>
      <c r="N35" s="1447"/>
      <c r="O35" s="1446"/>
      <c r="P35" s="1445"/>
      <c r="Q35" s="1445"/>
      <c r="R35" s="1445"/>
      <c r="S35" s="1445"/>
      <c r="T35" s="1448"/>
      <c r="U35" s="1448"/>
      <c r="V35" s="1448"/>
      <c r="W35" s="1448"/>
      <c r="X35" s="1448"/>
      <c r="Y35" s="1448"/>
      <c r="Z35" s="1448"/>
      <c r="AA35" s="1448"/>
      <c r="AB35" s="1448"/>
      <c r="AC35" s="1448"/>
      <c r="AD35" s="1448"/>
      <c r="AE35" s="1448"/>
      <c r="AG35" s="1542"/>
    </row>
    <row r="36" spans="1:33" s="1464" customFormat="1" ht="26.1" customHeight="1">
      <c r="A36" s="1442"/>
      <c r="B36" s="1442"/>
      <c r="C36" s="1442"/>
      <c r="D36" s="1443"/>
      <c r="E36" s="1443"/>
      <c r="F36" s="1444"/>
      <c r="G36" s="1444"/>
      <c r="H36" s="1445"/>
      <c r="I36" s="1446"/>
      <c r="J36" s="1445"/>
      <c r="K36" s="1446"/>
      <c r="L36" s="1445"/>
      <c r="M36" s="1445"/>
      <c r="N36" s="1447"/>
      <c r="O36" s="1446"/>
      <c r="P36" s="1445"/>
      <c r="Q36" s="1445"/>
      <c r="R36" s="1445"/>
      <c r="S36" s="1445"/>
      <c r="T36" s="1448"/>
      <c r="U36" s="1448"/>
      <c r="V36" s="1448"/>
      <c r="W36" s="1448"/>
      <c r="X36" s="1448"/>
      <c r="Y36" s="1448"/>
      <c r="Z36" s="1448"/>
      <c r="AA36" s="1448"/>
      <c r="AB36" s="1448"/>
      <c r="AC36" s="1448"/>
      <c r="AD36" s="1448"/>
      <c r="AE36" s="1448"/>
      <c r="AG36" s="1542"/>
    </row>
    <row r="37" spans="1:33" s="1464" customFormat="1" ht="26.1" customHeight="1">
      <c r="A37" s="1442"/>
      <c r="B37" s="1442"/>
      <c r="C37" s="1442"/>
      <c r="D37" s="1443"/>
      <c r="E37" s="1443"/>
      <c r="F37" s="1444"/>
      <c r="G37" s="1444"/>
      <c r="H37" s="1445"/>
      <c r="I37" s="1446"/>
      <c r="J37" s="1445"/>
      <c r="K37" s="1446"/>
      <c r="L37" s="1445"/>
      <c r="M37" s="1445"/>
      <c r="N37" s="1447"/>
      <c r="O37" s="1446"/>
      <c r="P37" s="1445"/>
      <c r="Q37" s="1445"/>
      <c r="R37" s="1445"/>
      <c r="S37" s="1445"/>
      <c r="T37" s="1448"/>
      <c r="U37" s="1448"/>
      <c r="V37" s="1448"/>
      <c r="W37" s="1448"/>
      <c r="X37" s="1448"/>
      <c r="Y37" s="1448"/>
      <c r="Z37" s="1448"/>
      <c r="AA37" s="1448"/>
      <c r="AB37" s="1448"/>
      <c r="AC37" s="1448"/>
      <c r="AD37" s="1448"/>
      <c r="AE37" s="1448"/>
      <c r="AG37" s="1542"/>
    </row>
    <row r="38" spans="1:33" s="1464" customFormat="1" ht="26.1" customHeight="1">
      <c r="A38" s="1442"/>
      <c r="B38" s="1442"/>
      <c r="C38" s="1442"/>
      <c r="D38" s="1443"/>
      <c r="E38" s="1443"/>
      <c r="F38" s="1444"/>
      <c r="G38" s="1444"/>
      <c r="H38" s="1445"/>
      <c r="I38" s="1446"/>
      <c r="J38" s="1445"/>
      <c r="K38" s="1446"/>
      <c r="L38" s="1445"/>
      <c r="M38" s="1445"/>
      <c r="N38" s="1447"/>
      <c r="O38" s="1446"/>
      <c r="P38" s="1445"/>
      <c r="Q38" s="1445"/>
      <c r="R38" s="1445"/>
      <c r="S38" s="1445"/>
      <c r="T38" s="1448"/>
      <c r="U38" s="1448"/>
      <c r="V38" s="1448"/>
      <c r="W38" s="1448"/>
      <c r="X38" s="1448"/>
      <c r="Y38" s="1448"/>
      <c r="Z38" s="1448"/>
      <c r="AA38" s="1448"/>
      <c r="AB38" s="1448"/>
      <c r="AC38" s="1448"/>
      <c r="AD38" s="1448"/>
      <c r="AE38" s="1448"/>
      <c r="AG38" s="1542"/>
    </row>
    <row r="39" spans="1:33" s="1464" customFormat="1" ht="26.1" customHeight="1">
      <c r="A39" s="1442"/>
      <c r="B39" s="1442"/>
      <c r="C39" s="1442"/>
      <c r="D39" s="1443"/>
      <c r="E39" s="1443"/>
      <c r="F39" s="1444"/>
      <c r="G39" s="1444"/>
      <c r="H39" s="1445"/>
      <c r="I39" s="1446"/>
      <c r="J39" s="1445"/>
      <c r="K39" s="1446"/>
      <c r="L39" s="1445"/>
      <c r="M39" s="1445"/>
      <c r="N39" s="1447"/>
      <c r="O39" s="1446"/>
      <c r="P39" s="1445"/>
      <c r="Q39" s="1445"/>
      <c r="R39" s="1445"/>
      <c r="S39" s="1445"/>
      <c r="T39" s="1448"/>
      <c r="U39" s="1448"/>
      <c r="V39" s="1448"/>
      <c r="W39" s="1448"/>
      <c r="X39" s="1448"/>
      <c r="Y39" s="1448"/>
      <c r="Z39" s="1448"/>
      <c r="AA39" s="1448"/>
      <c r="AB39" s="1448"/>
      <c r="AC39" s="1448"/>
      <c r="AD39" s="1448"/>
      <c r="AE39" s="1448"/>
      <c r="AG39" s="1542"/>
    </row>
    <row r="40" spans="1:33" s="1464" customFormat="1" ht="26.1" customHeight="1">
      <c r="A40" s="1442"/>
      <c r="B40" s="1442"/>
      <c r="C40" s="1442"/>
      <c r="D40" s="1443"/>
      <c r="E40" s="1443"/>
      <c r="F40" s="1444"/>
      <c r="G40" s="1444"/>
      <c r="H40" s="1445"/>
      <c r="I40" s="1446"/>
      <c r="J40" s="1445"/>
      <c r="K40" s="1446"/>
      <c r="L40" s="1445"/>
      <c r="M40" s="1445"/>
      <c r="N40" s="1447"/>
      <c r="O40" s="1446"/>
      <c r="P40" s="1445"/>
      <c r="Q40" s="1445"/>
      <c r="R40" s="1445"/>
      <c r="S40" s="1445"/>
      <c r="T40" s="1448"/>
      <c r="U40" s="1448"/>
      <c r="V40" s="1448"/>
      <c r="W40" s="1448"/>
      <c r="X40" s="1448"/>
      <c r="Y40" s="1448"/>
      <c r="Z40" s="1448"/>
      <c r="AA40" s="1448"/>
      <c r="AB40" s="1448"/>
      <c r="AC40" s="1448"/>
      <c r="AD40" s="1448"/>
      <c r="AE40" s="1448"/>
      <c r="AG40" s="1542"/>
    </row>
    <row r="41" spans="1:33" s="1464" customFormat="1" ht="26.1" customHeight="1">
      <c r="A41" s="1442"/>
      <c r="B41" s="1442"/>
      <c r="C41" s="1442"/>
      <c r="D41" s="1443"/>
      <c r="E41" s="1443"/>
      <c r="F41" s="1444"/>
      <c r="G41" s="1444"/>
      <c r="H41" s="1445"/>
      <c r="I41" s="1446"/>
      <c r="J41" s="1445"/>
      <c r="K41" s="1446"/>
      <c r="L41" s="1445"/>
      <c r="M41" s="1445"/>
      <c r="N41" s="1447"/>
      <c r="O41" s="1446"/>
      <c r="P41" s="1445"/>
      <c r="Q41" s="1445"/>
      <c r="R41" s="1445"/>
      <c r="S41" s="1445"/>
      <c r="T41" s="1448"/>
      <c r="U41" s="1448"/>
      <c r="V41" s="1448"/>
      <c r="W41" s="1448"/>
      <c r="X41" s="1448"/>
      <c r="Y41" s="1448"/>
      <c r="Z41" s="1448"/>
      <c r="AA41" s="1448"/>
      <c r="AB41" s="1448"/>
      <c r="AC41" s="1448"/>
      <c r="AD41" s="1448"/>
      <c r="AE41" s="1448"/>
      <c r="AG41" s="1542"/>
    </row>
    <row r="42" spans="1:33" s="1464" customFormat="1" ht="26.1" customHeight="1">
      <c r="A42" s="1442"/>
      <c r="B42" s="1442"/>
      <c r="C42" s="1442"/>
      <c r="D42" s="1443"/>
      <c r="E42" s="1443"/>
      <c r="F42" s="1444"/>
      <c r="G42" s="1444"/>
      <c r="H42" s="1445"/>
      <c r="I42" s="1446"/>
      <c r="J42" s="1445"/>
      <c r="K42" s="1446"/>
      <c r="L42" s="1445"/>
      <c r="M42" s="1445"/>
      <c r="N42" s="1447"/>
      <c r="O42" s="1446"/>
      <c r="P42" s="1445"/>
      <c r="Q42" s="1445"/>
      <c r="R42" s="1445"/>
      <c r="S42" s="1445"/>
      <c r="T42" s="1448"/>
      <c r="U42" s="1448"/>
      <c r="V42" s="1448"/>
      <c r="W42" s="1448"/>
      <c r="X42" s="1448"/>
      <c r="Y42" s="1448"/>
      <c r="Z42" s="1448"/>
      <c r="AA42" s="1448"/>
      <c r="AB42" s="1448"/>
      <c r="AC42" s="1448"/>
      <c r="AD42" s="1448"/>
      <c r="AE42" s="1448"/>
      <c r="AG42" s="1542"/>
    </row>
    <row r="43" spans="1:33" s="1464" customFormat="1" ht="26.1" customHeight="1">
      <c r="A43" s="1442"/>
      <c r="B43" s="1442"/>
      <c r="C43" s="1442"/>
      <c r="D43" s="1443"/>
      <c r="E43" s="1443"/>
      <c r="F43" s="1444"/>
      <c r="G43" s="1444"/>
      <c r="H43" s="1445"/>
      <c r="I43" s="1446"/>
      <c r="J43" s="1445"/>
      <c r="K43" s="1446"/>
      <c r="L43" s="1445"/>
      <c r="M43" s="1445"/>
      <c r="N43" s="1447"/>
      <c r="O43" s="1446"/>
      <c r="P43" s="1445"/>
      <c r="Q43" s="1445"/>
      <c r="R43" s="1445"/>
      <c r="S43" s="1445"/>
      <c r="T43" s="1448"/>
      <c r="U43" s="1448"/>
      <c r="V43" s="1448"/>
      <c r="W43" s="1448"/>
      <c r="X43" s="1448"/>
      <c r="Y43" s="1448"/>
      <c r="Z43" s="1448"/>
      <c r="AA43" s="1448"/>
      <c r="AB43" s="1448"/>
      <c r="AC43" s="1448"/>
      <c r="AD43" s="1448"/>
      <c r="AE43" s="1448"/>
      <c r="AG43" s="1542"/>
    </row>
    <row r="44" spans="1:33" s="1464" customFormat="1" ht="26.1" customHeight="1">
      <c r="A44" s="1442"/>
      <c r="B44" s="1442"/>
      <c r="C44" s="1442"/>
      <c r="D44" s="1443"/>
      <c r="E44" s="1443"/>
      <c r="F44" s="1444"/>
      <c r="G44" s="1444"/>
      <c r="H44" s="1445"/>
      <c r="I44" s="1446"/>
      <c r="J44" s="1445"/>
      <c r="K44" s="1446"/>
      <c r="L44" s="1445"/>
      <c r="M44" s="1445"/>
      <c r="N44" s="1447"/>
      <c r="O44" s="1446"/>
      <c r="P44" s="1445"/>
      <c r="Q44" s="1445"/>
      <c r="R44" s="1445"/>
      <c r="S44" s="1445"/>
      <c r="T44" s="1448"/>
      <c r="U44" s="1448"/>
      <c r="V44" s="1448"/>
      <c r="W44" s="1448"/>
      <c r="X44" s="1448"/>
      <c r="Y44" s="1448"/>
      <c r="Z44" s="1448"/>
      <c r="AA44" s="1448"/>
      <c r="AB44" s="1448"/>
      <c r="AC44" s="1448"/>
      <c r="AD44" s="1448"/>
      <c r="AE44" s="1448"/>
      <c r="AG44" s="1542"/>
    </row>
    <row r="45" spans="1:33" s="1464" customFormat="1" ht="26.1" customHeight="1">
      <c r="A45" s="1442"/>
      <c r="B45" s="1442"/>
      <c r="C45" s="1442"/>
      <c r="D45" s="1443"/>
      <c r="E45" s="1443"/>
      <c r="F45" s="1444"/>
      <c r="G45" s="1444"/>
      <c r="H45" s="1445"/>
      <c r="I45" s="1446"/>
      <c r="J45" s="1445"/>
      <c r="K45" s="1446"/>
      <c r="L45" s="1445"/>
      <c r="M45" s="1445"/>
      <c r="N45" s="1447"/>
      <c r="O45" s="1446"/>
      <c r="P45" s="1445"/>
      <c r="Q45" s="1445"/>
      <c r="R45" s="1445"/>
      <c r="S45" s="1445"/>
      <c r="T45" s="1448"/>
      <c r="U45" s="1448"/>
      <c r="V45" s="1448"/>
      <c r="W45" s="1448"/>
      <c r="X45" s="1448"/>
      <c r="Y45" s="1448"/>
      <c r="Z45" s="1448"/>
      <c r="AA45" s="1448"/>
      <c r="AB45" s="1448"/>
      <c r="AC45" s="1448"/>
      <c r="AD45" s="1448"/>
      <c r="AE45" s="1448"/>
      <c r="AG45" s="1542"/>
    </row>
    <row r="46" spans="1:33" s="1464" customFormat="1" ht="26.1" customHeight="1">
      <c r="A46" s="1442"/>
      <c r="B46" s="1442"/>
      <c r="C46" s="1442"/>
      <c r="D46" s="1443"/>
      <c r="E46" s="1443"/>
      <c r="F46" s="1444"/>
      <c r="G46" s="1444"/>
      <c r="H46" s="1445"/>
      <c r="I46" s="1446"/>
      <c r="J46" s="1445"/>
      <c r="K46" s="1446"/>
      <c r="L46" s="1445"/>
      <c r="M46" s="1445"/>
      <c r="N46" s="1447"/>
      <c r="O46" s="1446"/>
      <c r="P46" s="1445"/>
      <c r="Q46" s="1445"/>
      <c r="R46" s="1445"/>
      <c r="S46" s="1445"/>
      <c r="T46" s="1448"/>
      <c r="U46" s="1448"/>
      <c r="V46" s="1448"/>
      <c r="W46" s="1448"/>
      <c r="X46" s="1448"/>
      <c r="Y46" s="1448"/>
      <c r="Z46" s="1448"/>
      <c r="AA46" s="1448"/>
      <c r="AB46" s="1448"/>
      <c r="AC46" s="1448"/>
      <c r="AD46" s="1448"/>
      <c r="AE46" s="1448"/>
      <c r="AG46" s="1542"/>
    </row>
    <row r="47" spans="1:33" s="1464" customFormat="1" ht="26.1" customHeight="1">
      <c r="A47" s="1442"/>
      <c r="B47" s="1442"/>
      <c r="C47" s="1442"/>
      <c r="D47" s="1443"/>
      <c r="E47" s="1443"/>
      <c r="F47" s="1444"/>
      <c r="G47" s="1444"/>
      <c r="H47" s="1445"/>
      <c r="I47" s="1446"/>
      <c r="J47" s="1445"/>
      <c r="K47" s="1446"/>
      <c r="L47" s="1445"/>
      <c r="M47" s="1445"/>
      <c r="N47" s="1447"/>
      <c r="O47" s="1446"/>
      <c r="P47" s="1445"/>
      <c r="Q47" s="1445"/>
      <c r="R47" s="1445"/>
      <c r="S47" s="1445"/>
      <c r="T47" s="1448"/>
      <c r="U47" s="1448"/>
      <c r="V47" s="1448"/>
      <c r="W47" s="1448"/>
      <c r="X47" s="1448"/>
      <c r="Y47" s="1448"/>
      <c r="Z47" s="1448"/>
      <c r="AA47" s="1448"/>
      <c r="AB47" s="1448"/>
      <c r="AC47" s="1448"/>
      <c r="AD47" s="1448"/>
      <c r="AE47" s="1448"/>
      <c r="AG47" s="1542"/>
    </row>
    <row r="48" spans="1:33" s="1464" customFormat="1" ht="26.1" customHeight="1">
      <c r="A48" s="1442"/>
      <c r="B48" s="1442"/>
      <c r="C48" s="1442"/>
      <c r="D48" s="1443"/>
      <c r="E48" s="1443"/>
      <c r="F48" s="1444"/>
      <c r="G48" s="1444"/>
      <c r="H48" s="1445"/>
      <c r="I48" s="1446"/>
      <c r="J48" s="1445"/>
      <c r="K48" s="1446"/>
      <c r="L48" s="1445"/>
      <c r="M48" s="1445"/>
      <c r="N48" s="1447"/>
      <c r="O48" s="1446"/>
      <c r="P48" s="1445"/>
      <c r="Q48" s="1445"/>
      <c r="R48" s="1445"/>
      <c r="S48" s="1445"/>
      <c r="T48" s="1448"/>
      <c r="U48" s="1448"/>
      <c r="V48" s="1448"/>
      <c r="W48" s="1448"/>
      <c r="X48" s="1448"/>
      <c r="Y48" s="1448"/>
      <c r="Z48" s="1448"/>
      <c r="AA48" s="1448"/>
      <c r="AB48" s="1448"/>
      <c r="AC48" s="1448"/>
      <c r="AD48" s="1448"/>
      <c r="AE48" s="1448"/>
      <c r="AG48" s="1542"/>
    </row>
    <row r="49" spans="1:33" s="1464" customFormat="1" ht="26.1" customHeight="1">
      <c r="A49" s="1442"/>
      <c r="B49" s="1442"/>
      <c r="C49" s="1442"/>
      <c r="D49" s="1443"/>
      <c r="E49" s="1443"/>
      <c r="F49" s="1444"/>
      <c r="G49" s="1444"/>
      <c r="H49" s="1445"/>
      <c r="I49" s="1446"/>
      <c r="J49" s="1445"/>
      <c r="K49" s="1446"/>
      <c r="L49" s="1445"/>
      <c r="M49" s="1445"/>
      <c r="N49" s="1447"/>
      <c r="O49" s="1446"/>
      <c r="P49" s="1445"/>
      <c r="Q49" s="1445"/>
      <c r="R49" s="1445"/>
      <c r="S49" s="1445"/>
      <c r="T49" s="1448"/>
      <c r="U49" s="1448"/>
      <c r="V49" s="1448"/>
      <c r="W49" s="1448"/>
      <c r="X49" s="1448"/>
      <c r="Y49" s="1448"/>
      <c r="Z49" s="1448"/>
      <c r="AA49" s="1448"/>
      <c r="AB49" s="1448"/>
      <c r="AC49" s="1448"/>
      <c r="AD49" s="1448"/>
      <c r="AE49" s="1448"/>
      <c r="AG49" s="1542"/>
    </row>
    <row r="50" spans="1:33" s="1464" customFormat="1" ht="26.1" customHeight="1">
      <c r="A50" s="1442"/>
      <c r="B50" s="1442"/>
      <c r="C50" s="1442"/>
      <c r="D50" s="1443"/>
      <c r="E50" s="1443"/>
      <c r="F50" s="1444"/>
      <c r="G50" s="1444"/>
      <c r="H50" s="1445"/>
      <c r="I50" s="1446"/>
      <c r="J50" s="1445"/>
      <c r="K50" s="1446"/>
      <c r="L50" s="1445"/>
      <c r="M50" s="1445"/>
      <c r="N50" s="1447"/>
      <c r="O50" s="1446"/>
      <c r="P50" s="1445"/>
      <c r="Q50" s="1445"/>
      <c r="R50" s="1445"/>
      <c r="S50" s="1445"/>
      <c r="T50" s="1448"/>
      <c r="U50" s="1448"/>
      <c r="V50" s="1448"/>
      <c r="W50" s="1448"/>
      <c r="X50" s="1448"/>
      <c r="Y50" s="1448"/>
      <c r="Z50" s="1448"/>
      <c r="AA50" s="1448"/>
      <c r="AB50" s="1448"/>
      <c r="AC50" s="1448"/>
      <c r="AD50" s="1448"/>
      <c r="AE50" s="1448"/>
      <c r="AG50" s="1542"/>
    </row>
    <row r="51" spans="1:33" s="1464" customFormat="1" ht="26.1" customHeight="1">
      <c r="A51" s="1442"/>
      <c r="B51" s="1442"/>
      <c r="C51" s="1442"/>
      <c r="D51" s="1443"/>
      <c r="E51" s="1443"/>
      <c r="F51" s="1444"/>
      <c r="G51" s="1444"/>
      <c r="H51" s="1445"/>
      <c r="I51" s="1446"/>
      <c r="J51" s="1445"/>
      <c r="K51" s="1446"/>
      <c r="L51" s="1445"/>
      <c r="M51" s="1445"/>
      <c r="N51" s="1447"/>
      <c r="O51" s="1446"/>
      <c r="P51" s="1445"/>
      <c r="Q51" s="1445"/>
      <c r="R51" s="1445"/>
      <c r="S51" s="1445"/>
      <c r="T51" s="1448"/>
      <c r="U51" s="1448"/>
      <c r="V51" s="1448"/>
      <c r="W51" s="1448"/>
      <c r="X51" s="1448"/>
      <c r="Y51" s="1448"/>
      <c r="Z51" s="1448"/>
      <c r="AA51" s="1448"/>
      <c r="AB51" s="1448"/>
      <c r="AC51" s="1448"/>
      <c r="AD51" s="1448"/>
      <c r="AE51" s="1448"/>
      <c r="AG51" s="1542"/>
    </row>
    <row r="52" spans="1:33" s="1464" customFormat="1" ht="26.1" customHeight="1">
      <c r="A52" s="1442"/>
      <c r="B52" s="1442"/>
      <c r="C52" s="1442"/>
      <c r="D52" s="1443"/>
      <c r="E52" s="1443"/>
      <c r="F52" s="1444"/>
      <c r="G52" s="1444"/>
      <c r="H52" s="1445"/>
      <c r="I52" s="1446"/>
      <c r="J52" s="1445"/>
      <c r="K52" s="1446"/>
      <c r="L52" s="1445"/>
      <c r="M52" s="1445"/>
      <c r="N52" s="1447"/>
      <c r="O52" s="1446"/>
      <c r="P52" s="1445"/>
      <c r="Q52" s="1445"/>
      <c r="R52" s="1445"/>
      <c r="S52" s="1445"/>
      <c r="T52" s="1448"/>
      <c r="U52" s="1448"/>
      <c r="V52" s="1448"/>
      <c r="W52" s="1448"/>
      <c r="X52" s="1448"/>
      <c r="Y52" s="1448"/>
      <c r="Z52" s="1448"/>
      <c r="AA52" s="1448"/>
      <c r="AB52" s="1448"/>
      <c r="AC52" s="1448"/>
      <c r="AD52" s="1448"/>
      <c r="AE52" s="1448"/>
      <c r="AG52" s="1542"/>
    </row>
    <row r="53" spans="1:33" s="1464" customFormat="1" ht="26.1" customHeight="1">
      <c r="A53" s="1442"/>
      <c r="B53" s="1442"/>
      <c r="C53" s="1442"/>
      <c r="D53" s="1443"/>
      <c r="E53" s="1443"/>
      <c r="F53" s="1444"/>
      <c r="G53" s="1444"/>
      <c r="H53" s="1445"/>
      <c r="I53" s="1446"/>
      <c r="J53" s="1445"/>
      <c r="K53" s="1446"/>
      <c r="L53" s="1445"/>
      <c r="M53" s="1445"/>
      <c r="N53" s="1447"/>
      <c r="O53" s="1446"/>
      <c r="P53" s="1445"/>
      <c r="Q53" s="1445"/>
      <c r="R53" s="1445"/>
      <c r="S53" s="1445"/>
      <c r="T53" s="1448"/>
      <c r="U53" s="1448"/>
      <c r="V53" s="1448"/>
      <c r="W53" s="1448"/>
      <c r="X53" s="1448"/>
      <c r="Y53" s="1448"/>
      <c r="Z53" s="1448"/>
      <c r="AA53" s="1448"/>
      <c r="AB53" s="1448"/>
      <c r="AC53" s="1448"/>
      <c r="AD53" s="1448"/>
      <c r="AE53" s="1448"/>
      <c r="AG53" s="1542"/>
    </row>
    <row r="54" spans="1:33" s="1464" customFormat="1" ht="26.1" customHeight="1">
      <c r="A54" s="1442"/>
      <c r="B54" s="1442"/>
      <c r="C54" s="1442"/>
      <c r="D54" s="1443"/>
      <c r="E54" s="1443"/>
      <c r="F54" s="1444"/>
      <c r="G54" s="1444"/>
      <c r="H54" s="1445"/>
      <c r="I54" s="1446"/>
      <c r="J54" s="1445"/>
      <c r="K54" s="1446"/>
      <c r="L54" s="1445"/>
      <c r="M54" s="1445"/>
      <c r="N54" s="1447"/>
      <c r="O54" s="1446"/>
      <c r="P54" s="1445"/>
      <c r="Q54" s="1445"/>
      <c r="R54" s="1445"/>
      <c r="S54" s="1445"/>
      <c r="T54" s="1448"/>
      <c r="U54" s="1448"/>
      <c r="V54" s="1448"/>
      <c r="W54" s="1448"/>
      <c r="X54" s="1448"/>
      <c r="Y54" s="1448"/>
      <c r="Z54" s="1448"/>
      <c r="AA54" s="1448"/>
      <c r="AB54" s="1448"/>
      <c r="AC54" s="1448"/>
      <c r="AD54" s="1448"/>
      <c r="AE54" s="1448"/>
      <c r="AG54" s="1542"/>
    </row>
    <row r="55" spans="1:33" s="1464" customFormat="1" ht="26.1" customHeight="1">
      <c r="A55" s="1442"/>
      <c r="B55" s="1442"/>
      <c r="C55" s="1442"/>
      <c r="D55" s="1443"/>
      <c r="E55" s="1443"/>
      <c r="F55" s="1444"/>
      <c r="G55" s="1444"/>
      <c r="H55" s="1445"/>
      <c r="I55" s="1446"/>
      <c r="J55" s="1445"/>
      <c r="K55" s="1446"/>
      <c r="L55" s="1445"/>
      <c r="M55" s="1445"/>
      <c r="N55" s="1447"/>
      <c r="O55" s="1446"/>
      <c r="P55" s="1445"/>
      <c r="Q55" s="1445"/>
      <c r="R55" s="1445"/>
      <c r="S55" s="1445"/>
      <c r="T55" s="1448"/>
      <c r="U55" s="1448"/>
      <c r="V55" s="1448"/>
      <c r="W55" s="1448"/>
      <c r="X55" s="1448"/>
      <c r="Y55" s="1448"/>
      <c r="Z55" s="1448"/>
      <c r="AA55" s="1448"/>
      <c r="AB55" s="1448"/>
      <c r="AC55" s="1448"/>
      <c r="AD55" s="1448"/>
      <c r="AE55" s="1448"/>
      <c r="AG55" s="1542"/>
    </row>
    <row r="56" spans="1:33" s="1464" customFormat="1" ht="26.1" customHeight="1">
      <c r="A56" s="1442"/>
      <c r="B56" s="1442"/>
      <c r="C56" s="1442"/>
      <c r="D56" s="1443"/>
      <c r="E56" s="1443"/>
      <c r="F56" s="1444"/>
      <c r="G56" s="1444"/>
      <c r="H56" s="1445"/>
      <c r="I56" s="1446"/>
      <c r="J56" s="1445"/>
      <c r="K56" s="1446"/>
      <c r="L56" s="1445"/>
      <c r="M56" s="1445"/>
      <c r="N56" s="1447"/>
      <c r="O56" s="1446"/>
      <c r="P56" s="1445"/>
      <c r="Q56" s="1445"/>
      <c r="R56" s="1445"/>
      <c r="S56" s="1445"/>
      <c r="T56" s="1448"/>
      <c r="U56" s="1448"/>
      <c r="V56" s="1448"/>
      <c r="W56" s="1448"/>
      <c r="X56" s="1448"/>
      <c r="Y56" s="1448"/>
      <c r="Z56" s="1448"/>
      <c r="AA56" s="1448"/>
      <c r="AB56" s="1448"/>
      <c r="AC56" s="1448"/>
      <c r="AD56" s="1448"/>
      <c r="AE56" s="1448"/>
      <c r="AG56" s="1542"/>
    </row>
    <row r="57" spans="1:33" s="1464" customFormat="1" ht="26.1" customHeight="1">
      <c r="A57" s="1442"/>
      <c r="B57" s="1442"/>
      <c r="C57" s="1442"/>
      <c r="D57" s="1443"/>
      <c r="E57" s="1443"/>
      <c r="F57" s="1444"/>
      <c r="G57" s="1444"/>
      <c r="H57" s="1445"/>
      <c r="I57" s="1446"/>
      <c r="J57" s="1445"/>
      <c r="K57" s="1446"/>
      <c r="L57" s="1445"/>
      <c r="M57" s="1445"/>
      <c r="N57" s="1447"/>
      <c r="O57" s="1446"/>
      <c r="P57" s="1445"/>
      <c r="Q57" s="1445"/>
      <c r="R57" s="1445"/>
      <c r="S57" s="1445"/>
      <c r="T57" s="1448"/>
      <c r="U57" s="1448"/>
      <c r="V57" s="1448"/>
      <c r="W57" s="1448"/>
      <c r="X57" s="1448"/>
      <c r="Y57" s="1448"/>
      <c r="Z57" s="1448"/>
      <c r="AA57" s="1448"/>
      <c r="AB57" s="1448"/>
      <c r="AC57" s="1448"/>
      <c r="AD57" s="1448"/>
      <c r="AE57" s="1448"/>
      <c r="AG57" s="1542"/>
    </row>
    <row r="58" spans="1:33" s="1464" customFormat="1" ht="26.1" customHeight="1">
      <c r="A58" s="1442"/>
      <c r="B58" s="1442"/>
      <c r="C58" s="1442"/>
      <c r="D58" s="1443"/>
      <c r="E58" s="1443"/>
      <c r="F58" s="1444"/>
      <c r="G58" s="1444"/>
      <c r="H58" s="1445"/>
      <c r="I58" s="1446"/>
      <c r="J58" s="1445"/>
      <c r="K58" s="1446"/>
      <c r="L58" s="1445"/>
      <c r="M58" s="1445"/>
      <c r="N58" s="1447"/>
      <c r="O58" s="1446"/>
      <c r="P58" s="1445"/>
      <c r="Q58" s="1445"/>
      <c r="R58" s="1445"/>
      <c r="S58" s="1445"/>
      <c r="T58" s="1448"/>
      <c r="U58" s="1448"/>
      <c r="V58" s="1448"/>
      <c r="W58" s="1448"/>
      <c r="X58" s="1448"/>
      <c r="Y58" s="1448"/>
      <c r="Z58" s="1448"/>
      <c r="AA58" s="1448"/>
      <c r="AB58" s="1448"/>
      <c r="AC58" s="1448"/>
      <c r="AD58" s="1448"/>
      <c r="AE58" s="1448"/>
      <c r="AG58" s="1542"/>
    </row>
    <row r="59" spans="1:33" s="1464" customFormat="1" ht="26.1" customHeight="1">
      <c r="A59" s="1442"/>
      <c r="B59" s="1442"/>
      <c r="C59" s="1442"/>
      <c r="D59" s="1443"/>
      <c r="E59" s="1443"/>
      <c r="F59" s="1444"/>
      <c r="G59" s="1444"/>
      <c r="H59" s="1445"/>
      <c r="I59" s="1446"/>
      <c r="J59" s="1445"/>
      <c r="K59" s="1446"/>
      <c r="L59" s="1445"/>
      <c r="M59" s="1445"/>
      <c r="N59" s="1447"/>
      <c r="O59" s="1446"/>
      <c r="P59" s="1445"/>
      <c r="Q59" s="1445"/>
      <c r="R59" s="1445"/>
      <c r="S59" s="1445"/>
      <c r="T59" s="1448"/>
      <c r="U59" s="1448"/>
      <c r="V59" s="1448"/>
      <c r="W59" s="1448"/>
      <c r="X59" s="1448"/>
      <c r="Y59" s="1448"/>
      <c r="Z59" s="1448"/>
      <c r="AA59" s="1448"/>
      <c r="AB59" s="1448"/>
      <c r="AC59" s="1448"/>
      <c r="AD59" s="1448"/>
      <c r="AE59" s="1448"/>
      <c r="AG59" s="1542"/>
    </row>
    <row r="60" spans="1:33" s="1464" customFormat="1" ht="26.1" customHeight="1">
      <c r="A60" s="1442"/>
      <c r="B60" s="1442"/>
      <c r="C60" s="1442"/>
      <c r="D60" s="1443"/>
      <c r="E60" s="1443"/>
      <c r="F60" s="1444"/>
      <c r="G60" s="1444"/>
      <c r="H60" s="1445"/>
      <c r="I60" s="1446"/>
      <c r="J60" s="1445"/>
      <c r="K60" s="1446"/>
      <c r="L60" s="1445"/>
      <c r="M60" s="1445"/>
      <c r="N60" s="1447"/>
      <c r="O60" s="1446"/>
      <c r="P60" s="1445"/>
      <c r="Q60" s="1445"/>
      <c r="R60" s="1445"/>
      <c r="S60" s="1445"/>
      <c r="T60" s="1448"/>
      <c r="U60" s="1448"/>
      <c r="V60" s="1448"/>
      <c r="W60" s="1448"/>
      <c r="X60" s="1448"/>
      <c r="Y60" s="1448"/>
      <c r="Z60" s="1448"/>
      <c r="AA60" s="1448"/>
      <c r="AB60" s="1448"/>
      <c r="AC60" s="1448"/>
      <c r="AD60" s="1448"/>
      <c r="AE60" s="1448"/>
      <c r="AG60" s="1542"/>
    </row>
    <row r="61" spans="1:33" s="1464" customFormat="1" ht="26.1" customHeight="1">
      <c r="A61" s="1442"/>
      <c r="B61" s="1442"/>
      <c r="C61" s="1442"/>
      <c r="D61" s="1443"/>
      <c r="E61" s="1443"/>
      <c r="F61" s="1444"/>
      <c r="G61" s="1444"/>
      <c r="H61" s="1445"/>
      <c r="I61" s="1446"/>
      <c r="J61" s="1445"/>
      <c r="K61" s="1446"/>
      <c r="L61" s="1445"/>
      <c r="M61" s="1445"/>
      <c r="N61" s="1447"/>
      <c r="O61" s="1446"/>
      <c r="P61" s="1445"/>
      <c r="Q61" s="1445"/>
      <c r="R61" s="1445"/>
      <c r="S61" s="1445"/>
      <c r="T61" s="1448"/>
      <c r="U61" s="1448"/>
      <c r="V61" s="1448"/>
      <c r="W61" s="1448"/>
      <c r="X61" s="1448"/>
      <c r="Y61" s="1448"/>
      <c r="Z61" s="1448"/>
      <c r="AA61" s="1448"/>
      <c r="AB61" s="1448"/>
      <c r="AC61" s="1448"/>
      <c r="AD61" s="1448"/>
      <c r="AE61" s="1448"/>
      <c r="AG61" s="1542"/>
    </row>
    <row r="62" spans="1:33" s="1464" customFormat="1" ht="26.1" customHeight="1">
      <c r="A62" s="1442"/>
      <c r="B62" s="1442"/>
      <c r="C62" s="1442"/>
      <c r="D62" s="1443"/>
      <c r="E62" s="1443"/>
      <c r="F62" s="1444"/>
      <c r="G62" s="1444"/>
      <c r="H62" s="1445"/>
      <c r="I62" s="1446"/>
      <c r="J62" s="1445"/>
      <c r="K62" s="1446"/>
      <c r="L62" s="1445"/>
      <c r="M62" s="1445"/>
      <c r="N62" s="1447"/>
      <c r="O62" s="1446"/>
      <c r="P62" s="1445"/>
      <c r="Q62" s="1445"/>
      <c r="R62" s="1445"/>
      <c r="S62" s="1445"/>
      <c r="T62" s="1448"/>
      <c r="U62" s="1448"/>
      <c r="V62" s="1448"/>
      <c r="W62" s="1448"/>
      <c r="X62" s="1448"/>
      <c r="Y62" s="1448"/>
      <c r="Z62" s="1448"/>
      <c r="AA62" s="1448"/>
      <c r="AB62" s="1448"/>
      <c r="AC62" s="1448"/>
      <c r="AD62" s="1448"/>
      <c r="AE62" s="1448"/>
      <c r="AG62" s="1542"/>
    </row>
    <row r="63" spans="1:33" s="1464" customFormat="1" ht="26.1" customHeight="1">
      <c r="A63" s="1442"/>
      <c r="B63" s="1442"/>
      <c r="C63" s="1442"/>
      <c r="D63" s="1443"/>
      <c r="E63" s="1443"/>
      <c r="F63" s="1444"/>
      <c r="G63" s="1444"/>
      <c r="H63" s="1445"/>
      <c r="I63" s="1446"/>
      <c r="J63" s="1445"/>
      <c r="K63" s="1446"/>
      <c r="L63" s="1445"/>
      <c r="M63" s="1445"/>
      <c r="N63" s="1447"/>
      <c r="O63" s="1446"/>
      <c r="P63" s="1445"/>
      <c r="Q63" s="1445"/>
      <c r="R63" s="1445"/>
      <c r="S63" s="1445"/>
      <c r="T63" s="1448"/>
      <c r="U63" s="1448"/>
      <c r="V63" s="1448"/>
      <c r="W63" s="1448"/>
      <c r="X63" s="1448"/>
      <c r="Y63" s="1448"/>
      <c r="Z63" s="1448"/>
      <c r="AA63" s="1448"/>
      <c r="AB63" s="1448"/>
      <c r="AC63" s="1448"/>
      <c r="AD63" s="1448"/>
      <c r="AE63" s="1448"/>
      <c r="AG63" s="1542"/>
    </row>
    <row r="64" spans="1:33" s="1464" customFormat="1" ht="26.1" customHeight="1">
      <c r="A64" s="1442"/>
      <c r="B64" s="1442"/>
      <c r="C64" s="1442"/>
      <c r="D64" s="1443"/>
      <c r="E64" s="1443"/>
      <c r="F64" s="1444"/>
      <c r="G64" s="1444"/>
      <c r="H64" s="1445"/>
      <c r="I64" s="1446"/>
      <c r="J64" s="1445"/>
      <c r="K64" s="1446"/>
      <c r="L64" s="1445"/>
      <c r="M64" s="1445"/>
      <c r="N64" s="1447"/>
      <c r="O64" s="1446"/>
      <c r="P64" s="1445"/>
      <c r="Q64" s="1445"/>
      <c r="R64" s="1445"/>
      <c r="S64" s="1445"/>
      <c r="T64" s="1448"/>
      <c r="U64" s="1448"/>
      <c r="V64" s="1448"/>
      <c r="W64" s="1448"/>
      <c r="X64" s="1448"/>
      <c r="Y64" s="1448"/>
      <c r="Z64" s="1448"/>
      <c r="AA64" s="1448"/>
      <c r="AB64" s="1448"/>
      <c r="AC64" s="1448"/>
      <c r="AD64" s="1448"/>
      <c r="AE64" s="1448"/>
      <c r="AG64" s="1542"/>
    </row>
    <row r="65" spans="1:33" s="1464" customFormat="1" ht="26.1" customHeight="1">
      <c r="A65" s="1442"/>
      <c r="B65" s="1442"/>
      <c r="C65" s="1442"/>
      <c r="D65" s="1443"/>
      <c r="E65" s="1443"/>
      <c r="F65" s="1444"/>
      <c r="G65" s="1444"/>
      <c r="H65" s="1445"/>
      <c r="I65" s="1446"/>
      <c r="J65" s="1445"/>
      <c r="K65" s="1446"/>
      <c r="L65" s="1445"/>
      <c r="M65" s="1445"/>
      <c r="N65" s="1447"/>
      <c r="O65" s="1446"/>
      <c r="P65" s="1445"/>
      <c r="Q65" s="1445"/>
      <c r="R65" s="1445"/>
      <c r="S65" s="1445"/>
      <c r="T65" s="1448"/>
      <c r="U65" s="1448"/>
      <c r="V65" s="1448"/>
      <c r="W65" s="1448"/>
      <c r="X65" s="1448"/>
      <c r="Y65" s="1448"/>
      <c r="Z65" s="1448"/>
      <c r="AA65" s="1448"/>
      <c r="AB65" s="1448"/>
      <c r="AC65" s="1448"/>
      <c r="AD65" s="1448"/>
      <c r="AE65" s="1448"/>
      <c r="AG65" s="1542"/>
    </row>
    <row r="66" spans="1:33" s="1464" customFormat="1" ht="26.1" customHeight="1">
      <c r="A66" s="1442"/>
      <c r="B66" s="1442"/>
      <c r="C66" s="1442"/>
      <c r="D66" s="1443"/>
      <c r="E66" s="1443"/>
      <c r="F66" s="1444"/>
      <c r="G66" s="1444"/>
      <c r="H66" s="1445"/>
      <c r="I66" s="1446"/>
      <c r="J66" s="1445"/>
      <c r="K66" s="1446"/>
      <c r="L66" s="1445"/>
      <c r="M66" s="1445"/>
      <c r="N66" s="1447"/>
      <c r="O66" s="1446"/>
      <c r="P66" s="1445"/>
      <c r="Q66" s="1445"/>
      <c r="R66" s="1445"/>
      <c r="S66" s="1445"/>
      <c r="T66" s="1448"/>
      <c r="U66" s="1448"/>
      <c r="V66" s="1448"/>
      <c r="W66" s="1448"/>
      <c r="X66" s="1448"/>
      <c r="Y66" s="1448"/>
      <c r="Z66" s="1448"/>
      <c r="AA66" s="1448"/>
      <c r="AB66" s="1448"/>
      <c r="AC66" s="1448"/>
      <c r="AD66" s="1448"/>
      <c r="AE66" s="1448"/>
      <c r="AG66" s="1542"/>
    </row>
    <row r="67" spans="1:33" s="1464" customFormat="1" ht="26.1" customHeight="1">
      <c r="A67" s="1442"/>
      <c r="B67" s="1442"/>
      <c r="C67" s="1442"/>
      <c r="D67" s="1443"/>
      <c r="E67" s="1443"/>
      <c r="F67" s="1444"/>
      <c r="G67" s="1444"/>
      <c r="H67" s="1445"/>
      <c r="I67" s="1446"/>
      <c r="J67" s="1445"/>
      <c r="K67" s="1446"/>
      <c r="L67" s="1445"/>
      <c r="M67" s="1445"/>
      <c r="N67" s="1447"/>
      <c r="O67" s="1446"/>
      <c r="P67" s="1445"/>
      <c r="Q67" s="1445"/>
      <c r="R67" s="1445"/>
      <c r="S67" s="1445"/>
      <c r="T67" s="1448"/>
      <c r="U67" s="1448"/>
      <c r="V67" s="1448"/>
      <c r="W67" s="1448"/>
      <c r="X67" s="1448"/>
      <c r="Y67" s="1448"/>
      <c r="Z67" s="1448"/>
      <c r="AA67" s="1448"/>
      <c r="AB67" s="1448"/>
      <c r="AC67" s="1448"/>
      <c r="AD67" s="1448"/>
      <c r="AE67" s="1448"/>
      <c r="AG67" s="1542"/>
    </row>
    <row r="68" spans="1:33" s="1464" customFormat="1" ht="26.1" customHeight="1">
      <c r="A68" s="1442"/>
      <c r="B68" s="1442"/>
      <c r="C68" s="1442"/>
      <c r="D68" s="1443"/>
      <c r="E68" s="1443"/>
      <c r="F68" s="1444"/>
      <c r="G68" s="1444"/>
      <c r="H68" s="1445"/>
      <c r="I68" s="1446"/>
      <c r="J68" s="1445"/>
      <c r="K68" s="1446"/>
      <c r="L68" s="1445"/>
      <c r="M68" s="1445"/>
      <c r="N68" s="1447"/>
      <c r="O68" s="1446"/>
      <c r="P68" s="1445"/>
      <c r="Q68" s="1445"/>
      <c r="R68" s="1445"/>
      <c r="S68" s="1445"/>
      <c r="T68" s="1448"/>
      <c r="U68" s="1448"/>
      <c r="V68" s="1448"/>
      <c r="W68" s="1448"/>
      <c r="X68" s="1448"/>
      <c r="Y68" s="1448"/>
      <c r="Z68" s="1448"/>
      <c r="AA68" s="1448"/>
      <c r="AB68" s="1448"/>
      <c r="AC68" s="1448"/>
      <c r="AD68" s="1448"/>
      <c r="AE68" s="1448"/>
      <c r="AG68" s="1542"/>
    </row>
    <row r="69" spans="1:33" s="1464" customFormat="1" ht="26.1" customHeight="1">
      <c r="A69" s="1442"/>
      <c r="B69" s="1442"/>
      <c r="C69" s="1442"/>
      <c r="D69" s="1443"/>
      <c r="E69" s="1443"/>
      <c r="F69" s="1444"/>
      <c r="G69" s="1444"/>
      <c r="H69" s="1445"/>
      <c r="I69" s="1446"/>
      <c r="J69" s="1445"/>
      <c r="K69" s="1446"/>
      <c r="L69" s="1445"/>
      <c r="M69" s="1445"/>
      <c r="N69" s="1447"/>
      <c r="O69" s="1446"/>
      <c r="P69" s="1445"/>
      <c r="Q69" s="1445"/>
      <c r="R69" s="1445"/>
      <c r="S69" s="1445"/>
      <c r="T69" s="1448"/>
      <c r="U69" s="1448"/>
      <c r="V69" s="1448"/>
      <c r="W69" s="1448"/>
      <c r="X69" s="1448"/>
      <c r="Y69" s="1448"/>
      <c r="Z69" s="1448"/>
      <c r="AA69" s="1448"/>
      <c r="AB69" s="1448"/>
      <c r="AC69" s="1448"/>
      <c r="AD69" s="1448"/>
      <c r="AE69" s="1448"/>
      <c r="AG69" s="1542"/>
    </row>
    <row r="70" spans="1:33" s="1464" customFormat="1" ht="26.1" customHeight="1">
      <c r="A70" s="1442"/>
      <c r="B70" s="1442"/>
      <c r="C70" s="1442"/>
      <c r="D70" s="1443"/>
      <c r="E70" s="1443"/>
      <c r="F70" s="1444"/>
      <c r="G70" s="1444"/>
      <c r="H70" s="1445"/>
      <c r="I70" s="1446"/>
      <c r="J70" s="1445"/>
      <c r="K70" s="1446"/>
      <c r="L70" s="1445"/>
      <c r="M70" s="1445"/>
      <c r="N70" s="1447"/>
      <c r="O70" s="1446"/>
      <c r="P70" s="1445"/>
      <c r="Q70" s="1445"/>
      <c r="R70" s="1445"/>
      <c r="S70" s="1445"/>
      <c r="T70" s="1448"/>
      <c r="U70" s="1448"/>
      <c r="V70" s="1448"/>
      <c r="W70" s="1448"/>
      <c r="X70" s="1448"/>
      <c r="Y70" s="1448"/>
      <c r="Z70" s="1448"/>
      <c r="AA70" s="1448"/>
      <c r="AB70" s="1448"/>
      <c r="AC70" s="1448"/>
      <c r="AD70" s="1448"/>
      <c r="AE70" s="1448"/>
      <c r="AG70" s="1542"/>
    </row>
    <row r="71" spans="1:33" s="1464" customFormat="1" ht="26.1" customHeight="1">
      <c r="A71" s="1442"/>
      <c r="B71" s="1442"/>
      <c r="C71" s="1442"/>
      <c r="D71" s="1443"/>
      <c r="E71" s="1443"/>
      <c r="F71" s="1444"/>
      <c r="G71" s="1444"/>
      <c r="H71" s="1445"/>
      <c r="I71" s="1446"/>
      <c r="J71" s="1445"/>
      <c r="K71" s="1446"/>
      <c r="L71" s="1445"/>
      <c r="M71" s="1445"/>
      <c r="N71" s="1447"/>
      <c r="O71" s="1446"/>
      <c r="P71" s="1445"/>
      <c r="Q71" s="1445"/>
      <c r="R71" s="1445"/>
      <c r="S71" s="1445"/>
      <c r="T71" s="1448"/>
      <c r="U71" s="1448"/>
      <c r="V71" s="1448"/>
      <c r="W71" s="1448"/>
      <c r="X71" s="1448"/>
      <c r="Y71" s="1448"/>
      <c r="Z71" s="1448"/>
      <c r="AA71" s="1448"/>
      <c r="AB71" s="1448"/>
      <c r="AC71" s="1448"/>
      <c r="AD71" s="1448"/>
      <c r="AE71" s="1448"/>
      <c r="AG71" s="1542"/>
    </row>
    <row r="72" spans="1:33" s="1464" customFormat="1" ht="26.1" customHeight="1">
      <c r="A72" s="1442"/>
      <c r="B72" s="1442"/>
      <c r="C72" s="1442"/>
      <c r="D72" s="1443"/>
      <c r="E72" s="1443"/>
      <c r="F72" s="1444"/>
      <c r="G72" s="1444"/>
      <c r="H72" s="1445"/>
      <c r="I72" s="1446"/>
      <c r="J72" s="1445"/>
      <c r="K72" s="1446"/>
      <c r="L72" s="1445"/>
      <c r="M72" s="1445"/>
      <c r="N72" s="1447"/>
      <c r="O72" s="1446"/>
      <c r="P72" s="1445"/>
      <c r="Q72" s="1445"/>
      <c r="R72" s="1445"/>
      <c r="S72" s="1445"/>
      <c r="T72" s="1448"/>
      <c r="U72" s="1448"/>
      <c r="V72" s="1448"/>
      <c r="W72" s="1448"/>
      <c r="X72" s="1448"/>
      <c r="Y72" s="1448"/>
      <c r="Z72" s="1448"/>
      <c r="AA72" s="1448"/>
      <c r="AB72" s="1448"/>
      <c r="AC72" s="1448"/>
      <c r="AD72" s="1448"/>
      <c r="AE72" s="1448"/>
      <c r="AG72" s="1542"/>
    </row>
    <row r="73" spans="1:33" s="1464" customFormat="1" ht="26.1" customHeight="1">
      <c r="A73" s="1442"/>
      <c r="B73" s="1442"/>
      <c r="C73" s="1442"/>
      <c r="D73" s="1443"/>
      <c r="E73" s="1443"/>
      <c r="F73" s="1444"/>
      <c r="G73" s="1444"/>
      <c r="H73" s="1445"/>
      <c r="I73" s="1446"/>
      <c r="J73" s="1445"/>
      <c r="K73" s="1446"/>
      <c r="L73" s="1445"/>
      <c r="M73" s="1445"/>
      <c r="N73" s="1447"/>
      <c r="O73" s="1446"/>
      <c r="P73" s="1445"/>
      <c r="Q73" s="1445"/>
      <c r="R73" s="1445"/>
      <c r="S73" s="1445"/>
      <c r="T73" s="1448"/>
      <c r="U73" s="1448"/>
      <c r="V73" s="1448"/>
      <c r="W73" s="1448"/>
      <c r="X73" s="1448"/>
      <c r="Y73" s="1448"/>
      <c r="Z73" s="1448"/>
      <c r="AA73" s="1448"/>
      <c r="AB73" s="1448"/>
      <c r="AC73" s="1448"/>
      <c r="AD73" s="1448"/>
      <c r="AE73" s="1448"/>
      <c r="AG73" s="1542"/>
    </row>
    <row r="74" spans="1:33" s="1464" customFormat="1" ht="26.1" customHeight="1">
      <c r="A74" s="1442"/>
      <c r="B74" s="1442"/>
      <c r="C74" s="1442"/>
      <c r="D74" s="1443"/>
      <c r="E74" s="1443"/>
      <c r="F74" s="1444"/>
      <c r="G74" s="1444"/>
      <c r="H74" s="1445"/>
      <c r="I74" s="1446"/>
      <c r="J74" s="1445"/>
      <c r="K74" s="1446"/>
      <c r="L74" s="1445"/>
      <c r="M74" s="1445"/>
      <c r="N74" s="1447"/>
      <c r="O74" s="1446"/>
      <c r="P74" s="1445"/>
      <c r="Q74" s="1445"/>
      <c r="R74" s="1445"/>
      <c r="S74" s="1445"/>
      <c r="T74" s="1448"/>
      <c r="U74" s="1448"/>
      <c r="V74" s="1448"/>
      <c r="W74" s="1448"/>
      <c r="X74" s="1448"/>
      <c r="Y74" s="1448"/>
      <c r="Z74" s="1448"/>
      <c r="AA74" s="1448"/>
      <c r="AB74" s="1448"/>
      <c r="AC74" s="1448"/>
      <c r="AD74" s="1448"/>
      <c r="AE74" s="1448"/>
      <c r="AG74" s="1542"/>
    </row>
    <row r="75" spans="1:33" s="1464" customFormat="1" ht="26.1" customHeight="1">
      <c r="A75" s="1442"/>
      <c r="B75" s="1442"/>
      <c r="C75" s="1442"/>
      <c r="D75" s="1443"/>
      <c r="E75" s="1443"/>
      <c r="F75" s="1444"/>
      <c r="G75" s="1444"/>
      <c r="H75" s="1543"/>
      <c r="I75" s="1446"/>
      <c r="J75" s="1445"/>
      <c r="K75" s="1446"/>
      <c r="L75" s="1445"/>
      <c r="M75" s="1445"/>
      <c r="N75" s="1447"/>
      <c r="O75" s="1446"/>
      <c r="P75" s="1445"/>
      <c r="Q75" s="1445"/>
      <c r="R75" s="1445"/>
      <c r="S75" s="1445"/>
      <c r="T75" s="1448"/>
      <c r="U75" s="1448"/>
      <c r="V75" s="1448"/>
      <c r="W75" s="1448"/>
      <c r="X75" s="1448"/>
      <c r="Y75" s="1448"/>
      <c r="Z75" s="1448"/>
      <c r="AA75" s="1448"/>
      <c r="AB75" s="1448"/>
      <c r="AC75" s="1448"/>
      <c r="AD75" s="1448"/>
      <c r="AE75" s="1448"/>
      <c r="AG75" s="1542"/>
    </row>
    <row r="76" spans="1:33" s="1464" customFormat="1" ht="26.1" customHeight="1">
      <c r="A76" s="1442"/>
      <c r="B76" s="1442"/>
      <c r="C76" s="1442"/>
      <c r="D76" s="1443"/>
      <c r="E76" s="1443"/>
      <c r="F76" s="1444"/>
      <c r="G76" s="1444"/>
      <c r="H76" s="1543"/>
      <c r="I76" s="1446"/>
      <c r="J76" s="1445"/>
      <c r="K76" s="1446"/>
      <c r="L76" s="1445"/>
      <c r="M76" s="1445"/>
      <c r="N76" s="1447"/>
      <c r="O76" s="1446"/>
      <c r="P76" s="1445"/>
      <c r="Q76" s="1445"/>
      <c r="R76" s="1445"/>
      <c r="S76" s="1445"/>
      <c r="T76" s="1448"/>
      <c r="U76" s="1448"/>
      <c r="V76" s="1448"/>
      <c r="W76" s="1448"/>
      <c r="X76" s="1448"/>
      <c r="Y76" s="1448"/>
      <c r="Z76" s="1448"/>
      <c r="AA76" s="1448"/>
      <c r="AB76" s="1448"/>
      <c r="AC76" s="1448"/>
      <c r="AD76" s="1448"/>
      <c r="AE76" s="1448"/>
      <c r="AG76" s="1542"/>
    </row>
    <row r="77" spans="1:33" s="1464" customFormat="1" ht="26.1" customHeight="1">
      <c r="A77" s="1442"/>
      <c r="B77" s="1442"/>
      <c r="C77" s="1442"/>
      <c r="D77" s="1443"/>
      <c r="E77" s="1443"/>
      <c r="F77" s="1444"/>
      <c r="G77" s="1444"/>
      <c r="H77" s="1543"/>
      <c r="I77" s="1446"/>
      <c r="J77" s="1445"/>
      <c r="K77" s="1446"/>
      <c r="L77" s="1445"/>
      <c r="M77" s="1445"/>
      <c r="N77" s="1447"/>
      <c r="O77" s="1446"/>
      <c r="P77" s="1445"/>
      <c r="Q77" s="1445"/>
      <c r="R77" s="1445"/>
      <c r="S77" s="1445"/>
      <c r="T77" s="1448"/>
      <c r="U77" s="1448"/>
      <c r="V77" s="1448"/>
      <c r="W77" s="1448"/>
      <c r="X77" s="1448"/>
      <c r="Y77" s="1448"/>
      <c r="Z77" s="1448"/>
      <c r="AA77" s="1448"/>
      <c r="AB77" s="1448"/>
      <c r="AC77" s="1448"/>
      <c r="AD77" s="1448"/>
      <c r="AE77" s="1448"/>
      <c r="AG77" s="1542"/>
    </row>
    <row r="78" spans="1:33" s="1464" customFormat="1" ht="26.1" customHeight="1">
      <c r="A78" s="1442"/>
      <c r="B78" s="1442"/>
      <c r="C78" s="1442"/>
      <c r="D78" s="1443"/>
      <c r="E78" s="1443"/>
      <c r="F78" s="1444"/>
      <c r="G78" s="1444"/>
      <c r="H78" s="1543"/>
      <c r="I78" s="1446"/>
      <c r="J78" s="1445"/>
      <c r="K78" s="1446"/>
      <c r="L78" s="1445"/>
      <c r="M78" s="1445"/>
      <c r="N78" s="1447"/>
      <c r="O78" s="1446"/>
      <c r="P78" s="1445"/>
      <c r="Q78" s="1445"/>
      <c r="R78" s="1445"/>
      <c r="S78" s="1445"/>
      <c r="T78" s="1448"/>
      <c r="U78" s="1448"/>
      <c r="V78" s="1448"/>
      <c r="W78" s="1448"/>
      <c r="X78" s="1448"/>
      <c r="Y78" s="1448"/>
      <c r="Z78" s="1448"/>
      <c r="AA78" s="1448"/>
      <c r="AB78" s="1448"/>
      <c r="AC78" s="1448"/>
      <c r="AD78" s="1448"/>
      <c r="AE78" s="1448"/>
      <c r="AG78" s="1542"/>
    </row>
    <row r="79" spans="1:33" s="1464" customFormat="1" ht="26.1" customHeight="1">
      <c r="A79" s="1442"/>
      <c r="B79" s="1442"/>
      <c r="C79" s="1442"/>
      <c r="D79" s="1443"/>
      <c r="E79" s="1443"/>
      <c r="F79" s="1444"/>
      <c r="G79" s="1444"/>
      <c r="H79" s="1543"/>
      <c r="I79" s="1446"/>
      <c r="J79" s="1445"/>
      <c r="K79" s="1446"/>
      <c r="L79" s="1445"/>
      <c r="M79" s="1445"/>
      <c r="N79" s="1447"/>
      <c r="O79" s="1446"/>
      <c r="P79" s="1445"/>
      <c r="Q79" s="1445"/>
      <c r="R79" s="1445"/>
      <c r="S79" s="1445"/>
      <c r="T79" s="1448"/>
      <c r="U79" s="1448"/>
      <c r="V79" s="1448"/>
      <c r="W79" s="1448"/>
      <c r="X79" s="1448"/>
      <c r="Y79" s="1448"/>
      <c r="Z79" s="1448"/>
      <c r="AA79" s="1448"/>
      <c r="AB79" s="1448"/>
      <c r="AC79" s="1448"/>
      <c r="AD79" s="1448"/>
      <c r="AE79" s="1448"/>
      <c r="AG79" s="1542"/>
    </row>
    <row r="80" spans="1:33" s="1464" customFormat="1" ht="26.1" customHeight="1">
      <c r="A80" s="1442"/>
      <c r="B80" s="1442"/>
      <c r="C80" s="1442"/>
      <c r="D80" s="1443"/>
      <c r="E80" s="1443"/>
      <c r="F80" s="1444"/>
      <c r="G80" s="1444"/>
      <c r="H80" s="1543"/>
      <c r="I80" s="1446"/>
      <c r="J80" s="1445"/>
      <c r="K80" s="1446"/>
      <c r="L80" s="1445"/>
      <c r="M80" s="1445"/>
      <c r="N80" s="1447"/>
      <c r="O80" s="1446"/>
      <c r="P80" s="1445"/>
      <c r="Q80" s="1445"/>
      <c r="R80" s="1445"/>
      <c r="S80" s="1445"/>
      <c r="T80" s="1448"/>
      <c r="U80" s="1448"/>
      <c r="V80" s="1448"/>
      <c r="W80" s="1448"/>
      <c r="X80" s="1448"/>
      <c r="Y80" s="1448"/>
      <c r="Z80" s="1448"/>
      <c r="AA80" s="1448"/>
      <c r="AB80" s="1448"/>
      <c r="AC80" s="1448"/>
      <c r="AD80" s="1448"/>
      <c r="AE80" s="1448"/>
      <c r="AG80" s="1542"/>
    </row>
    <row r="81" spans="1:33" s="1464" customFormat="1" ht="26.1" customHeight="1">
      <c r="A81" s="1442"/>
      <c r="B81" s="1442"/>
      <c r="C81" s="1442"/>
      <c r="D81" s="1443"/>
      <c r="E81" s="1443"/>
      <c r="F81" s="1444"/>
      <c r="G81" s="1444"/>
      <c r="H81" s="1543"/>
      <c r="I81" s="1446"/>
      <c r="J81" s="1445"/>
      <c r="K81" s="1446"/>
      <c r="L81" s="1445"/>
      <c r="M81" s="1445"/>
      <c r="N81" s="1447"/>
      <c r="O81" s="1446"/>
      <c r="P81" s="1445"/>
      <c r="Q81" s="1445"/>
      <c r="R81" s="1445"/>
      <c r="S81" s="1445"/>
      <c r="T81" s="1448"/>
      <c r="U81" s="1448"/>
      <c r="V81" s="1448"/>
      <c r="W81" s="1448"/>
      <c r="X81" s="1448"/>
      <c r="Y81" s="1448"/>
      <c r="Z81" s="1448"/>
      <c r="AA81" s="1448"/>
      <c r="AB81" s="1448"/>
      <c r="AC81" s="1448"/>
      <c r="AD81" s="1448"/>
      <c r="AE81" s="1448"/>
      <c r="AG81" s="1542"/>
    </row>
    <row r="82" spans="1:33" s="1464" customFormat="1" ht="26.1" customHeight="1">
      <c r="A82" s="1442"/>
      <c r="B82" s="1442"/>
      <c r="C82" s="1442"/>
      <c r="D82" s="1443"/>
      <c r="E82" s="1443"/>
      <c r="F82" s="1444"/>
      <c r="G82" s="1444"/>
      <c r="H82" s="1543"/>
      <c r="I82" s="1446"/>
      <c r="J82" s="1445"/>
      <c r="K82" s="1446"/>
      <c r="L82" s="1445"/>
      <c r="M82" s="1445"/>
      <c r="N82" s="1447"/>
      <c r="O82" s="1446"/>
      <c r="P82" s="1445"/>
      <c r="Q82" s="1445"/>
      <c r="R82" s="1445"/>
      <c r="S82" s="1445"/>
      <c r="T82" s="1448"/>
      <c r="U82" s="1448"/>
      <c r="V82" s="1448"/>
      <c r="W82" s="1448"/>
      <c r="X82" s="1448"/>
      <c r="Y82" s="1448"/>
      <c r="Z82" s="1448"/>
      <c r="AA82" s="1448"/>
      <c r="AB82" s="1448"/>
      <c r="AC82" s="1448"/>
      <c r="AD82" s="1448"/>
      <c r="AE82" s="1448"/>
      <c r="AG82" s="1542"/>
    </row>
  </sheetData>
  <mergeCells count="21">
    <mergeCell ref="G7:I7"/>
    <mergeCell ref="J7:K7"/>
    <mergeCell ref="L7:M7"/>
    <mergeCell ref="N7:O7"/>
    <mergeCell ref="A9:C9"/>
    <mergeCell ref="P6:R6"/>
    <mergeCell ref="AD6:AD8"/>
    <mergeCell ref="AE6:AE8"/>
    <mergeCell ref="AG6:AG8"/>
    <mergeCell ref="AH6:AH8"/>
    <mergeCell ref="AI6:AI8"/>
    <mergeCell ref="AI1:AK1"/>
    <mergeCell ref="A2:AH2"/>
    <mergeCell ref="A3:AH3"/>
    <mergeCell ref="A4:AH4"/>
    <mergeCell ref="A5:AH5"/>
    <mergeCell ref="A6:A8"/>
    <mergeCell ref="B6:B8"/>
    <mergeCell ref="C6:C8"/>
    <mergeCell ref="F6:F8"/>
    <mergeCell ref="G6:O6"/>
  </mergeCells>
  <pageMargins left="0.31496062992125984" right="0.11811023622047245" top="0.74803149606299213" bottom="0.74803149606299213" header="0.31496062992125984" footer="0.31496062992125984"/>
  <pageSetup paperSize="9" scale="67" orientation="landscape" r:id="rId1"/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6E57-F3BD-444D-91C2-A20A68588F59}">
  <sheetPr>
    <tabColor theme="9" tint="-0.249977111117893"/>
  </sheetPr>
  <dimension ref="B1:AF106"/>
  <sheetViews>
    <sheetView topLeftCell="A2" zoomScale="70" zoomScaleNormal="70" zoomScaleSheetLayoutView="70" workbookViewId="0">
      <pane xSplit="11" ySplit="12" topLeftCell="L86" activePane="bottomRight" state="frozen"/>
      <selection activeCell="L22" sqref="L22"/>
      <selection pane="topRight" activeCell="L22" sqref="L22"/>
      <selection pane="bottomLeft" activeCell="L22" sqref="L22"/>
      <selection pane="bottomRight" activeCell="L83" sqref="L83"/>
    </sheetView>
  </sheetViews>
  <sheetFormatPr defaultColWidth="9.140625" defaultRowHeight="24"/>
  <cols>
    <col min="1" max="1" width="1.42578125" style="1553" customWidth="1"/>
    <col min="2" max="2" width="7.42578125" style="1544" customWidth="1"/>
    <col min="3" max="3" width="21.140625" style="1545" customWidth="1"/>
    <col min="4" max="4" width="21.7109375" style="1544" customWidth="1"/>
    <col min="5" max="5" width="18.7109375" style="1546" hidden="1" customWidth="1"/>
    <col min="6" max="6" width="5.42578125" style="1546" hidden="1" customWidth="1"/>
    <col min="7" max="7" width="18.7109375" style="1546" hidden="1" customWidth="1"/>
    <col min="8" max="8" width="22" style="1546" customWidth="1"/>
    <col min="9" max="9" width="19.28515625" style="1546" hidden="1" customWidth="1"/>
    <col min="10" max="10" width="10.85546875" style="1549" hidden="1" customWidth="1"/>
    <col min="11" max="11" width="12.85546875" style="1642" hidden="1" customWidth="1"/>
    <col min="12" max="12" width="21.5703125" style="1546" customWidth="1"/>
    <col min="13" max="13" width="12.140625" style="1774" customWidth="1"/>
    <col min="14" max="14" width="19.7109375" style="1546" customWidth="1"/>
    <col min="15" max="15" width="12.140625" style="1758" customWidth="1"/>
    <col min="16" max="16" width="21.7109375" style="1546" customWidth="1"/>
    <col min="17" max="17" width="11.7109375" style="1758" customWidth="1"/>
    <col min="18" max="18" width="16.85546875" style="1546" hidden="1" customWidth="1"/>
    <col min="19" max="19" width="20.42578125" style="1549" customWidth="1"/>
    <col min="20" max="20" width="9.7109375" style="1643" hidden="1" customWidth="1"/>
    <col min="21" max="21" width="17.7109375" style="1643" hidden="1" customWidth="1"/>
    <col min="22" max="22" width="19.42578125" style="1551" hidden="1" customWidth="1"/>
    <col min="23" max="23" width="18.140625" style="1551" hidden="1" customWidth="1"/>
    <col min="24" max="24" width="7.42578125" style="1552" hidden="1" customWidth="1"/>
    <col min="25" max="25" width="27.5703125" style="1551" hidden="1" customWidth="1"/>
    <col min="26" max="26" width="12.28515625" style="1551" hidden="1" customWidth="1"/>
    <col min="27" max="27" width="13.28515625" style="1551" hidden="1" customWidth="1"/>
    <col min="28" max="28" width="9.140625" style="1551" hidden="1" customWidth="1"/>
    <col min="29" max="29" width="14.140625" style="1551" hidden="1" customWidth="1"/>
    <col min="30" max="30" width="9.140625" style="1551" hidden="1" customWidth="1"/>
    <col min="31" max="31" width="18.85546875" style="1551" hidden="1" customWidth="1"/>
    <col min="32" max="32" width="9.140625" style="1553" hidden="1" customWidth="1"/>
    <col min="33" max="34" width="0" style="1553" hidden="1" customWidth="1"/>
    <col min="35" max="16384" width="9.140625" style="1553"/>
  </cols>
  <sheetData>
    <row r="1" spans="2:31" ht="17.25" customHeight="1">
      <c r="J1" s="1547" t="s">
        <v>846</v>
      </c>
      <c r="K1" s="1548"/>
      <c r="Q1" s="1871" t="s">
        <v>846</v>
      </c>
      <c r="T1" s="1550"/>
      <c r="U1" s="1550"/>
    </row>
    <row r="2" spans="2:31" ht="17.25" hidden="1" customHeight="1">
      <c r="J2" s="1547"/>
      <c r="K2" s="1548"/>
      <c r="Q2" s="1871"/>
      <c r="S2" s="1547"/>
      <c r="T2" s="1550"/>
      <c r="U2" s="1550"/>
    </row>
    <row r="3" spans="2:31" ht="28.5">
      <c r="B3" s="2102" t="s">
        <v>5438</v>
      </c>
      <c r="C3" s="2102"/>
      <c r="D3" s="2102"/>
      <c r="E3" s="2102"/>
      <c r="F3" s="2102"/>
      <c r="G3" s="2102"/>
      <c r="H3" s="2102"/>
      <c r="I3" s="2102"/>
      <c r="J3" s="2102"/>
      <c r="K3" s="2102"/>
      <c r="L3" s="2102"/>
      <c r="M3" s="2102"/>
      <c r="N3" s="2102"/>
      <c r="O3" s="2102"/>
      <c r="P3" s="2102"/>
      <c r="Q3" s="2102"/>
      <c r="R3" s="2102"/>
      <c r="S3" s="2102"/>
      <c r="T3" s="2102"/>
      <c r="U3" s="1555"/>
      <c r="V3" s="1556"/>
      <c r="W3" s="1556"/>
      <c r="X3" s="1557"/>
      <c r="Y3" s="1556"/>
      <c r="Z3" s="1556"/>
      <c r="AA3" s="1556"/>
      <c r="AB3" s="1556"/>
      <c r="AC3" s="1556"/>
      <c r="AD3" s="1556"/>
      <c r="AE3" s="1556"/>
    </row>
    <row r="4" spans="2:31" ht="27.75" customHeight="1">
      <c r="B4" s="2102" t="s">
        <v>847</v>
      </c>
      <c r="C4" s="2102"/>
      <c r="D4" s="2102"/>
      <c r="E4" s="2102"/>
      <c r="F4" s="2102"/>
      <c r="G4" s="2102"/>
      <c r="H4" s="2102"/>
      <c r="I4" s="2102"/>
      <c r="J4" s="2102"/>
      <c r="K4" s="2102"/>
      <c r="L4" s="2102"/>
      <c r="M4" s="2102"/>
      <c r="N4" s="2102"/>
      <c r="O4" s="2102"/>
      <c r="P4" s="2102"/>
      <c r="Q4" s="2102"/>
      <c r="R4" s="2102"/>
      <c r="S4" s="2102"/>
      <c r="T4" s="2102"/>
      <c r="U4" s="1555"/>
      <c r="V4" s="2103"/>
      <c r="W4" s="2103"/>
      <c r="X4" s="1557"/>
      <c r="Y4" s="1556"/>
      <c r="Z4" s="1556"/>
      <c r="AA4" s="1556"/>
      <c r="AB4" s="1556"/>
      <c r="AC4" s="1556"/>
      <c r="AD4" s="1556"/>
      <c r="AE4" s="1556"/>
    </row>
    <row r="5" spans="2:31" ht="28.5">
      <c r="B5" s="2102" t="str">
        <f>[8]จังหวัด!A5</f>
        <v xml:space="preserve">ข้อมูลสะสมตั้งแต่วันที่ 1 ตุลาคม 2566  ถึงวันที่ 15 กันยายน 2567 </v>
      </c>
      <c r="C5" s="2102"/>
      <c r="D5" s="2102"/>
      <c r="E5" s="2102"/>
      <c r="F5" s="2102"/>
      <c r="G5" s="2102"/>
      <c r="H5" s="2102"/>
      <c r="I5" s="2102"/>
      <c r="J5" s="2102"/>
      <c r="K5" s="2102"/>
      <c r="L5" s="2102"/>
      <c r="M5" s="2102"/>
      <c r="N5" s="2102"/>
      <c r="O5" s="2102"/>
      <c r="P5" s="2102"/>
      <c r="Q5" s="2102"/>
      <c r="R5" s="2102"/>
      <c r="S5" s="2102"/>
      <c r="T5" s="2102"/>
      <c r="U5" s="1555"/>
      <c r="V5" s="1556"/>
      <c r="W5" s="1556"/>
      <c r="X5" s="1557"/>
      <c r="Y5" s="1556"/>
      <c r="Z5" s="1556"/>
      <c r="AA5" s="1556"/>
      <c r="AB5" s="1556"/>
      <c r="AC5" s="1556"/>
      <c r="AD5" s="1556"/>
      <c r="AE5" s="1556"/>
    </row>
    <row r="6" spans="2:31" ht="1.5" customHeight="1">
      <c r="B6" s="1554"/>
      <c r="C6" s="1554"/>
      <c r="D6" s="1554"/>
      <c r="E6" s="1554"/>
      <c r="F6" s="1554"/>
      <c r="G6" s="1554"/>
      <c r="H6" s="1554"/>
      <c r="I6" s="1554"/>
      <c r="J6" s="1558"/>
      <c r="K6" s="1559"/>
      <c r="L6" s="1554"/>
      <c r="M6" s="1558"/>
      <c r="N6" s="1554"/>
      <c r="O6" s="1759"/>
      <c r="P6" s="1554"/>
      <c r="Q6" s="1759"/>
      <c r="R6" s="1560"/>
      <c r="S6" s="1561"/>
      <c r="T6" s="1558"/>
      <c r="U6" s="1562"/>
      <c r="V6" s="1556"/>
      <c r="W6" s="1556"/>
      <c r="X6" s="1557"/>
      <c r="Y6" s="1556"/>
      <c r="Z6" s="1556"/>
      <c r="AA6" s="1556"/>
      <c r="AB6" s="1556"/>
      <c r="AC6" s="1556"/>
      <c r="AD6" s="1556"/>
      <c r="AE6" s="1556"/>
    </row>
    <row r="7" spans="2:31" ht="25.5" customHeight="1">
      <c r="B7" s="2104" t="s">
        <v>804</v>
      </c>
      <c r="C7" s="2104"/>
      <c r="D7" s="2104"/>
      <c r="E7" s="2104"/>
      <c r="F7" s="2104"/>
      <c r="G7" s="2104"/>
      <c r="H7" s="2104"/>
      <c r="I7" s="2104"/>
      <c r="J7" s="2104"/>
      <c r="K7" s="2104"/>
      <c r="L7" s="2104"/>
      <c r="M7" s="2104"/>
      <c r="N7" s="2104"/>
      <c r="O7" s="2104"/>
      <c r="P7" s="2104"/>
      <c r="Q7" s="2104"/>
      <c r="R7" s="2104"/>
      <c r="S7" s="2104"/>
      <c r="T7" s="2104"/>
      <c r="U7" s="1563"/>
      <c r="V7" s="1564"/>
      <c r="W7" s="1564"/>
      <c r="X7" s="1565"/>
      <c r="Y7" s="1564"/>
      <c r="Z7" s="1564"/>
      <c r="AA7" s="1564"/>
      <c r="AB7" s="1564"/>
      <c r="AC7" s="1564"/>
      <c r="AD7" s="1564"/>
      <c r="AE7" s="1564"/>
    </row>
    <row r="8" spans="2:31" ht="2.25" customHeight="1">
      <c r="B8" s="1566"/>
      <c r="C8" s="1566"/>
      <c r="D8" s="1566"/>
      <c r="E8" s="1566"/>
      <c r="F8" s="1566"/>
      <c r="G8" s="1566"/>
      <c r="H8" s="1566"/>
      <c r="I8" s="1566"/>
      <c r="J8" s="1566"/>
      <c r="K8" s="1567"/>
      <c r="L8" s="1566"/>
      <c r="M8" s="1775"/>
      <c r="N8" s="1566"/>
      <c r="O8" s="1568"/>
      <c r="P8" s="1566"/>
      <c r="Q8" s="1568"/>
      <c r="R8" s="1566"/>
      <c r="S8" s="1569"/>
      <c r="T8" s="1563"/>
      <c r="U8" s="1563"/>
      <c r="V8" s="1564"/>
      <c r="W8" s="1564"/>
      <c r="X8" s="1565"/>
      <c r="Y8" s="1564"/>
      <c r="Z8" s="1564"/>
      <c r="AA8" s="1564"/>
      <c r="AB8" s="1564"/>
      <c r="AC8" s="1564"/>
      <c r="AD8" s="1564"/>
      <c r="AE8" s="1564"/>
    </row>
    <row r="9" spans="2:31" ht="15" customHeight="1">
      <c r="B9" s="2105" t="s">
        <v>376</v>
      </c>
      <c r="C9" s="2061" t="s">
        <v>723</v>
      </c>
      <c r="D9" s="2061" t="s">
        <v>724</v>
      </c>
      <c r="E9" s="2110" t="s">
        <v>1225</v>
      </c>
      <c r="F9" s="2111"/>
      <c r="G9" s="2112"/>
      <c r="H9" s="2119" t="s">
        <v>848</v>
      </c>
      <c r="I9" s="2079" t="s">
        <v>862</v>
      </c>
      <c r="J9" s="2080"/>
      <c r="K9" s="1570"/>
      <c r="L9" s="2085" t="s">
        <v>863</v>
      </c>
      <c r="M9" s="2086"/>
      <c r="N9" s="2086"/>
      <c r="O9" s="2086"/>
      <c r="P9" s="2086"/>
      <c r="Q9" s="2087"/>
      <c r="R9" s="2091" t="s">
        <v>865</v>
      </c>
      <c r="S9" s="2094" t="s">
        <v>4</v>
      </c>
      <c r="T9" s="2052" t="s">
        <v>861</v>
      </c>
      <c r="U9" s="2099" t="s">
        <v>972</v>
      </c>
      <c r="V9" s="1464"/>
      <c r="W9" s="1571"/>
      <c r="X9" s="2074" t="s">
        <v>870</v>
      </c>
      <c r="Y9" s="1564"/>
      <c r="Z9" s="2077" t="s">
        <v>973</v>
      </c>
      <c r="AA9" s="2078" t="s">
        <v>974</v>
      </c>
      <c r="AB9" s="1564"/>
      <c r="AC9" s="1564"/>
      <c r="AD9" s="1564"/>
      <c r="AE9" s="1564"/>
    </row>
    <row r="10" spans="2:31" s="1578" customFormat="1" ht="13.5" customHeight="1">
      <c r="B10" s="2106"/>
      <c r="C10" s="2108"/>
      <c r="D10" s="2108"/>
      <c r="E10" s="2113"/>
      <c r="F10" s="2114"/>
      <c r="G10" s="2115"/>
      <c r="H10" s="2120"/>
      <c r="I10" s="2081"/>
      <c r="J10" s="2082"/>
      <c r="K10" s="1572"/>
      <c r="L10" s="2088"/>
      <c r="M10" s="2089"/>
      <c r="N10" s="2089"/>
      <c r="O10" s="2089"/>
      <c r="P10" s="2089"/>
      <c r="Q10" s="2090"/>
      <c r="R10" s="2092"/>
      <c r="S10" s="2095"/>
      <c r="T10" s="2097"/>
      <c r="U10" s="2100"/>
      <c r="V10" s="1574"/>
      <c r="W10" s="1575"/>
      <c r="X10" s="2075"/>
      <c r="Y10" s="1576"/>
      <c r="Z10" s="2077"/>
      <c r="AA10" s="2078"/>
      <c r="AB10" s="1576"/>
      <c r="AC10" s="1576"/>
      <c r="AD10" s="1576"/>
      <c r="AE10" s="1577"/>
    </row>
    <row r="11" spans="2:31" s="1578" customFormat="1" ht="31.5" customHeight="1">
      <c r="B11" s="2106"/>
      <c r="C11" s="2108"/>
      <c r="D11" s="2108"/>
      <c r="E11" s="2113"/>
      <c r="F11" s="2114"/>
      <c r="G11" s="2115"/>
      <c r="H11" s="2120"/>
      <c r="I11" s="2083"/>
      <c r="J11" s="2084"/>
      <c r="K11" s="1579"/>
      <c r="L11" s="2068" t="s">
        <v>806</v>
      </c>
      <c r="M11" s="2069"/>
      <c r="N11" s="2070" t="s">
        <v>753</v>
      </c>
      <c r="O11" s="2071"/>
      <c r="P11" s="2072" t="s">
        <v>4629</v>
      </c>
      <c r="Q11" s="2073"/>
      <c r="R11" s="2092"/>
      <c r="S11" s="2095"/>
      <c r="T11" s="2097"/>
      <c r="U11" s="2100"/>
      <c r="V11" s="1574"/>
      <c r="W11" s="1575"/>
      <c r="X11" s="2075"/>
      <c r="Y11" s="1576"/>
      <c r="Z11" s="2077"/>
      <c r="AA11" s="2078"/>
      <c r="AB11" s="1576"/>
      <c r="AC11" s="1576"/>
      <c r="AD11" s="1576"/>
      <c r="AE11" s="1577"/>
    </row>
    <row r="12" spans="2:31" ht="28.5" customHeight="1">
      <c r="B12" s="2107"/>
      <c r="C12" s="2109"/>
      <c r="D12" s="2109"/>
      <c r="E12" s="2116"/>
      <c r="F12" s="2117"/>
      <c r="G12" s="2118"/>
      <c r="H12" s="2121"/>
      <c r="I12" s="1580" t="s">
        <v>803</v>
      </c>
      <c r="J12" s="1581" t="s">
        <v>12</v>
      </c>
      <c r="K12" s="1582"/>
      <c r="L12" s="1583" t="s">
        <v>803</v>
      </c>
      <c r="M12" s="1776" t="s">
        <v>12</v>
      </c>
      <c r="N12" s="1580" t="s">
        <v>803</v>
      </c>
      <c r="O12" s="1584" t="s">
        <v>12</v>
      </c>
      <c r="P12" s="1580" t="s">
        <v>803</v>
      </c>
      <c r="Q12" s="1584" t="s">
        <v>12</v>
      </c>
      <c r="R12" s="2093"/>
      <c r="S12" s="2096"/>
      <c r="T12" s="2098"/>
      <c r="U12" s="2101"/>
      <c r="V12" s="1585" t="s">
        <v>1191</v>
      </c>
      <c r="W12" s="1586" t="s">
        <v>1190</v>
      </c>
      <c r="X12" s="2075"/>
      <c r="Y12" s="1556"/>
      <c r="Z12" s="2077"/>
      <c r="AA12" s="2078"/>
      <c r="AB12" s="1556"/>
      <c r="AC12" s="1556"/>
      <c r="AD12" s="1556"/>
      <c r="AE12" s="1587" t="s">
        <v>975</v>
      </c>
    </row>
    <row r="13" spans="2:31" ht="24" customHeight="1" thickBot="1">
      <c r="B13" s="1588"/>
      <c r="C13" s="1589"/>
      <c r="D13" s="1590" t="s">
        <v>273</v>
      </c>
      <c r="E13" s="1591">
        <f>SUM(E14:E89)</f>
        <v>2386250503.8799996</v>
      </c>
      <c r="F13" s="1591">
        <f>SUM(F14:F89)</f>
        <v>0</v>
      </c>
      <c r="G13" s="1591">
        <f>SUM(G14:G89)</f>
        <v>2386250503.8799996</v>
      </c>
      <c r="H13" s="1591">
        <f>SUM(H14:H89)</f>
        <v>1440286254.7299998</v>
      </c>
      <c r="I13" s="1591">
        <v>2317116044.3500004</v>
      </c>
      <c r="J13" s="1592">
        <v>76.332769474861749</v>
      </c>
      <c r="K13" s="1593"/>
      <c r="L13" s="1591">
        <f>SUM(L14:L89)</f>
        <v>1274035000.4099998</v>
      </c>
      <c r="M13" s="1594">
        <f>+L13*100/H13</f>
        <v>88.457068601882483</v>
      </c>
      <c r="N13" s="1591">
        <f>SUM(N14:N89)</f>
        <v>94532214.569999993</v>
      </c>
      <c r="O13" s="1663">
        <f t="shared" ref="O13:O76" si="0">N13/H13*100</f>
        <v>6.5634323912728911</v>
      </c>
      <c r="P13" s="1591">
        <f>L13+N13</f>
        <v>1368567214.9799998</v>
      </c>
      <c r="Q13" s="1663">
        <f>P13*100/H13</f>
        <v>95.02050099315538</v>
      </c>
      <c r="R13" s="1591">
        <f>SUM(R14:R89)</f>
        <v>0</v>
      </c>
      <c r="S13" s="1591">
        <f>H13-P13-R13</f>
        <v>71719039.75</v>
      </c>
      <c r="T13" s="1595">
        <f>2.35</f>
        <v>2.35</v>
      </c>
      <c r="U13" s="1596">
        <f>SUM(U14:U89)</f>
        <v>14657781.530000001</v>
      </c>
      <c r="V13" s="1597">
        <f>SUM(V14:V89)</f>
        <v>1427396380.7800004</v>
      </c>
      <c r="W13" s="1587">
        <f>SUM(W14:W89)</f>
        <v>12889873.950000003</v>
      </c>
      <c r="X13" s="2076"/>
      <c r="Y13" s="1598" t="s">
        <v>871</v>
      </c>
      <c r="Z13" s="2077"/>
      <c r="AA13" s="2078"/>
      <c r="AB13" s="1556"/>
      <c r="AC13" s="1556"/>
      <c r="AD13" s="1556"/>
      <c r="AE13" s="1587">
        <f>SUM(AE14:AE89)</f>
        <v>0</v>
      </c>
    </row>
    <row r="14" spans="2:31" ht="26.1" customHeight="1" thickTop="1">
      <c r="B14" s="1664">
        <v>1</v>
      </c>
      <c r="C14" s="1665">
        <v>1500400094</v>
      </c>
      <c r="D14" s="1666" t="s">
        <v>378</v>
      </c>
      <c r="E14" s="2582">
        <v>23377857.77</v>
      </c>
      <c r="F14" s="2582">
        <v>0</v>
      </c>
      <c r="G14" s="2582">
        <v>23377857.77</v>
      </c>
      <c r="H14" s="2582">
        <f>[8]จังหวัด!G84</f>
        <v>15492178.789999999</v>
      </c>
      <c r="I14" s="2582">
        <v>21785336.800000001</v>
      </c>
      <c r="J14" s="1671">
        <v>68.149670838018139</v>
      </c>
      <c r="K14" s="2583">
        <v>6.5583799999999997</v>
      </c>
      <c r="L14" s="2582">
        <f>[8]จังหวัด!H84</f>
        <v>13900739.789999999</v>
      </c>
      <c r="M14" s="2584">
        <f t="shared" ref="M14:M77" si="1">L14/H14*100</f>
        <v>89.72746815298018</v>
      </c>
      <c r="N14" s="2582">
        <f>[8]จังหวัด!J84</f>
        <v>1582100</v>
      </c>
      <c r="O14" s="2585">
        <f t="shared" si="0"/>
        <v>10.212249816153845</v>
      </c>
      <c r="P14" s="2582">
        <f t="shared" ref="P14:P77" si="2">N14+L14</f>
        <v>15482839.789999999</v>
      </c>
      <c r="Q14" s="1671">
        <f t="shared" ref="Q14:Q77" si="3">P14/H14*100</f>
        <v>99.939717969134023</v>
      </c>
      <c r="R14" s="2586"/>
      <c r="S14" s="2586">
        <f t="shared" ref="S14:S77" si="4">H14-P14</f>
        <v>9339</v>
      </c>
      <c r="T14" s="2587">
        <f t="shared" ref="T14:T77" si="5">+Q14-J14</f>
        <v>31.790047131115884</v>
      </c>
      <c r="U14" s="1600">
        <v>1254337.74</v>
      </c>
      <c r="V14" s="1620">
        <v>20167827</v>
      </c>
      <c r="W14" s="1602">
        <f t="shared" ref="W14:W77" si="6">H14-V14</f>
        <v>-4675648.2100000009</v>
      </c>
      <c r="X14" s="1603" t="s">
        <v>895</v>
      </c>
      <c r="Y14" s="1604" t="s">
        <v>983</v>
      </c>
      <c r="Z14" s="1602" t="s">
        <v>1090</v>
      </c>
      <c r="AA14" s="1602" t="s">
        <v>1091</v>
      </c>
      <c r="AB14" s="1605"/>
      <c r="AC14" s="1605"/>
      <c r="AD14" s="1605"/>
      <c r="AE14" s="1606"/>
    </row>
    <row r="15" spans="2:31" ht="26.1" customHeight="1">
      <c r="B15" s="1607">
        <v>2</v>
      </c>
      <c r="C15" s="1608">
        <v>1500400042</v>
      </c>
      <c r="D15" s="1609" t="s">
        <v>549</v>
      </c>
      <c r="E15" s="847">
        <v>71189563.730000004</v>
      </c>
      <c r="F15" s="847">
        <v>0</v>
      </c>
      <c r="G15" s="847">
        <v>71189563.730000004</v>
      </c>
      <c r="H15" s="847">
        <f>[8]จังหวัด!G32</f>
        <v>34064751.310000002</v>
      </c>
      <c r="I15" s="847">
        <v>71381605.480000004</v>
      </c>
      <c r="J15" s="1610">
        <v>68.545363794684178</v>
      </c>
      <c r="K15" s="1611">
        <v>18.12894</v>
      </c>
      <c r="L15" s="847">
        <f>[8]จังหวัด!H32</f>
        <v>32483203.969999999</v>
      </c>
      <c r="M15" s="1777">
        <f t="shared" si="1"/>
        <v>95.357232097168648</v>
      </c>
      <c r="N15" s="847">
        <f>[8]จังหวัด!J32</f>
        <v>1314955</v>
      </c>
      <c r="O15" s="1760">
        <f t="shared" si="0"/>
        <v>3.8601632169085693</v>
      </c>
      <c r="P15" s="847">
        <f t="shared" si="2"/>
        <v>33798158.969999999</v>
      </c>
      <c r="Q15" s="1610">
        <f t="shared" si="3"/>
        <v>99.217395314077223</v>
      </c>
      <c r="R15" s="1599"/>
      <c r="S15" s="1599">
        <f t="shared" si="4"/>
        <v>266592.34000000358</v>
      </c>
      <c r="T15" s="2588">
        <f t="shared" si="5"/>
        <v>30.672031519393045</v>
      </c>
      <c r="U15" s="1612">
        <v>9205.16</v>
      </c>
      <c r="V15" s="1620">
        <v>66453622.18</v>
      </c>
      <c r="W15" s="1613">
        <f t="shared" si="6"/>
        <v>-32388870.869999997</v>
      </c>
      <c r="X15" s="1614" t="s">
        <v>895</v>
      </c>
      <c r="Y15" s="1615" t="s">
        <v>983</v>
      </c>
      <c r="Z15" s="1613" t="s">
        <v>1102</v>
      </c>
      <c r="AA15" s="1613" t="s">
        <v>1103</v>
      </c>
      <c r="AB15" s="1616"/>
      <c r="AC15" s="1616"/>
      <c r="AD15" s="1616"/>
      <c r="AE15" s="1613"/>
    </row>
    <row r="16" spans="2:31" ht="26.1" customHeight="1">
      <c r="B16" s="1607">
        <v>3</v>
      </c>
      <c r="C16" s="1608">
        <v>1500400097</v>
      </c>
      <c r="D16" s="1609" t="s">
        <v>584</v>
      </c>
      <c r="E16" s="847">
        <v>20929856.609999999</v>
      </c>
      <c r="F16" s="847">
        <v>0</v>
      </c>
      <c r="G16" s="847">
        <v>20929856.609999999</v>
      </c>
      <c r="H16" s="847">
        <f>[8]จังหวัด!G87</f>
        <v>15899376.82</v>
      </c>
      <c r="I16" s="847">
        <v>19238229.23</v>
      </c>
      <c r="J16" s="1610">
        <v>71.324813778405911</v>
      </c>
      <c r="K16" s="1611">
        <v>5.0442400000000003</v>
      </c>
      <c r="L16" s="847">
        <f>[8]จังหวัด!H87</f>
        <v>14162550.85</v>
      </c>
      <c r="M16" s="1777">
        <f t="shared" si="1"/>
        <v>89.076138079731351</v>
      </c>
      <c r="N16" s="847">
        <f>[8]จังหวัด!J87</f>
        <v>1519690</v>
      </c>
      <c r="O16" s="1760">
        <f t="shared" si="0"/>
        <v>9.5581733624198737</v>
      </c>
      <c r="P16" s="847">
        <f t="shared" si="2"/>
        <v>15682240.85</v>
      </c>
      <c r="Q16" s="1610">
        <f t="shared" si="3"/>
        <v>98.63431144215123</v>
      </c>
      <c r="R16" s="1599"/>
      <c r="S16" s="1599">
        <f t="shared" si="4"/>
        <v>217135.97000000067</v>
      </c>
      <c r="T16" s="2588">
        <f t="shared" si="5"/>
        <v>27.309497663745319</v>
      </c>
      <c r="U16" s="1612">
        <v>1435383.86</v>
      </c>
      <c r="V16" s="1601">
        <v>11725362.460000001</v>
      </c>
      <c r="W16" s="1613">
        <f t="shared" si="6"/>
        <v>4174014.3599999994</v>
      </c>
      <c r="X16" s="1614" t="s">
        <v>894</v>
      </c>
      <c r="Y16" s="1615" t="s">
        <v>983</v>
      </c>
      <c r="Z16" s="1613" t="s">
        <v>1023</v>
      </c>
      <c r="AA16" s="1619" t="s">
        <v>1024</v>
      </c>
      <c r="AB16" s="1617"/>
      <c r="AC16" s="1616"/>
      <c r="AD16" s="1616"/>
      <c r="AE16" s="1613"/>
    </row>
    <row r="17" spans="2:31" ht="26.1" customHeight="1">
      <c r="B17" s="1607">
        <v>4</v>
      </c>
      <c r="C17" s="1608">
        <v>1500400028</v>
      </c>
      <c r="D17" s="1609" t="s">
        <v>541</v>
      </c>
      <c r="E17" s="847">
        <v>18673168.129999999</v>
      </c>
      <c r="F17" s="847">
        <v>0</v>
      </c>
      <c r="G17" s="847">
        <v>18673168.129999999</v>
      </c>
      <c r="H17" s="847">
        <f>[8]จังหวัด!G18</f>
        <v>13187800.640000001</v>
      </c>
      <c r="I17" s="847">
        <v>17320951.84</v>
      </c>
      <c r="J17" s="1610">
        <v>77.89623491542423</v>
      </c>
      <c r="K17" s="1611">
        <v>6.0281799999999999</v>
      </c>
      <c r="L17" s="847">
        <f>[8]จังหวัด!H18</f>
        <v>11096699.09</v>
      </c>
      <c r="M17" s="1777">
        <f t="shared" si="1"/>
        <v>84.143667264293725</v>
      </c>
      <c r="N17" s="847">
        <f>[8]จังหวัด!J18</f>
        <v>1860500</v>
      </c>
      <c r="O17" s="1760">
        <f t="shared" si="0"/>
        <v>14.107735253116473</v>
      </c>
      <c r="P17" s="847">
        <f t="shared" si="2"/>
        <v>12957199.09</v>
      </c>
      <c r="Q17" s="1610">
        <f t="shared" si="3"/>
        <v>98.251402517410199</v>
      </c>
      <c r="R17" s="1599"/>
      <c r="S17" s="1599">
        <f t="shared" si="4"/>
        <v>230601.55000000075</v>
      </c>
      <c r="T17" s="2588">
        <f t="shared" si="5"/>
        <v>20.355167601985968</v>
      </c>
      <c r="U17" s="1612">
        <v>1760</v>
      </c>
      <c r="V17" s="1601">
        <v>19965011.66</v>
      </c>
      <c r="W17" s="1613">
        <f t="shared" si="6"/>
        <v>-6777211.0199999996</v>
      </c>
      <c r="X17" s="1614" t="s">
        <v>895</v>
      </c>
      <c r="Y17" s="1615" t="s">
        <v>983</v>
      </c>
      <c r="Z17" s="1613" t="s">
        <v>1038</v>
      </c>
      <c r="AA17" s="1613" t="s">
        <v>1039</v>
      </c>
      <c r="AB17" s="1616"/>
      <c r="AC17" s="1617">
        <v>1840000</v>
      </c>
      <c r="AD17" s="1616"/>
      <c r="AE17" s="1613"/>
    </row>
    <row r="18" spans="2:31" ht="26.1" customHeight="1">
      <c r="B18" s="1607">
        <v>5</v>
      </c>
      <c r="C18" s="1608">
        <v>1500400059</v>
      </c>
      <c r="D18" s="1609" t="s">
        <v>561</v>
      </c>
      <c r="E18" s="847">
        <v>18951852.629999999</v>
      </c>
      <c r="F18" s="847">
        <v>0</v>
      </c>
      <c r="G18" s="847">
        <v>18951852.629999999</v>
      </c>
      <c r="H18" s="847">
        <f>[8]จังหวัด!G49</f>
        <v>11761027.449999999</v>
      </c>
      <c r="I18" s="847">
        <v>21415949.25</v>
      </c>
      <c r="J18" s="1610">
        <v>62.432418317597744</v>
      </c>
      <c r="K18" s="1611">
        <v>5.4161999999999999</v>
      </c>
      <c r="L18" s="847">
        <f>[8]จังหวัด!H49</f>
        <v>10280308.789999999</v>
      </c>
      <c r="M18" s="1777">
        <f t="shared" si="1"/>
        <v>87.409954901516713</v>
      </c>
      <c r="N18" s="847">
        <f>[8]จังหวัด!J49</f>
        <v>1274000</v>
      </c>
      <c r="O18" s="1760">
        <f t="shared" si="0"/>
        <v>10.832386927215277</v>
      </c>
      <c r="P18" s="847">
        <f t="shared" si="2"/>
        <v>11554308.789999999</v>
      </c>
      <c r="Q18" s="1610">
        <f t="shared" si="3"/>
        <v>98.242341828731981</v>
      </c>
      <c r="R18" s="1599"/>
      <c r="S18" s="1599">
        <f t="shared" si="4"/>
        <v>206718.66000000015</v>
      </c>
      <c r="T18" s="2588">
        <f t="shared" si="5"/>
        <v>35.809923511134237</v>
      </c>
      <c r="U18" s="1612">
        <v>127424</v>
      </c>
      <c r="V18" s="1601">
        <v>11491601.68</v>
      </c>
      <c r="W18" s="1613">
        <f t="shared" si="6"/>
        <v>269425.76999999955</v>
      </c>
      <c r="X18" s="1614" t="s">
        <v>872</v>
      </c>
      <c r="Y18" s="1615" t="s">
        <v>873</v>
      </c>
      <c r="Z18" s="1613" t="s">
        <v>1017</v>
      </c>
      <c r="AA18" s="1613" t="s">
        <v>1018</v>
      </c>
      <c r="AB18" s="1616"/>
      <c r="AC18" s="1616"/>
      <c r="AD18" s="1616"/>
      <c r="AE18" s="1613"/>
    </row>
    <row r="19" spans="2:31" ht="26.1" customHeight="1">
      <c r="B19" s="1607">
        <v>6</v>
      </c>
      <c r="C19" s="1608">
        <v>1500400124</v>
      </c>
      <c r="D19" s="1609" t="s">
        <v>586</v>
      </c>
      <c r="E19" s="847">
        <v>23526180.5</v>
      </c>
      <c r="F19" s="847">
        <v>0</v>
      </c>
      <c r="G19" s="847">
        <v>23526180.5</v>
      </c>
      <c r="H19" s="847">
        <f>[8]จังหวัด!G89</f>
        <v>19126134.870000001</v>
      </c>
      <c r="I19" s="847">
        <v>26847946.059999999</v>
      </c>
      <c r="J19" s="1610">
        <v>83.761907327130217</v>
      </c>
      <c r="K19" s="1611">
        <v>7.0218999999999996</v>
      </c>
      <c r="L19" s="847">
        <f>[8]จังหวัด!H89</f>
        <v>14922438.369999999</v>
      </c>
      <c r="M19" s="1777">
        <f t="shared" si="1"/>
        <v>78.021191795559048</v>
      </c>
      <c r="N19" s="847">
        <f>[8]จังหวัด!J89</f>
        <v>3750700</v>
      </c>
      <c r="O19" s="1760">
        <f t="shared" si="0"/>
        <v>19.610339598112432</v>
      </c>
      <c r="P19" s="847">
        <f t="shared" si="2"/>
        <v>18673138.369999997</v>
      </c>
      <c r="Q19" s="1610">
        <f t="shared" si="3"/>
        <v>97.631531393671466</v>
      </c>
      <c r="R19" s="1599"/>
      <c r="S19" s="1599">
        <f t="shared" si="4"/>
        <v>452996.50000000373</v>
      </c>
      <c r="T19" s="2588">
        <f t="shared" si="5"/>
        <v>13.869624066541249</v>
      </c>
      <c r="U19" s="1612">
        <v>320850</v>
      </c>
      <c r="V19" s="1620">
        <v>16621400</v>
      </c>
      <c r="W19" s="1613">
        <f t="shared" si="6"/>
        <v>2504734.870000001</v>
      </c>
      <c r="X19" s="1614" t="s">
        <v>882</v>
      </c>
      <c r="Y19" s="1615" t="s">
        <v>885</v>
      </c>
      <c r="Z19" s="1613" t="s">
        <v>1054</v>
      </c>
      <c r="AA19" s="1619" t="s">
        <v>1055</v>
      </c>
      <c r="AB19" s="1616"/>
      <c r="AC19" s="1616"/>
      <c r="AD19" s="1616"/>
      <c r="AE19" s="1613"/>
    </row>
    <row r="20" spans="2:31" ht="26.1" customHeight="1">
      <c r="B20" s="1607">
        <v>7</v>
      </c>
      <c r="C20" s="1608">
        <v>1500400045</v>
      </c>
      <c r="D20" s="1609" t="s">
        <v>789</v>
      </c>
      <c r="E20" s="847">
        <v>74666340.849999994</v>
      </c>
      <c r="F20" s="847">
        <v>0</v>
      </c>
      <c r="G20" s="847">
        <v>74666340.849999994</v>
      </c>
      <c r="H20" s="847">
        <f>[8]จังหวัด!G35</f>
        <v>37237958.600000001</v>
      </c>
      <c r="I20" s="847">
        <v>82524961.510000005</v>
      </c>
      <c r="J20" s="1610">
        <v>82.535767488851334</v>
      </c>
      <c r="K20" s="1611">
        <v>19.431480000000001</v>
      </c>
      <c r="L20" s="847">
        <f>[8]จังหวัด!H35</f>
        <v>35978895.039999999</v>
      </c>
      <c r="M20" s="1777">
        <f t="shared" si="1"/>
        <v>96.61887061660785</v>
      </c>
      <c r="N20" s="847">
        <f>[8]จังหวัด!J35</f>
        <v>359953.38</v>
      </c>
      <c r="O20" s="1760">
        <f t="shared" si="0"/>
        <v>0.96663027065076546</v>
      </c>
      <c r="P20" s="847">
        <f t="shared" si="2"/>
        <v>36338848.420000002</v>
      </c>
      <c r="Q20" s="1610">
        <f t="shared" si="3"/>
        <v>97.585500887258618</v>
      </c>
      <c r="R20" s="1599"/>
      <c r="S20" s="1599">
        <f t="shared" si="4"/>
        <v>899110.1799999997</v>
      </c>
      <c r="T20" s="2588">
        <f t="shared" si="5"/>
        <v>15.049733398407284</v>
      </c>
      <c r="U20" s="1612"/>
      <c r="V20" s="1620">
        <v>6735064</v>
      </c>
      <c r="W20" s="1613">
        <f t="shared" si="6"/>
        <v>30502894.600000001</v>
      </c>
      <c r="X20" s="1614" t="s">
        <v>893</v>
      </c>
      <c r="Y20" s="1615" t="s">
        <v>888</v>
      </c>
      <c r="Z20" s="1613" t="s">
        <v>1000</v>
      </c>
      <c r="AA20" s="1613" t="s">
        <v>1001</v>
      </c>
      <c r="AB20" s="1616"/>
      <c r="AC20" s="1616"/>
      <c r="AD20" s="1616"/>
      <c r="AE20" s="1613"/>
    </row>
    <row r="21" spans="2:31" ht="26.1" customHeight="1">
      <c r="B21" s="1607">
        <v>8</v>
      </c>
      <c r="C21" s="1608">
        <v>1500400090</v>
      </c>
      <c r="D21" s="1609" t="s">
        <v>579</v>
      </c>
      <c r="E21" s="847">
        <v>10985470.800000001</v>
      </c>
      <c r="F21" s="847">
        <v>0</v>
      </c>
      <c r="G21" s="847">
        <v>10985470.800000001</v>
      </c>
      <c r="H21" s="847">
        <f>[8]จังหวัด!G80</f>
        <v>9230532.6799999997</v>
      </c>
      <c r="I21" s="847">
        <v>10413277.130000001</v>
      </c>
      <c r="J21" s="1610">
        <v>77.672036864696238</v>
      </c>
      <c r="K21" s="1611">
        <v>3.5240800000000001</v>
      </c>
      <c r="L21" s="847">
        <f>[8]จังหวัด!H80</f>
        <v>7419647.6799999997</v>
      </c>
      <c r="M21" s="1777">
        <f t="shared" si="1"/>
        <v>80.381576418404492</v>
      </c>
      <c r="N21" s="847">
        <f>[8]จังหวัด!J80</f>
        <v>1578700</v>
      </c>
      <c r="O21" s="1760">
        <f t="shared" si="0"/>
        <v>17.103021621066404</v>
      </c>
      <c r="P21" s="847">
        <f t="shared" si="2"/>
        <v>8998347.6799999997</v>
      </c>
      <c r="Q21" s="1610">
        <f t="shared" si="3"/>
        <v>97.484598039470896</v>
      </c>
      <c r="R21" s="1599"/>
      <c r="S21" s="1599">
        <f t="shared" si="4"/>
        <v>232185</v>
      </c>
      <c r="T21" s="2588">
        <f t="shared" si="5"/>
        <v>19.812561174774658</v>
      </c>
      <c r="U21" s="1612">
        <v>1473777.42</v>
      </c>
      <c r="V21" s="1601">
        <v>6383387.1699999999</v>
      </c>
      <c r="W21" s="1613">
        <f t="shared" si="6"/>
        <v>2847145.51</v>
      </c>
      <c r="X21" s="1614" t="s">
        <v>895</v>
      </c>
      <c r="Y21" s="1615" t="s">
        <v>983</v>
      </c>
      <c r="Z21" s="1613" t="s">
        <v>1029</v>
      </c>
      <c r="AA21" s="1613" t="s">
        <v>1030</v>
      </c>
      <c r="AB21" s="1616"/>
      <c r="AC21" s="1616"/>
      <c r="AD21" s="1616"/>
      <c r="AE21" s="1613"/>
    </row>
    <row r="22" spans="2:31" ht="26.1" customHeight="1">
      <c r="B22" s="1607">
        <v>9</v>
      </c>
      <c r="C22" s="1608">
        <v>1500400052</v>
      </c>
      <c r="D22" s="1609" t="s">
        <v>555</v>
      </c>
      <c r="E22" s="847">
        <v>31279960.850000001</v>
      </c>
      <c r="F22" s="847">
        <v>0</v>
      </c>
      <c r="G22" s="847">
        <v>31279960.850000001</v>
      </c>
      <c r="H22" s="847">
        <f>[8]จังหวัด!G42</f>
        <v>23279209.91</v>
      </c>
      <c r="I22" s="847">
        <v>39179169.289999999</v>
      </c>
      <c r="J22" s="1610">
        <v>81.063943830983675</v>
      </c>
      <c r="K22" s="1611">
        <v>11.638960000000001</v>
      </c>
      <c r="L22" s="847">
        <f>[8]จังหวัด!H42</f>
        <v>22121302.93</v>
      </c>
      <c r="M22" s="1777">
        <f t="shared" si="1"/>
        <v>95.026003955990788</v>
      </c>
      <c r="N22" s="847">
        <f>[8]จังหวัด!J42</f>
        <v>549033.85</v>
      </c>
      <c r="O22" s="1760">
        <f t="shared" si="0"/>
        <v>2.3584728696662194</v>
      </c>
      <c r="P22" s="847">
        <f t="shared" si="2"/>
        <v>22670336.780000001</v>
      </c>
      <c r="Q22" s="1610">
        <f t="shared" si="3"/>
        <v>97.384476825657018</v>
      </c>
      <c r="R22" s="1599"/>
      <c r="S22" s="1599">
        <f t="shared" si="4"/>
        <v>608873.12999999896</v>
      </c>
      <c r="T22" s="2588">
        <f t="shared" si="5"/>
        <v>16.320532994673343</v>
      </c>
      <c r="U22" s="1612">
        <v>41426</v>
      </c>
      <c r="V22" s="1601">
        <v>26615070</v>
      </c>
      <c r="W22" s="1613">
        <f t="shared" si="6"/>
        <v>-3335860.09</v>
      </c>
      <c r="X22" s="1614" t="s">
        <v>886</v>
      </c>
      <c r="Y22" s="1615" t="s">
        <v>875</v>
      </c>
      <c r="Z22" s="1613" t="s">
        <v>1106</v>
      </c>
      <c r="AA22" s="1613" t="s">
        <v>1107</v>
      </c>
      <c r="AB22" s="1616"/>
      <c r="AC22" s="1616"/>
      <c r="AD22" s="1616"/>
      <c r="AE22" s="1613"/>
    </row>
    <row r="23" spans="2:31" ht="26.1" customHeight="1">
      <c r="B23" s="1607">
        <v>10</v>
      </c>
      <c r="C23" s="1608">
        <v>1500400064</v>
      </c>
      <c r="D23" s="1609" t="s">
        <v>795</v>
      </c>
      <c r="E23" s="847">
        <v>24761570.52</v>
      </c>
      <c r="F23" s="847">
        <v>0</v>
      </c>
      <c r="G23" s="847">
        <v>24761570.52</v>
      </c>
      <c r="H23" s="847">
        <f>[8]จังหวัด!G54</f>
        <v>12831953.130000001</v>
      </c>
      <c r="I23" s="847">
        <v>22337216.18</v>
      </c>
      <c r="J23" s="1610">
        <v>86.281161658278222</v>
      </c>
      <c r="K23" s="1611">
        <v>7.1984599999999999</v>
      </c>
      <c r="L23" s="847">
        <f>[8]จังหวัด!H54</f>
        <v>11967962.83</v>
      </c>
      <c r="M23" s="1777">
        <f t="shared" si="1"/>
        <v>93.266883916680882</v>
      </c>
      <c r="N23" s="847">
        <f>[8]จังหวัด!J54</f>
        <v>520500</v>
      </c>
      <c r="O23" s="1760">
        <f t="shared" si="0"/>
        <v>4.0562804019531198</v>
      </c>
      <c r="P23" s="847">
        <f t="shared" si="2"/>
        <v>12488462.83</v>
      </c>
      <c r="Q23" s="1610">
        <f t="shared" si="3"/>
        <v>97.323164318633999</v>
      </c>
      <c r="R23" s="1599"/>
      <c r="S23" s="1599">
        <f t="shared" si="4"/>
        <v>343490.30000000075</v>
      </c>
      <c r="T23" s="2588">
        <f t="shared" si="5"/>
        <v>11.042002660355777</v>
      </c>
      <c r="U23" s="1612">
        <v>187617.27</v>
      </c>
      <c r="V23" s="1620">
        <v>15738978.560000001</v>
      </c>
      <c r="W23" s="1613">
        <f t="shared" si="6"/>
        <v>-2907025.4299999997</v>
      </c>
      <c r="X23" s="1614" t="s">
        <v>884</v>
      </c>
      <c r="Y23" s="1615" t="s">
        <v>986</v>
      </c>
      <c r="Z23" s="1613" t="s">
        <v>1006</v>
      </c>
      <c r="AA23" s="1613" t="s">
        <v>1007</v>
      </c>
      <c r="AB23" s="1616"/>
      <c r="AC23" s="1616"/>
      <c r="AD23" s="1616"/>
      <c r="AE23" s="1613"/>
    </row>
    <row r="24" spans="2:31" ht="25.5" customHeight="1">
      <c r="B24" s="1607">
        <v>11</v>
      </c>
      <c r="C24" s="1608">
        <v>1500400062</v>
      </c>
      <c r="D24" s="1609" t="s">
        <v>358</v>
      </c>
      <c r="E24" s="847">
        <v>32893963.460000001</v>
      </c>
      <c r="F24" s="847">
        <v>0</v>
      </c>
      <c r="G24" s="847">
        <v>32893963.460000001</v>
      </c>
      <c r="H24" s="847">
        <f>[8]จังหวัด!G52</f>
        <v>18480353.82</v>
      </c>
      <c r="I24" s="847">
        <v>27286633.190000001</v>
      </c>
      <c r="J24" s="1610">
        <v>73.757624716198478</v>
      </c>
      <c r="K24" s="1611">
        <v>10.833259999999999</v>
      </c>
      <c r="L24" s="847">
        <f>[8]จังหวัด!H52</f>
        <v>17430101.190000001</v>
      </c>
      <c r="M24" s="1777">
        <f t="shared" si="1"/>
        <v>94.316923581498841</v>
      </c>
      <c r="N24" s="847">
        <f>[8]จังหวัด!J52</f>
        <v>544654.31000000006</v>
      </c>
      <c r="O24" s="1760">
        <f t="shared" si="0"/>
        <v>2.9472071547166951</v>
      </c>
      <c r="P24" s="847">
        <f t="shared" si="2"/>
        <v>17974755.5</v>
      </c>
      <c r="Q24" s="1610">
        <f t="shared" si="3"/>
        <v>97.26413073621552</v>
      </c>
      <c r="R24" s="1599"/>
      <c r="S24" s="1599">
        <f t="shared" si="4"/>
        <v>505598.3200000003</v>
      </c>
      <c r="T24" s="2588">
        <f t="shared" si="5"/>
        <v>23.506506020017042</v>
      </c>
      <c r="U24" s="1612"/>
      <c r="V24" s="1601">
        <v>15254078.42</v>
      </c>
      <c r="W24" s="1613">
        <f t="shared" si="6"/>
        <v>3226275.4000000004</v>
      </c>
      <c r="X24" s="1614" t="s">
        <v>880</v>
      </c>
      <c r="Y24" s="1615" t="s">
        <v>1010</v>
      </c>
      <c r="Z24" s="1613" t="s">
        <v>1096</v>
      </c>
      <c r="AA24" s="1613" t="s">
        <v>1097</v>
      </c>
      <c r="AB24" s="1616"/>
      <c r="AC24" s="1616"/>
      <c r="AD24" s="1616"/>
      <c r="AE24" s="1613"/>
    </row>
    <row r="25" spans="2:31" ht="26.1" customHeight="1">
      <c r="B25" s="1607">
        <v>12</v>
      </c>
      <c r="C25" s="1608">
        <v>1500400093</v>
      </c>
      <c r="D25" s="1609" t="s">
        <v>582</v>
      </c>
      <c r="E25" s="847">
        <v>14770139.93</v>
      </c>
      <c r="F25" s="847">
        <v>0</v>
      </c>
      <c r="G25" s="847">
        <v>14770139.93</v>
      </c>
      <c r="H25" s="847">
        <f>[8]จังหวัด!G83</f>
        <v>11748337.07</v>
      </c>
      <c r="I25" s="847">
        <v>15262787.109999999</v>
      </c>
      <c r="J25" s="1610">
        <v>74.38558332565961</v>
      </c>
      <c r="K25" s="1611">
        <v>4.9107799999999999</v>
      </c>
      <c r="L25" s="847">
        <f>[8]จังหวัด!H83</f>
        <v>9705758.4800000004</v>
      </c>
      <c r="M25" s="1777">
        <f t="shared" si="1"/>
        <v>82.613891839928286</v>
      </c>
      <c r="N25" s="847">
        <f>[8]จังหวัด!J83</f>
        <v>1720820</v>
      </c>
      <c r="O25" s="1760">
        <f t="shared" si="0"/>
        <v>14.64734957591747</v>
      </c>
      <c r="P25" s="847">
        <f t="shared" si="2"/>
        <v>11426578.48</v>
      </c>
      <c r="Q25" s="1610">
        <f t="shared" si="3"/>
        <v>97.26124141584576</v>
      </c>
      <c r="R25" s="1599"/>
      <c r="S25" s="1599">
        <f t="shared" si="4"/>
        <v>321758.58999999985</v>
      </c>
      <c r="T25" s="2588">
        <f t="shared" si="5"/>
        <v>22.87565809018615</v>
      </c>
      <c r="U25" s="1612">
        <v>1200000</v>
      </c>
      <c r="V25" s="1620">
        <v>10989068.66</v>
      </c>
      <c r="W25" s="1613">
        <f t="shared" si="6"/>
        <v>759268.41000000015</v>
      </c>
      <c r="X25" s="1614" t="s">
        <v>894</v>
      </c>
      <c r="Y25" s="1615" t="s">
        <v>983</v>
      </c>
      <c r="Z25" s="1613" t="s">
        <v>1076</v>
      </c>
      <c r="AA25" s="1613" t="s">
        <v>1077</v>
      </c>
      <c r="AB25" s="1616"/>
      <c r="AC25" s="1616"/>
      <c r="AD25" s="1616"/>
      <c r="AE25" s="1613"/>
    </row>
    <row r="26" spans="2:31" ht="25.5" customHeight="1">
      <c r="B26" s="1607">
        <v>13</v>
      </c>
      <c r="C26" s="1608">
        <v>1500400031</v>
      </c>
      <c r="D26" s="1609" t="s">
        <v>542</v>
      </c>
      <c r="E26" s="847">
        <v>16922231.079999998</v>
      </c>
      <c r="F26" s="847">
        <v>0</v>
      </c>
      <c r="G26" s="847">
        <v>16922231.079999998</v>
      </c>
      <c r="H26" s="847">
        <f>[8]จังหวัด!G21</f>
        <v>11743974.689999999</v>
      </c>
      <c r="I26" s="847">
        <v>15475919.91</v>
      </c>
      <c r="J26" s="1610">
        <v>80.308927594468216</v>
      </c>
      <c r="K26" s="1611">
        <v>7.3021399999999996</v>
      </c>
      <c r="L26" s="847">
        <f>[8]จังหวัด!H21</f>
        <v>10023160.16</v>
      </c>
      <c r="M26" s="1777">
        <f t="shared" si="1"/>
        <v>85.347256142630528</v>
      </c>
      <c r="N26" s="847">
        <f>[8]จังหวัด!J21</f>
        <v>1397425</v>
      </c>
      <c r="O26" s="1760">
        <f t="shared" si="0"/>
        <v>11.899080480732882</v>
      </c>
      <c r="P26" s="847">
        <f t="shared" si="2"/>
        <v>11420585.16</v>
      </c>
      <c r="Q26" s="1610">
        <f t="shared" si="3"/>
        <v>97.246336623363419</v>
      </c>
      <c r="R26" s="1599"/>
      <c r="S26" s="1599">
        <f t="shared" si="4"/>
        <v>323389.52999999933</v>
      </c>
      <c r="T26" s="2588">
        <f t="shared" si="5"/>
        <v>16.937409028895203</v>
      </c>
      <c r="U26" s="1612">
        <v>17108</v>
      </c>
      <c r="V26" s="1620">
        <v>12409691</v>
      </c>
      <c r="W26" s="1613">
        <f t="shared" si="6"/>
        <v>-665716.31000000052</v>
      </c>
      <c r="X26" s="1614" t="s">
        <v>882</v>
      </c>
      <c r="Y26" s="1615" t="s">
        <v>885</v>
      </c>
      <c r="Z26" s="1613" t="s">
        <v>1074</v>
      </c>
      <c r="AA26" s="1613" t="s">
        <v>1075</v>
      </c>
      <c r="AB26" s="1616"/>
      <c r="AC26" s="1616"/>
      <c r="AD26" s="1616"/>
      <c r="AE26" s="1613"/>
    </row>
    <row r="27" spans="2:31" s="2598" customFormat="1" ht="26.1" customHeight="1">
      <c r="B27" s="2589">
        <v>14</v>
      </c>
      <c r="C27" s="1608">
        <v>1500400040</v>
      </c>
      <c r="D27" s="1609" t="s">
        <v>547</v>
      </c>
      <c r="E27" s="847">
        <v>25782746.5</v>
      </c>
      <c r="F27" s="847">
        <v>0</v>
      </c>
      <c r="G27" s="847">
        <v>25782746.5</v>
      </c>
      <c r="H27" s="847">
        <f>[8]จังหวัด!G30</f>
        <v>13993154.869999999</v>
      </c>
      <c r="I27" s="847">
        <v>18942510.989999998</v>
      </c>
      <c r="J27" s="1610">
        <v>69.690957824157934</v>
      </c>
      <c r="K27" s="1611">
        <v>5.8923399999999999</v>
      </c>
      <c r="L27" s="847">
        <f>[8]จังหวัด!H30</f>
        <v>13031832.42</v>
      </c>
      <c r="M27" s="1777">
        <f t="shared" si="1"/>
        <v>93.130052093820652</v>
      </c>
      <c r="N27" s="847">
        <f>[8]จังหวัด!J30</f>
        <v>570050</v>
      </c>
      <c r="O27" s="1760">
        <f t="shared" si="0"/>
        <v>4.0737775383457899</v>
      </c>
      <c r="P27" s="847">
        <f t="shared" si="2"/>
        <v>13601882.42</v>
      </c>
      <c r="Q27" s="1610">
        <f t="shared" si="3"/>
        <v>97.203829632166432</v>
      </c>
      <c r="R27" s="1599"/>
      <c r="S27" s="1599">
        <f t="shared" si="4"/>
        <v>391272.44999999925</v>
      </c>
      <c r="T27" s="2590">
        <f t="shared" si="5"/>
        <v>27.512871808008498</v>
      </c>
      <c r="U27" s="2591">
        <v>7661</v>
      </c>
      <c r="V27" s="2592">
        <v>17459341.759999998</v>
      </c>
      <c r="W27" s="2593">
        <f t="shared" si="6"/>
        <v>-3466186.8899999987</v>
      </c>
      <c r="X27" s="2594" t="s">
        <v>894</v>
      </c>
      <c r="Y27" s="2595" t="s">
        <v>983</v>
      </c>
      <c r="Z27" s="2593" t="s">
        <v>984</v>
      </c>
      <c r="AA27" s="2593" t="s">
        <v>985</v>
      </c>
      <c r="AB27" s="2596"/>
      <c r="AC27" s="2597">
        <v>1495000</v>
      </c>
      <c r="AD27" s="2597"/>
      <c r="AE27" s="2593"/>
    </row>
    <row r="28" spans="2:31" ht="26.1" customHeight="1">
      <c r="B28" s="1607">
        <v>15</v>
      </c>
      <c r="C28" s="1608">
        <v>1500400063</v>
      </c>
      <c r="D28" s="1609" t="s">
        <v>562</v>
      </c>
      <c r="E28" s="847">
        <v>23796166.91</v>
      </c>
      <c r="F28" s="847">
        <v>0</v>
      </c>
      <c r="G28" s="847">
        <v>23796166.91</v>
      </c>
      <c r="H28" s="847">
        <f>[8]จังหวัด!G53</f>
        <v>13472305.869999999</v>
      </c>
      <c r="I28" s="847">
        <v>22958249.43</v>
      </c>
      <c r="J28" s="1610">
        <v>80.724334736459255</v>
      </c>
      <c r="K28" s="1611">
        <v>5.7301200000000003</v>
      </c>
      <c r="L28" s="847">
        <f>[8]จังหวัด!H53</f>
        <v>12702494.74</v>
      </c>
      <c r="M28" s="1777">
        <f t="shared" si="1"/>
        <v>94.2859734819842</v>
      </c>
      <c r="N28" s="847">
        <f>[8]จังหวัด!J53</f>
        <v>392700</v>
      </c>
      <c r="O28" s="1760">
        <f t="shared" si="0"/>
        <v>2.9148684997900811</v>
      </c>
      <c r="P28" s="847">
        <f t="shared" si="2"/>
        <v>13095194.74</v>
      </c>
      <c r="Q28" s="1610">
        <f t="shared" si="3"/>
        <v>97.200841981774275</v>
      </c>
      <c r="R28" s="1599"/>
      <c r="S28" s="1599">
        <f t="shared" si="4"/>
        <v>377111.12999999896</v>
      </c>
      <c r="T28" s="2588">
        <f t="shared" si="5"/>
        <v>16.47650724531502</v>
      </c>
      <c r="U28" s="1612">
        <v>152912.74</v>
      </c>
      <c r="V28" s="1620">
        <v>7556824.6600000001</v>
      </c>
      <c r="W28" s="1613">
        <f t="shared" si="6"/>
        <v>5915481.209999999</v>
      </c>
      <c r="X28" s="1614" t="s">
        <v>883</v>
      </c>
      <c r="Y28" s="1615" t="s">
        <v>875</v>
      </c>
      <c r="Z28" s="1613" t="s">
        <v>1080</v>
      </c>
      <c r="AA28" s="1613" t="s">
        <v>1081</v>
      </c>
      <c r="AB28" s="1616"/>
      <c r="AC28" s="1616"/>
      <c r="AD28" s="1616"/>
      <c r="AE28" s="1613"/>
    </row>
    <row r="29" spans="2:31" ht="26.1" customHeight="1">
      <c r="B29" s="1607">
        <v>16</v>
      </c>
      <c r="C29" s="1608">
        <v>1500400096</v>
      </c>
      <c r="D29" s="1609" t="s">
        <v>802</v>
      </c>
      <c r="E29" s="847">
        <v>32011559.73</v>
      </c>
      <c r="F29" s="847">
        <v>0</v>
      </c>
      <c r="G29" s="847">
        <v>32011559.73</v>
      </c>
      <c r="H29" s="847">
        <f>[8]จังหวัด!G86</f>
        <v>19817025.98</v>
      </c>
      <c r="I29" s="847">
        <v>31282545.690000001</v>
      </c>
      <c r="J29" s="1610">
        <v>77.299133284811148</v>
      </c>
      <c r="K29" s="1611">
        <v>9.7718000000000007</v>
      </c>
      <c r="L29" s="847">
        <f>[8]จังหวัด!H86</f>
        <v>18106827.260000002</v>
      </c>
      <c r="M29" s="1777">
        <f t="shared" si="1"/>
        <v>91.370053600747212</v>
      </c>
      <c r="N29" s="847">
        <f>[8]จังหวัด!J86</f>
        <v>1124712.5</v>
      </c>
      <c r="O29" s="1760">
        <f t="shared" si="0"/>
        <v>5.6754858228227443</v>
      </c>
      <c r="P29" s="847">
        <f t="shared" si="2"/>
        <v>19231539.760000002</v>
      </c>
      <c r="Q29" s="1610">
        <f t="shared" si="3"/>
        <v>97.045539423569963</v>
      </c>
      <c r="R29" s="1599"/>
      <c r="S29" s="1599">
        <f t="shared" si="4"/>
        <v>585486.21999999881</v>
      </c>
      <c r="T29" s="2588">
        <f t="shared" si="5"/>
        <v>19.746406138758815</v>
      </c>
      <c r="U29" s="1612">
        <v>183560</v>
      </c>
      <c r="V29" s="1620">
        <v>8024535</v>
      </c>
      <c r="W29" s="1613">
        <f t="shared" si="6"/>
        <v>11792490.98</v>
      </c>
      <c r="X29" s="1614" t="s">
        <v>884</v>
      </c>
      <c r="Y29" s="1615" t="s">
        <v>986</v>
      </c>
      <c r="Z29" s="1613" t="s">
        <v>1082</v>
      </c>
      <c r="AA29" s="1613" t="s">
        <v>1083</v>
      </c>
      <c r="AB29" s="1616"/>
      <c r="AC29" s="1616"/>
      <c r="AD29" s="1616"/>
      <c r="AE29" s="1613"/>
    </row>
    <row r="30" spans="2:31" ht="26.1" customHeight="1">
      <c r="B30" s="1607">
        <v>17</v>
      </c>
      <c r="C30" s="1608">
        <v>1500400047</v>
      </c>
      <c r="D30" s="1609" t="s">
        <v>790</v>
      </c>
      <c r="E30" s="847">
        <v>48644872.289999999</v>
      </c>
      <c r="F30" s="847">
        <v>0</v>
      </c>
      <c r="G30" s="847">
        <v>48644872.289999999</v>
      </c>
      <c r="H30" s="847">
        <f>[8]จังหวัด!G37</f>
        <v>26635742.829999998</v>
      </c>
      <c r="I30" s="847">
        <v>42713037.140000001</v>
      </c>
      <c r="J30" s="1610">
        <v>70.073322964724994</v>
      </c>
      <c r="K30" s="1611">
        <v>15.1296</v>
      </c>
      <c r="L30" s="847">
        <f>[8]จังหวัด!H37</f>
        <v>25149300.789999999</v>
      </c>
      <c r="M30" s="1777">
        <f t="shared" si="1"/>
        <v>94.419370807538314</v>
      </c>
      <c r="N30" s="847">
        <f>[8]จังหวัด!J37</f>
        <v>694000</v>
      </c>
      <c r="O30" s="1760">
        <f t="shared" si="0"/>
        <v>2.6055214770220094</v>
      </c>
      <c r="P30" s="847">
        <f t="shared" si="2"/>
        <v>25843300.789999999</v>
      </c>
      <c r="Q30" s="1610">
        <f t="shared" si="3"/>
        <v>97.024892284560323</v>
      </c>
      <c r="R30" s="1599"/>
      <c r="S30" s="1599">
        <f t="shared" si="4"/>
        <v>792442.03999999911</v>
      </c>
      <c r="T30" s="2588">
        <f t="shared" si="5"/>
        <v>26.951569319835329</v>
      </c>
      <c r="U30" s="1621">
        <v>167718.07999999999</v>
      </c>
      <c r="V30" s="1620">
        <v>14333297</v>
      </c>
      <c r="W30" s="1613">
        <f t="shared" si="6"/>
        <v>12302445.829999998</v>
      </c>
      <c r="X30" s="1614" t="s">
        <v>879</v>
      </c>
      <c r="Y30" s="1615" t="s">
        <v>878</v>
      </c>
      <c r="Z30" s="1613" t="s">
        <v>1098</v>
      </c>
      <c r="AA30" s="1613" t="s">
        <v>1099</v>
      </c>
      <c r="AB30" s="1616"/>
      <c r="AC30" s="1616"/>
      <c r="AD30" s="1616"/>
      <c r="AE30" s="1613"/>
    </row>
    <row r="31" spans="2:31" ht="26.1" customHeight="1">
      <c r="B31" s="1607">
        <v>18</v>
      </c>
      <c r="C31" s="1608">
        <v>1500400057</v>
      </c>
      <c r="D31" s="1609" t="s">
        <v>560</v>
      </c>
      <c r="E31" s="847">
        <v>45042599.859999999</v>
      </c>
      <c r="F31" s="847">
        <v>0</v>
      </c>
      <c r="G31" s="847">
        <v>45042599.859999999</v>
      </c>
      <c r="H31" s="847">
        <f>[8]จังหวัด!G47</f>
        <v>34233293.759999998</v>
      </c>
      <c r="I31" s="847">
        <v>48345584.579999998</v>
      </c>
      <c r="J31" s="1610">
        <v>77.127636247205558</v>
      </c>
      <c r="K31" s="1611">
        <v>15.66412</v>
      </c>
      <c r="L31" s="847">
        <f>[8]จังหวัด!H47</f>
        <v>32412613.960000001</v>
      </c>
      <c r="M31" s="1777">
        <f t="shared" si="1"/>
        <v>94.681552371897752</v>
      </c>
      <c r="N31" s="847">
        <f>[8]จังหวัด!J47</f>
        <v>781350</v>
      </c>
      <c r="O31" s="1760">
        <f t="shared" si="0"/>
        <v>2.282427175946975</v>
      </c>
      <c r="P31" s="847">
        <f t="shared" si="2"/>
        <v>33193963.960000001</v>
      </c>
      <c r="Q31" s="1610">
        <f t="shared" si="3"/>
        <v>96.96397954784473</v>
      </c>
      <c r="R31" s="1599"/>
      <c r="S31" s="1599">
        <f t="shared" si="4"/>
        <v>1039329.799999997</v>
      </c>
      <c r="T31" s="2588">
        <f t="shared" si="5"/>
        <v>19.836343300639172</v>
      </c>
      <c r="U31" s="1621">
        <v>50618.9</v>
      </c>
      <c r="V31" s="1620">
        <v>3803275.2</v>
      </c>
      <c r="W31" s="1613">
        <f t="shared" si="6"/>
        <v>30430018.559999999</v>
      </c>
      <c r="X31" s="1614" t="s">
        <v>893</v>
      </c>
      <c r="Y31" s="1615" t="s">
        <v>888</v>
      </c>
      <c r="Z31" s="1613" t="s">
        <v>1013</v>
      </c>
      <c r="AA31" s="1613" t="s">
        <v>1014</v>
      </c>
      <c r="AB31" s="1616"/>
      <c r="AC31" s="1616"/>
      <c r="AD31" s="1616"/>
      <c r="AE31" s="1613"/>
    </row>
    <row r="32" spans="2:31" ht="26.1" customHeight="1">
      <c r="B32" s="2599">
        <v>19</v>
      </c>
      <c r="C32" s="1623">
        <v>1500400076</v>
      </c>
      <c r="D32" s="1624" t="s">
        <v>573</v>
      </c>
      <c r="E32" s="1625">
        <v>36392736.780000001</v>
      </c>
      <c r="F32" s="1625">
        <v>0</v>
      </c>
      <c r="G32" s="1625">
        <v>36392736.780000001</v>
      </c>
      <c r="H32" s="1625">
        <f>[8]จังหวัด!G66</f>
        <v>20255140.079999998</v>
      </c>
      <c r="I32" s="1625">
        <v>35463398.25</v>
      </c>
      <c r="J32" s="1626">
        <v>84.633249538964705</v>
      </c>
      <c r="K32" s="1627">
        <v>9.8812599999999993</v>
      </c>
      <c r="L32" s="1625">
        <f>[8]จังหวัด!H66</f>
        <v>17956892.25</v>
      </c>
      <c r="M32" s="1684">
        <f t="shared" si="1"/>
        <v>88.653508092648053</v>
      </c>
      <c r="N32" s="1625">
        <f>[8]จังหวัด!J66</f>
        <v>1671930</v>
      </c>
      <c r="O32" s="1685">
        <f t="shared" si="0"/>
        <v>8.2543492338069289</v>
      </c>
      <c r="P32" s="1625">
        <f t="shared" si="2"/>
        <v>19628822.25</v>
      </c>
      <c r="Q32" s="1626">
        <f t="shared" si="3"/>
        <v>96.907857326454987</v>
      </c>
      <c r="R32" s="1628"/>
      <c r="S32" s="1628">
        <f t="shared" si="4"/>
        <v>626317.82999999821</v>
      </c>
      <c r="T32" s="2588">
        <f t="shared" si="5"/>
        <v>12.274607787490282</v>
      </c>
      <c r="U32" s="1612">
        <v>7100</v>
      </c>
      <c r="V32" s="1601">
        <v>15204530</v>
      </c>
      <c r="W32" s="1613">
        <f t="shared" si="6"/>
        <v>5050610.0799999982</v>
      </c>
      <c r="X32" s="1614" t="s">
        <v>887</v>
      </c>
      <c r="Y32" s="1615" t="s">
        <v>878</v>
      </c>
      <c r="Z32" s="1619" t="s">
        <v>1118</v>
      </c>
      <c r="AA32" s="1613" t="s">
        <v>1119</v>
      </c>
      <c r="AB32" s="1616"/>
      <c r="AC32" s="1616"/>
      <c r="AD32" s="1616"/>
      <c r="AE32" s="1613"/>
    </row>
    <row r="33" spans="2:31" ht="26.1" customHeight="1">
      <c r="B33" s="1882">
        <v>20</v>
      </c>
      <c r="C33" s="1883">
        <v>1500400024</v>
      </c>
      <c r="D33" s="1884" t="s">
        <v>540</v>
      </c>
      <c r="E33" s="1885">
        <v>15387248.699999999</v>
      </c>
      <c r="F33" s="1885">
        <v>0</v>
      </c>
      <c r="G33" s="1885">
        <v>15387248.699999999</v>
      </c>
      <c r="H33" s="1885">
        <f>[8]จังหวัด!G14</f>
        <v>14405539.220000001</v>
      </c>
      <c r="I33" s="1885">
        <v>19117043.329999998</v>
      </c>
      <c r="J33" s="1886">
        <v>80.838113495272623</v>
      </c>
      <c r="K33" s="1887">
        <v>7.4940600000000002</v>
      </c>
      <c r="L33" s="1885">
        <f>[8]จังหวัด!H14</f>
        <v>13348533.26</v>
      </c>
      <c r="M33" s="1888">
        <f t="shared" si="1"/>
        <v>92.662503333908518</v>
      </c>
      <c r="N33" s="1885">
        <f>[8]จังหวัด!J14</f>
        <v>608992</v>
      </c>
      <c r="O33" s="1889">
        <f t="shared" si="0"/>
        <v>4.2274849327021577</v>
      </c>
      <c r="P33" s="1885">
        <f t="shared" si="2"/>
        <v>13957525.26</v>
      </c>
      <c r="Q33" s="1886">
        <f t="shared" si="3"/>
        <v>96.889988266610672</v>
      </c>
      <c r="R33" s="1890"/>
      <c r="S33" s="1890">
        <f t="shared" si="4"/>
        <v>448013.96000000089</v>
      </c>
      <c r="T33" s="2588">
        <f t="shared" si="5"/>
        <v>16.051874771338049</v>
      </c>
      <c r="U33" s="1612">
        <v>10797.1</v>
      </c>
      <c r="V33" s="1620">
        <v>75385180.210000008</v>
      </c>
      <c r="W33" s="1613">
        <f t="shared" si="6"/>
        <v>-60979640.99000001</v>
      </c>
      <c r="X33" s="1614" t="s">
        <v>886</v>
      </c>
      <c r="Y33" s="1615" t="s">
        <v>875</v>
      </c>
      <c r="Z33" s="1619" t="s">
        <v>1112</v>
      </c>
      <c r="AA33" s="1613" t="s">
        <v>1113</v>
      </c>
      <c r="AB33" s="1616"/>
      <c r="AC33" s="1616"/>
      <c r="AD33" s="1616"/>
      <c r="AE33" s="1613"/>
    </row>
    <row r="34" spans="2:31" ht="26.1" customHeight="1">
      <c r="B34" s="1607">
        <v>21</v>
      </c>
      <c r="C34" s="1608">
        <v>1500400070</v>
      </c>
      <c r="D34" s="1609" t="s">
        <v>567</v>
      </c>
      <c r="E34" s="847">
        <v>23384215.789999999</v>
      </c>
      <c r="F34" s="847">
        <v>0</v>
      </c>
      <c r="G34" s="847">
        <v>23384215.789999999</v>
      </c>
      <c r="H34" s="847">
        <f>[8]จังหวัด!G60</f>
        <v>12353095.050000001</v>
      </c>
      <c r="I34" s="847">
        <v>20972126.800000001</v>
      </c>
      <c r="J34" s="1610">
        <v>88.156065975456272</v>
      </c>
      <c r="K34" s="1611">
        <v>6.0302199999999999</v>
      </c>
      <c r="L34" s="847">
        <f>[8]จังหวัด!H60</f>
        <v>10898428.98</v>
      </c>
      <c r="M34" s="1777">
        <f t="shared" si="1"/>
        <v>88.224278497719482</v>
      </c>
      <c r="N34" s="847">
        <f>[8]จังหวัด!J60</f>
        <v>1053060</v>
      </c>
      <c r="O34" s="1760">
        <f t="shared" si="0"/>
        <v>8.5246652416877495</v>
      </c>
      <c r="P34" s="847">
        <f t="shared" si="2"/>
        <v>11951488.98</v>
      </c>
      <c r="Q34" s="1610">
        <f t="shared" si="3"/>
        <v>96.748943739407238</v>
      </c>
      <c r="R34" s="1599"/>
      <c r="S34" s="1599">
        <f t="shared" si="4"/>
        <v>401606.0700000003</v>
      </c>
      <c r="T34" s="2588">
        <f t="shared" si="5"/>
        <v>8.5928777639509661</v>
      </c>
      <c r="U34" s="1612">
        <v>1516.2</v>
      </c>
      <c r="V34" s="1620">
        <v>12720018.440000001</v>
      </c>
      <c r="W34" s="1613">
        <f t="shared" si="6"/>
        <v>-366923.3900000006</v>
      </c>
      <c r="X34" s="1614" t="s">
        <v>892</v>
      </c>
      <c r="Y34" s="1615" t="s">
        <v>888</v>
      </c>
      <c r="Z34" s="1613" t="s">
        <v>1066</v>
      </c>
      <c r="AA34" s="1613" t="s">
        <v>1067</v>
      </c>
      <c r="AB34" s="1616"/>
      <c r="AC34" s="1616"/>
      <c r="AD34" s="1616"/>
      <c r="AE34" s="1613"/>
    </row>
    <row r="35" spans="2:31" ht="26.1" customHeight="1">
      <c r="B35" s="1607">
        <v>22</v>
      </c>
      <c r="C35" s="1608">
        <v>1500400082</v>
      </c>
      <c r="D35" s="1609" t="s">
        <v>575</v>
      </c>
      <c r="E35" s="847">
        <v>8543394.8300000001</v>
      </c>
      <c r="F35" s="847">
        <v>0</v>
      </c>
      <c r="G35" s="847">
        <v>8543394.8300000001</v>
      </c>
      <c r="H35" s="847">
        <f>[8]จังหวัด!G72</f>
        <v>7011892.04</v>
      </c>
      <c r="I35" s="847">
        <v>6548681.1399999997</v>
      </c>
      <c r="J35" s="1610">
        <v>63.490722696219478</v>
      </c>
      <c r="K35" s="1611">
        <v>3.5182199999999999</v>
      </c>
      <c r="L35" s="847">
        <f>[8]จังหวัด!H72</f>
        <v>5725047.1699999999</v>
      </c>
      <c r="M35" s="1777">
        <f t="shared" si="1"/>
        <v>81.647679932048703</v>
      </c>
      <c r="N35" s="847">
        <f>[8]จังหวัด!J72</f>
        <v>1051340</v>
      </c>
      <c r="O35" s="1760">
        <f t="shared" si="0"/>
        <v>14.993670666954536</v>
      </c>
      <c r="P35" s="847">
        <f t="shared" si="2"/>
        <v>6776387.1699999999</v>
      </c>
      <c r="Q35" s="1610">
        <f t="shared" si="3"/>
        <v>96.641350599003232</v>
      </c>
      <c r="R35" s="1599"/>
      <c r="S35" s="1599">
        <f t="shared" si="4"/>
        <v>235504.87000000011</v>
      </c>
      <c r="T35" s="2588">
        <f t="shared" si="5"/>
        <v>33.150627902783754</v>
      </c>
      <c r="U35" s="1612">
        <v>540554.91</v>
      </c>
      <c r="V35" s="1620">
        <v>17787825.100000001</v>
      </c>
      <c r="W35" s="1613">
        <f t="shared" si="6"/>
        <v>-10775933.060000002</v>
      </c>
      <c r="X35" s="1614" t="s">
        <v>883</v>
      </c>
      <c r="Y35" s="1615" t="s">
        <v>875</v>
      </c>
      <c r="Z35" s="1613" t="s">
        <v>1008</v>
      </c>
      <c r="AA35" s="1613" t="s">
        <v>1009</v>
      </c>
      <c r="AB35" s="1616"/>
      <c r="AC35" s="1616"/>
      <c r="AD35" s="1616"/>
      <c r="AE35" s="1613"/>
    </row>
    <row r="36" spans="2:31" ht="26.1" customHeight="1">
      <c r="B36" s="1607">
        <v>23</v>
      </c>
      <c r="C36" s="1608">
        <v>1500400049</v>
      </c>
      <c r="D36" s="1609" t="s">
        <v>791</v>
      </c>
      <c r="E36" s="847">
        <v>27499849.73</v>
      </c>
      <c r="F36" s="847">
        <v>0</v>
      </c>
      <c r="G36" s="847">
        <v>27499849.73</v>
      </c>
      <c r="H36" s="847">
        <f>[8]จังหวัด!G39</f>
        <v>14767463.130000001</v>
      </c>
      <c r="I36" s="847">
        <v>20107050.670000002</v>
      </c>
      <c r="J36" s="1610">
        <v>71.622214481131152</v>
      </c>
      <c r="K36" s="1611">
        <v>7.2691400000000002</v>
      </c>
      <c r="L36" s="847">
        <f>[8]จังหวัด!H39</f>
        <v>12455861.82</v>
      </c>
      <c r="M36" s="1777">
        <f t="shared" si="1"/>
        <v>84.346659343919413</v>
      </c>
      <c r="N36" s="847">
        <f>[8]จังหวัด!J39</f>
        <v>1814140.51</v>
      </c>
      <c r="O36" s="1760">
        <f t="shared" si="0"/>
        <v>12.284713318935504</v>
      </c>
      <c r="P36" s="847">
        <f t="shared" si="2"/>
        <v>14270002.33</v>
      </c>
      <c r="Q36" s="1610">
        <f t="shared" si="3"/>
        <v>96.631372662854915</v>
      </c>
      <c r="R36" s="1599"/>
      <c r="S36" s="1599">
        <f t="shared" si="4"/>
        <v>497460.80000000075</v>
      </c>
      <c r="T36" s="2588">
        <f t="shared" si="5"/>
        <v>25.009158181723762</v>
      </c>
      <c r="U36" s="1612">
        <v>14555</v>
      </c>
      <c r="V36" s="1620">
        <v>14373575</v>
      </c>
      <c r="W36" s="1613">
        <f t="shared" si="6"/>
        <v>393888.13000000082</v>
      </c>
      <c r="X36" s="1614" t="s">
        <v>874</v>
      </c>
      <c r="Y36" s="1615" t="s">
        <v>978</v>
      </c>
      <c r="Z36" s="1613" t="s">
        <v>1058</v>
      </c>
      <c r="AA36" s="1619" t="s">
        <v>1059</v>
      </c>
      <c r="AB36" s="1616"/>
      <c r="AC36" s="1616"/>
      <c r="AD36" s="1616"/>
      <c r="AE36" s="1613"/>
    </row>
    <row r="37" spans="2:31" ht="26.1" customHeight="1">
      <c r="B37" s="1607">
        <v>24</v>
      </c>
      <c r="C37" s="2600">
        <v>1500400073</v>
      </c>
      <c r="D37" s="2601" t="s">
        <v>570</v>
      </c>
      <c r="E37" s="2602">
        <v>20630645.739999998</v>
      </c>
      <c r="F37" s="2602">
        <v>0</v>
      </c>
      <c r="G37" s="2602">
        <v>20630645.739999998</v>
      </c>
      <c r="H37" s="2602">
        <f>[8]จังหวัด!G63</f>
        <v>14261348.449999999</v>
      </c>
      <c r="I37" s="2602">
        <v>15410447.310000001</v>
      </c>
      <c r="J37" s="2603">
        <v>72.349424648276681</v>
      </c>
      <c r="K37" s="2604">
        <v>6.5908600000000002</v>
      </c>
      <c r="L37" s="2602">
        <f>[8]จังหวัด!H63</f>
        <v>13272904.949999999</v>
      </c>
      <c r="M37" s="2605">
        <f t="shared" si="1"/>
        <v>93.069074053793273</v>
      </c>
      <c r="N37" s="2602">
        <f>[8]จังหวัด!J63</f>
        <v>505000</v>
      </c>
      <c r="O37" s="2606">
        <f t="shared" si="0"/>
        <v>3.5410396272871383</v>
      </c>
      <c r="P37" s="2602">
        <f t="shared" si="2"/>
        <v>13777904.949999999</v>
      </c>
      <c r="Q37" s="2603">
        <f t="shared" si="3"/>
        <v>96.610113681080406</v>
      </c>
      <c r="R37" s="2607"/>
      <c r="S37" s="2607">
        <f t="shared" si="4"/>
        <v>483443.5</v>
      </c>
      <c r="T37" s="2608">
        <f t="shared" si="5"/>
        <v>24.260689032803725</v>
      </c>
      <c r="U37" s="1612">
        <v>41644.71</v>
      </c>
      <c r="V37" s="1620">
        <v>18764261.129999999</v>
      </c>
      <c r="W37" s="1613">
        <f t="shared" si="6"/>
        <v>-4502912.68</v>
      </c>
      <c r="X37" s="1614" t="s">
        <v>876</v>
      </c>
      <c r="Y37" s="1615" t="s">
        <v>1031</v>
      </c>
      <c r="Z37" s="1619" t="s">
        <v>1062</v>
      </c>
      <c r="AA37" s="1613" t="s">
        <v>1063</v>
      </c>
      <c r="AB37" s="1616"/>
      <c r="AC37" s="1616"/>
      <c r="AD37" s="1616"/>
      <c r="AE37" s="1613"/>
    </row>
    <row r="38" spans="2:31" ht="26.1" customHeight="1">
      <c r="B38" s="1607">
        <v>25</v>
      </c>
      <c r="C38" s="1608">
        <v>1500400077</v>
      </c>
      <c r="D38" s="1609" t="s">
        <v>796</v>
      </c>
      <c r="E38" s="847">
        <v>26616214.609999999</v>
      </c>
      <c r="F38" s="847">
        <v>0</v>
      </c>
      <c r="G38" s="847">
        <v>26616214.609999999</v>
      </c>
      <c r="H38" s="847">
        <f>[8]จังหวัด!G67</f>
        <v>14664569.970000001</v>
      </c>
      <c r="I38" s="847">
        <v>29102588.949999999</v>
      </c>
      <c r="J38" s="1610">
        <v>72.407226832642323</v>
      </c>
      <c r="K38" s="1611">
        <v>6.9462400000000004</v>
      </c>
      <c r="L38" s="847">
        <f>[8]จังหวัด!H67</f>
        <v>12715372.09</v>
      </c>
      <c r="M38" s="1777">
        <f t="shared" si="1"/>
        <v>86.708114291877862</v>
      </c>
      <c r="N38" s="847">
        <f>[8]จังหวัด!J67</f>
        <v>1451333.63</v>
      </c>
      <c r="O38" s="1760">
        <f t="shared" si="0"/>
        <v>9.896871391176564</v>
      </c>
      <c r="P38" s="847">
        <f t="shared" si="2"/>
        <v>14166705.719999999</v>
      </c>
      <c r="Q38" s="1610">
        <f t="shared" si="3"/>
        <v>96.604985683054423</v>
      </c>
      <c r="R38" s="1599"/>
      <c r="S38" s="1599">
        <f t="shared" si="4"/>
        <v>497864.25000000186</v>
      </c>
      <c r="T38" s="2588">
        <f t="shared" si="5"/>
        <v>24.1977588504121</v>
      </c>
      <c r="U38" s="1612">
        <v>2008.07</v>
      </c>
      <c r="V38" s="1620">
        <v>15443460</v>
      </c>
      <c r="W38" s="1613">
        <f t="shared" si="6"/>
        <v>-778890.02999999933</v>
      </c>
      <c r="X38" s="1614" t="s">
        <v>874</v>
      </c>
      <c r="Y38" s="1615" t="s">
        <v>978</v>
      </c>
      <c r="Z38" s="1613" t="s">
        <v>1015</v>
      </c>
      <c r="AA38" s="1613" t="s">
        <v>1016</v>
      </c>
      <c r="AB38" s="1616"/>
      <c r="AC38" s="1617"/>
      <c r="AD38" s="1617"/>
      <c r="AE38" s="1619"/>
    </row>
    <row r="39" spans="2:31" ht="25.5" customHeight="1">
      <c r="B39" s="1607">
        <v>26</v>
      </c>
      <c r="C39" s="1608">
        <v>1500400048</v>
      </c>
      <c r="D39" s="1609" t="s">
        <v>553</v>
      </c>
      <c r="E39" s="847">
        <v>21019108.199999999</v>
      </c>
      <c r="F39" s="847">
        <v>0</v>
      </c>
      <c r="G39" s="847">
        <v>21019108.199999999</v>
      </c>
      <c r="H39" s="847">
        <f>[8]จังหวัด!G38</f>
        <v>12973830.08</v>
      </c>
      <c r="I39" s="847">
        <v>27692951.530000001</v>
      </c>
      <c r="J39" s="1610">
        <v>69.187778756900499</v>
      </c>
      <c r="K39" s="1611">
        <v>6.7559800000000001</v>
      </c>
      <c r="L39" s="847">
        <f>[8]จังหวัด!H38</f>
        <v>11828715.66</v>
      </c>
      <c r="M39" s="1777">
        <f t="shared" si="1"/>
        <v>91.173659490382349</v>
      </c>
      <c r="N39" s="847">
        <f>[8]จังหวัด!J38</f>
        <v>702500</v>
      </c>
      <c r="O39" s="1760">
        <f t="shared" si="0"/>
        <v>5.4147464215902534</v>
      </c>
      <c r="P39" s="847">
        <f t="shared" si="2"/>
        <v>12531215.66</v>
      </c>
      <c r="Q39" s="1610">
        <f t="shared" si="3"/>
        <v>96.588405911972615</v>
      </c>
      <c r="R39" s="1599"/>
      <c r="S39" s="1599">
        <f t="shared" si="4"/>
        <v>442614.41999999993</v>
      </c>
      <c r="T39" s="2588">
        <f t="shared" si="5"/>
        <v>27.400627155072115</v>
      </c>
      <c r="U39" s="1612">
        <v>7966.77</v>
      </c>
      <c r="V39" s="1620">
        <v>27459930</v>
      </c>
      <c r="W39" s="1613">
        <f t="shared" si="6"/>
        <v>-14486099.92</v>
      </c>
      <c r="X39" s="1614" t="s">
        <v>884</v>
      </c>
      <c r="Y39" s="1615" t="s">
        <v>986</v>
      </c>
      <c r="Z39" s="1613" t="s">
        <v>1114</v>
      </c>
      <c r="AA39" s="1613" t="s">
        <v>1115</v>
      </c>
      <c r="AB39" s="1616"/>
      <c r="AC39" s="1616"/>
      <c r="AD39" s="1616"/>
      <c r="AE39" s="1613"/>
    </row>
    <row r="40" spans="2:31" s="2598" customFormat="1" ht="24" customHeight="1">
      <c r="B40" s="2589">
        <v>27</v>
      </c>
      <c r="C40" s="1608">
        <v>1500400044</v>
      </c>
      <c r="D40" s="1609" t="s">
        <v>551</v>
      </c>
      <c r="E40" s="847">
        <v>64165693.259999998</v>
      </c>
      <c r="F40" s="847">
        <v>0</v>
      </c>
      <c r="G40" s="847">
        <v>64165693.259999998</v>
      </c>
      <c r="H40" s="847">
        <f>[8]จังหวัด!G34</f>
        <v>36565484.640000001</v>
      </c>
      <c r="I40" s="847">
        <v>81745461.189999998</v>
      </c>
      <c r="J40" s="1610">
        <v>81.36152380713736</v>
      </c>
      <c r="K40" s="1611">
        <v>15.454940000000001</v>
      </c>
      <c r="L40" s="847">
        <f>[8]จังหวัด!H34</f>
        <v>31250175.050000001</v>
      </c>
      <c r="M40" s="1777">
        <f t="shared" si="1"/>
        <v>85.463587745845331</v>
      </c>
      <c r="N40" s="847">
        <f>[8]จังหวัด!J34</f>
        <v>4061797.64</v>
      </c>
      <c r="O40" s="1760">
        <f t="shared" si="0"/>
        <v>11.10828334422426</v>
      </c>
      <c r="P40" s="847">
        <f t="shared" si="2"/>
        <v>35311972.689999998</v>
      </c>
      <c r="Q40" s="1610">
        <f t="shared" si="3"/>
        <v>96.571871090069592</v>
      </c>
      <c r="R40" s="1599"/>
      <c r="S40" s="1599">
        <f t="shared" si="4"/>
        <v>1253511.950000003</v>
      </c>
      <c r="T40" s="2590">
        <f t="shared" si="5"/>
        <v>15.210347282932233</v>
      </c>
      <c r="U40" s="2591">
        <v>4800</v>
      </c>
      <c r="V40" s="2592">
        <v>14337222.220000001</v>
      </c>
      <c r="W40" s="2593">
        <f t="shared" si="6"/>
        <v>22228262.420000002</v>
      </c>
      <c r="X40" s="2594" t="s">
        <v>892</v>
      </c>
      <c r="Y40" s="2609" t="s">
        <v>888</v>
      </c>
      <c r="Z40" s="2593" t="s">
        <v>1021</v>
      </c>
      <c r="AA40" s="2593" t="s">
        <v>1022</v>
      </c>
      <c r="AB40" s="2597"/>
      <c r="AC40" s="2597"/>
      <c r="AD40" s="2597"/>
      <c r="AE40" s="2593"/>
    </row>
    <row r="41" spans="2:31" ht="26.1" customHeight="1">
      <c r="B41" s="1607">
        <v>28</v>
      </c>
      <c r="C41" s="1608">
        <v>1500400086</v>
      </c>
      <c r="D41" s="1609" t="s">
        <v>800</v>
      </c>
      <c r="E41" s="847">
        <v>16999448.289999999</v>
      </c>
      <c r="F41" s="847">
        <v>0</v>
      </c>
      <c r="G41" s="847">
        <v>16999448.289999999</v>
      </c>
      <c r="H41" s="847">
        <f>[8]จังหวัด!G76</f>
        <v>13070325.449999999</v>
      </c>
      <c r="I41" s="847">
        <v>16947110.109999999</v>
      </c>
      <c r="J41" s="1610">
        <v>84.83113420012225</v>
      </c>
      <c r="K41" s="1611">
        <v>5.7985800000000003</v>
      </c>
      <c r="L41" s="847">
        <f>[8]จังหวัด!H76</f>
        <v>10662173.1</v>
      </c>
      <c r="M41" s="1777">
        <f t="shared" si="1"/>
        <v>81.575421673987464</v>
      </c>
      <c r="N41" s="847">
        <f>[8]จังหวัด!J76</f>
        <v>1949700</v>
      </c>
      <c r="O41" s="1760">
        <f t="shared" si="0"/>
        <v>14.916996577158681</v>
      </c>
      <c r="P41" s="847">
        <f t="shared" si="2"/>
        <v>12611873.1</v>
      </c>
      <c r="Q41" s="1610">
        <f t="shared" si="3"/>
        <v>96.492418251146148</v>
      </c>
      <c r="R41" s="1599"/>
      <c r="S41" s="1599">
        <f t="shared" si="4"/>
        <v>458452.34999999963</v>
      </c>
      <c r="T41" s="2588">
        <f t="shared" si="5"/>
        <v>11.661284051023898</v>
      </c>
      <c r="U41" s="1612">
        <v>77637.210000000006</v>
      </c>
      <c r="V41" s="1620">
        <v>59536245.269999996</v>
      </c>
      <c r="W41" s="1613">
        <f t="shared" si="6"/>
        <v>-46465919.819999993</v>
      </c>
      <c r="X41" s="1614" t="s">
        <v>891</v>
      </c>
      <c r="Y41" s="1615" t="s">
        <v>986</v>
      </c>
      <c r="Z41" s="1613" t="s">
        <v>1132</v>
      </c>
      <c r="AA41" s="1613" t="s">
        <v>1133</v>
      </c>
      <c r="AB41" s="1616"/>
      <c r="AC41" s="1616"/>
      <c r="AD41" s="1616"/>
      <c r="AE41" s="1613"/>
    </row>
    <row r="42" spans="2:31" ht="26.1" customHeight="1">
      <c r="B42" s="1607">
        <v>29</v>
      </c>
      <c r="C42" s="1608">
        <v>1500400066</v>
      </c>
      <c r="D42" s="1609" t="s">
        <v>564</v>
      </c>
      <c r="E42" s="847">
        <v>25411727.100000001</v>
      </c>
      <c r="F42" s="847">
        <v>0</v>
      </c>
      <c r="G42" s="847">
        <v>25411727.100000001</v>
      </c>
      <c r="H42" s="847">
        <f>[8]จังหวัด!G56</f>
        <v>14440014.869999999</v>
      </c>
      <c r="I42" s="847">
        <v>20660418.739999998</v>
      </c>
      <c r="J42" s="1610">
        <v>72.896759852858992</v>
      </c>
      <c r="K42" s="1611">
        <v>7.8380999999999998</v>
      </c>
      <c r="L42" s="847">
        <f>[8]จังหวัด!H56</f>
        <v>13372636.02</v>
      </c>
      <c r="M42" s="1777">
        <f t="shared" si="1"/>
        <v>92.608187321070261</v>
      </c>
      <c r="N42" s="847">
        <f>[8]จังหวัด!J56</f>
        <v>558115</v>
      </c>
      <c r="O42" s="1760">
        <f t="shared" si="0"/>
        <v>3.8650583467162316</v>
      </c>
      <c r="P42" s="847">
        <f t="shared" si="2"/>
        <v>13930751.02</v>
      </c>
      <c r="Q42" s="1610">
        <f t="shared" si="3"/>
        <v>96.473245667786486</v>
      </c>
      <c r="R42" s="1599"/>
      <c r="S42" s="1599">
        <f t="shared" si="4"/>
        <v>509263.84999999963</v>
      </c>
      <c r="T42" s="2588">
        <f t="shared" si="5"/>
        <v>23.576485814927494</v>
      </c>
      <c r="U42" s="1612"/>
      <c r="V42" s="1620">
        <v>8611454.6600000001</v>
      </c>
      <c r="W42" s="1613">
        <f t="shared" si="6"/>
        <v>5828560.209999999</v>
      </c>
      <c r="X42" s="1614" t="s">
        <v>883</v>
      </c>
      <c r="Y42" s="1615" t="s">
        <v>875</v>
      </c>
      <c r="Z42" s="1613" t="s">
        <v>976</v>
      </c>
      <c r="AA42" s="1613" t="s">
        <v>977</v>
      </c>
      <c r="AB42" s="1616"/>
      <c r="AC42" s="1616"/>
      <c r="AD42" s="1616"/>
      <c r="AE42" s="1613"/>
    </row>
    <row r="43" spans="2:31" ht="26.1" customHeight="1">
      <c r="B43" s="1607">
        <v>30</v>
      </c>
      <c r="C43" s="1608">
        <v>1500400056</v>
      </c>
      <c r="D43" s="1609" t="s">
        <v>559</v>
      </c>
      <c r="E43" s="847">
        <v>44774087.759999998</v>
      </c>
      <c r="F43" s="847">
        <v>0</v>
      </c>
      <c r="G43" s="847">
        <v>44774087.759999998</v>
      </c>
      <c r="H43" s="847">
        <f>[8]จังหวัด!G46</f>
        <v>25157145.690000001</v>
      </c>
      <c r="I43" s="847">
        <v>57506731.049999997</v>
      </c>
      <c r="J43" s="1610">
        <v>82.822718427775186</v>
      </c>
      <c r="K43" s="1611">
        <v>12.938079999999999</v>
      </c>
      <c r="L43" s="847">
        <f>[8]จังหวัด!H46</f>
        <v>23950289.690000001</v>
      </c>
      <c r="M43" s="1777">
        <f t="shared" si="1"/>
        <v>95.202730807097382</v>
      </c>
      <c r="N43" s="847">
        <f>[8]จังหวัด!J46</f>
        <v>307000</v>
      </c>
      <c r="O43" s="1760">
        <f t="shared" si="0"/>
        <v>1.2203292209021666</v>
      </c>
      <c r="P43" s="847">
        <f t="shared" si="2"/>
        <v>24257289.690000001</v>
      </c>
      <c r="Q43" s="1610">
        <f t="shared" si="3"/>
        <v>96.42306002799954</v>
      </c>
      <c r="R43" s="1599"/>
      <c r="S43" s="1599">
        <f t="shared" si="4"/>
        <v>899856</v>
      </c>
      <c r="T43" s="2588">
        <f t="shared" si="5"/>
        <v>13.600341600224354</v>
      </c>
      <c r="U43" s="1612">
        <v>11764.15</v>
      </c>
      <c r="V43" s="1620">
        <v>42938635.629999995</v>
      </c>
      <c r="W43" s="1613">
        <f t="shared" si="6"/>
        <v>-17781489.939999994</v>
      </c>
      <c r="X43" s="1614" t="s">
        <v>881</v>
      </c>
      <c r="Y43" s="1615" t="s">
        <v>877</v>
      </c>
      <c r="Z43" s="1613" t="s">
        <v>1027</v>
      </c>
      <c r="AA43" s="1613" t="s">
        <v>1028</v>
      </c>
      <c r="AB43" s="1617"/>
      <c r="AC43" s="1616"/>
      <c r="AD43" s="1616"/>
      <c r="AE43" s="1613"/>
    </row>
    <row r="44" spans="2:31" ht="26.1" customHeight="1">
      <c r="B44" s="1607">
        <v>31</v>
      </c>
      <c r="C44" s="1608">
        <v>1500400029</v>
      </c>
      <c r="D44" s="1609" t="s">
        <v>783</v>
      </c>
      <c r="E44" s="847">
        <v>34333635.159999996</v>
      </c>
      <c r="F44" s="847">
        <v>0</v>
      </c>
      <c r="G44" s="847">
        <v>34333635.159999996</v>
      </c>
      <c r="H44" s="847">
        <f>[8]จังหวัด!G19</f>
        <v>17565020.5</v>
      </c>
      <c r="I44" s="847">
        <v>32336041.329999998</v>
      </c>
      <c r="J44" s="1610">
        <v>74.572629370097019</v>
      </c>
      <c r="K44" s="1611">
        <v>8.3807600000000004</v>
      </c>
      <c r="L44" s="847">
        <f>[8]จังหวัด!H19</f>
        <v>16114476.52</v>
      </c>
      <c r="M44" s="1777">
        <f t="shared" si="1"/>
        <v>91.74186002230968</v>
      </c>
      <c r="N44" s="847">
        <f>[8]จังหวัด!J19</f>
        <v>811847.75</v>
      </c>
      <c r="O44" s="1760">
        <f t="shared" si="0"/>
        <v>4.6219573156774851</v>
      </c>
      <c r="P44" s="847">
        <f t="shared" si="2"/>
        <v>16926324.27</v>
      </c>
      <c r="Q44" s="1610">
        <f t="shared" si="3"/>
        <v>96.363817337987172</v>
      </c>
      <c r="R44" s="1599"/>
      <c r="S44" s="1599">
        <f t="shared" si="4"/>
        <v>638696.23000000045</v>
      </c>
      <c r="T44" s="2588">
        <f t="shared" si="5"/>
        <v>21.791187967890153</v>
      </c>
      <c r="U44" s="1612">
        <v>69369.58</v>
      </c>
      <c r="V44" s="1620">
        <v>17454040</v>
      </c>
      <c r="W44" s="1613">
        <f t="shared" si="6"/>
        <v>110980.5</v>
      </c>
      <c r="X44" s="1614" t="s">
        <v>881</v>
      </c>
      <c r="Y44" s="1619" t="s">
        <v>877</v>
      </c>
      <c r="Z44" s="1613" t="s">
        <v>1034</v>
      </c>
      <c r="AA44" s="1613" t="s">
        <v>1035</v>
      </c>
      <c r="AB44" s="1616"/>
      <c r="AC44" s="1616"/>
      <c r="AD44" s="1616"/>
      <c r="AE44" s="1613"/>
    </row>
    <row r="45" spans="2:31" ht="26.1" customHeight="1">
      <c r="B45" s="1607">
        <v>32</v>
      </c>
      <c r="C45" s="1608">
        <v>1500400054</v>
      </c>
      <c r="D45" s="1609" t="s">
        <v>557</v>
      </c>
      <c r="E45" s="847">
        <v>46750504.289999999</v>
      </c>
      <c r="F45" s="847">
        <v>0</v>
      </c>
      <c r="G45" s="847">
        <v>46750504.289999999</v>
      </c>
      <c r="H45" s="847">
        <f>[8]จังหวัด!G44</f>
        <v>24734479.16</v>
      </c>
      <c r="I45" s="847">
        <v>56974459.009999998</v>
      </c>
      <c r="J45" s="1610">
        <v>76.423308789939668</v>
      </c>
      <c r="K45" s="1611">
        <v>12.16052</v>
      </c>
      <c r="L45" s="847">
        <f>[8]จังหวัด!H44</f>
        <v>23163488.170000002</v>
      </c>
      <c r="M45" s="1777">
        <f t="shared" si="1"/>
        <v>93.648578650725881</v>
      </c>
      <c r="N45" s="847">
        <f>[8]จังหวัด!J44</f>
        <v>658000</v>
      </c>
      <c r="O45" s="1760">
        <f t="shared" si="0"/>
        <v>2.6602541163029687</v>
      </c>
      <c r="P45" s="847">
        <f t="shared" si="2"/>
        <v>23821488.170000002</v>
      </c>
      <c r="Q45" s="1610">
        <f t="shared" si="3"/>
        <v>96.308832767028846</v>
      </c>
      <c r="R45" s="1599"/>
      <c r="S45" s="1599">
        <f t="shared" si="4"/>
        <v>912990.98999999836</v>
      </c>
      <c r="T45" s="2588">
        <f t="shared" si="5"/>
        <v>19.885523977089179</v>
      </c>
      <c r="U45" s="1612">
        <v>9720</v>
      </c>
      <c r="V45" s="1620">
        <v>25417628</v>
      </c>
      <c r="W45" s="1613">
        <f t="shared" si="6"/>
        <v>-683148.83999999985</v>
      </c>
      <c r="X45" s="1614" t="s">
        <v>874</v>
      </c>
      <c r="Y45" s="1619" t="s">
        <v>978</v>
      </c>
      <c r="Z45" s="1613" t="s">
        <v>979</v>
      </c>
      <c r="AA45" s="1613" t="s">
        <v>980</v>
      </c>
      <c r="AB45" s="1616"/>
      <c r="AC45" s="1617"/>
      <c r="AD45" s="1617"/>
      <c r="AE45" s="1619"/>
    </row>
    <row r="46" spans="2:31" ht="26.1" customHeight="1">
      <c r="B46" s="1607">
        <v>33</v>
      </c>
      <c r="C46" s="1608">
        <v>1500400067</v>
      </c>
      <c r="D46" s="1609" t="s">
        <v>565</v>
      </c>
      <c r="E46" s="847">
        <v>48966538.710000001</v>
      </c>
      <c r="F46" s="847">
        <v>0</v>
      </c>
      <c r="G46" s="847">
        <v>48966538.710000001</v>
      </c>
      <c r="H46" s="847">
        <f>[8]จังหวัด!G57</f>
        <v>31231476.969999999</v>
      </c>
      <c r="I46" s="847">
        <v>42463986.25</v>
      </c>
      <c r="J46" s="1610">
        <v>68.343121286917608</v>
      </c>
      <c r="K46" s="1611">
        <v>15.175319999999999</v>
      </c>
      <c r="L46" s="847">
        <f>[8]จังหวัด!H57</f>
        <v>27728292.609999999</v>
      </c>
      <c r="M46" s="1777">
        <f t="shared" si="1"/>
        <v>88.783161413195245</v>
      </c>
      <c r="N46" s="847">
        <f>[8]จังหวัด!J57</f>
        <v>2349965</v>
      </c>
      <c r="O46" s="1760">
        <f t="shared" si="0"/>
        <v>7.5243479591352802</v>
      </c>
      <c r="P46" s="847">
        <f t="shared" si="2"/>
        <v>30078257.609999999</v>
      </c>
      <c r="Q46" s="1610">
        <f t="shared" si="3"/>
        <v>96.307509372330529</v>
      </c>
      <c r="R46" s="1599"/>
      <c r="S46" s="1599">
        <f t="shared" si="4"/>
        <v>1153219.3599999994</v>
      </c>
      <c r="T46" s="2588">
        <f t="shared" si="5"/>
        <v>27.964388085412921</v>
      </c>
      <c r="U46" s="1612">
        <v>50841.13</v>
      </c>
      <c r="V46" s="1620">
        <v>11578112</v>
      </c>
      <c r="W46" s="1613">
        <f t="shared" si="6"/>
        <v>19653364.969999999</v>
      </c>
      <c r="X46" s="1614" t="s">
        <v>886</v>
      </c>
      <c r="Y46" s="1619" t="s">
        <v>875</v>
      </c>
      <c r="Z46" s="1613" t="s">
        <v>1088</v>
      </c>
      <c r="AA46" s="1613" t="s">
        <v>1089</v>
      </c>
      <c r="AB46" s="1616"/>
      <c r="AC46" s="1616"/>
      <c r="AD46" s="1616"/>
      <c r="AE46" s="1613"/>
    </row>
    <row r="47" spans="2:31" ht="26.1" customHeight="1">
      <c r="B47" s="1607">
        <v>34</v>
      </c>
      <c r="C47" s="1608">
        <v>1500400043</v>
      </c>
      <c r="D47" s="1609" t="s">
        <v>550</v>
      </c>
      <c r="E47" s="847">
        <v>45449960.280000001</v>
      </c>
      <c r="F47" s="847">
        <v>0</v>
      </c>
      <c r="G47" s="847">
        <v>45449960.280000001</v>
      </c>
      <c r="H47" s="847">
        <f>[8]จังหวัด!G33</f>
        <v>28328537.34</v>
      </c>
      <c r="I47" s="847">
        <v>46218945.799999997</v>
      </c>
      <c r="J47" s="1610">
        <v>74.28054993907736</v>
      </c>
      <c r="K47" s="1611">
        <v>14.863939999999999</v>
      </c>
      <c r="L47" s="847">
        <f>[8]จังหวัด!H33</f>
        <v>25810199.75</v>
      </c>
      <c r="M47" s="1777">
        <f t="shared" si="1"/>
        <v>91.110244910371364</v>
      </c>
      <c r="N47" s="847">
        <f>[8]จังหวัด!J33</f>
        <v>1419750</v>
      </c>
      <c r="O47" s="1760">
        <f t="shared" si="0"/>
        <v>5.0117306903639802</v>
      </c>
      <c r="P47" s="847">
        <f t="shared" si="2"/>
        <v>27229949.75</v>
      </c>
      <c r="Q47" s="1610">
        <f t="shared" si="3"/>
        <v>96.12197560073534</v>
      </c>
      <c r="R47" s="1599"/>
      <c r="S47" s="1599">
        <f t="shared" si="4"/>
        <v>1098587.5899999999</v>
      </c>
      <c r="T47" s="2588">
        <f t="shared" si="5"/>
        <v>21.841425661657979</v>
      </c>
      <c r="U47" s="1612"/>
      <c r="V47" s="1601">
        <v>4336830</v>
      </c>
      <c r="W47" s="1613">
        <f t="shared" si="6"/>
        <v>23991707.34</v>
      </c>
      <c r="X47" s="1614" t="s">
        <v>880</v>
      </c>
      <c r="Y47" s="1615" t="s">
        <v>1010</v>
      </c>
      <c r="Z47" s="1613" t="s">
        <v>1011</v>
      </c>
      <c r="AA47" s="1613" t="s">
        <v>1012</v>
      </c>
      <c r="AB47" s="1616"/>
      <c r="AC47" s="1616"/>
      <c r="AD47" s="1616"/>
      <c r="AE47" s="1613"/>
    </row>
    <row r="48" spans="2:31" ht="26.1" customHeight="1">
      <c r="B48" s="1607">
        <v>35</v>
      </c>
      <c r="C48" s="1608">
        <v>1500400079</v>
      </c>
      <c r="D48" s="1609" t="s">
        <v>798</v>
      </c>
      <c r="E48" s="847">
        <v>30510790.379999999</v>
      </c>
      <c r="F48" s="847">
        <v>0</v>
      </c>
      <c r="G48" s="847">
        <v>30510790.379999999</v>
      </c>
      <c r="H48" s="847">
        <f>[8]จังหวัด!G69</f>
        <v>17793573.690000001</v>
      </c>
      <c r="I48" s="847">
        <v>27042419.280000001</v>
      </c>
      <c r="J48" s="1610">
        <v>71.540780636392</v>
      </c>
      <c r="K48" s="1611">
        <v>8.359</v>
      </c>
      <c r="L48" s="847">
        <f>[8]จังหวัด!H69</f>
        <v>16298638.51</v>
      </c>
      <c r="M48" s="1777">
        <f t="shared" si="1"/>
        <v>91.598454554184599</v>
      </c>
      <c r="N48" s="847">
        <f>[8]จังหวัด!J69</f>
        <v>775000</v>
      </c>
      <c r="O48" s="1760">
        <f t="shared" si="0"/>
        <v>4.3555050463839677</v>
      </c>
      <c r="P48" s="847">
        <f t="shared" si="2"/>
        <v>17073638.509999998</v>
      </c>
      <c r="Q48" s="1610">
        <f t="shared" si="3"/>
        <v>95.953959600568567</v>
      </c>
      <c r="R48" s="1599"/>
      <c r="S48" s="1599">
        <f t="shared" si="4"/>
        <v>719935.18000000343</v>
      </c>
      <c r="T48" s="2588">
        <f t="shared" si="5"/>
        <v>24.413178964176566</v>
      </c>
      <c r="U48" s="1621">
        <v>72519.460000000006</v>
      </c>
      <c r="V48" s="1601">
        <v>15747874.359999999</v>
      </c>
      <c r="W48" s="1613">
        <f t="shared" si="6"/>
        <v>2045699.3300000019</v>
      </c>
      <c r="X48" s="1614" t="s">
        <v>887</v>
      </c>
      <c r="Y48" s="1615" t="s">
        <v>878</v>
      </c>
      <c r="Z48" s="1613" t="s">
        <v>1126</v>
      </c>
      <c r="AA48" s="1613" t="s">
        <v>1127</v>
      </c>
      <c r="AB48" s="1616"/>
      <c r="AC48" s="1616"/>
      <c r="AD48" s="1616"/>
      <c r="AE48" s="1613"/>
    </row>
    <row r="49" spans="2:31" ht="26.1" customHeight="1">
      <c r="B49" s="1607">
        <v>36</v>
      </c>
      <c r="C49" s="1608">
        <v>1500400026</v>
      </c>
      <c r="D49" s="1609" t="s">
        <v>782</v>
      </c>
      <c r="E49" s="847">
        <v>12912621.970000001</v>
      </c>
      <c r="F49" s="847">
        <v>0</v>
      </c>
      <c r="G49" s="847">
        <v>12912621.970000001</v>
      </c>
      <c r="H49" s="847">
        <f>[8]จังหวัด!G16</f>
        <v>12830437.449999999</v>
      </c>
      <c r="I49" s="847">
        <v>12707808.27</v>
      </c>
      <c r="J49" s="1610">
        <v>73.143061783714359</v>
      </c>
      <c r="K49" s="1611">
        <v>6.5664400000000001</v>
      </c>
      <c r="L49" s="847">
        <f>[8]จังหวัด!H16</f>
        <v>11354041.91</v>
      </c>
      <c r="M49" s="1777">
        <f t="shared" si="1"/>
        <v>88.493022582016494</v>
      </c>
      <c r="N49" s="847">
        <f>[8]จังหวัด!J16</f>
        <v>956000</v>
      </c>
      <c r="O49" s="1760">
        <f t="shared" si="0"/>
        <v>7.4510319989128675</v>
      </c>
      <c r="P49" s="847">
        <f t="shared" si="2"/>
        <v>12310041.91</v>
      </c>
      <c r="Q49" s="1610">
        <f t="shared" si="3"/>
        <v>95.944054580929361</v>
      </c>
      <c r="R49" s="1599"/>
      <c r="S49" s="1599">
        <f t="shared" si="4"/>
        <v>520395.53999999911</v>
      </c>
      <c r="T49" s="2588">
        <f t="shared" si="5"/>
        <v>22.800992797215002</v>
      </c>
      <c r="U49" s="1621">
        <v>317594</v>
      </c>
      <c r="V49" s="1620">
        <v>3547657.5700000003</v>
      </c>
      <c r="W49" s="1613">
        <f t="shared" si="6"/>
        <v>9282779.879999999</v>
      </c>
      <c r="X49" s="1614" t="s">
        <v>891</v>
      </c>
      <c r="Y49" s="1615" t="s">
        <v>986</v>
      </c>
      <c r="Z49" s="1613" t="s">
        <v>1086</v>
      </c>
      <c r="AA49" s="1613" t="s">
        <v>1087</v>
      </c>
      <c r="AB49" s="1616"/>
      <c r="AC49" s="1616"/>
      <c r="AD49" s="1616"/>
      <c r="AE49" s="1613"/>
    </row>
    <row r="50" spans="2:31" ht="26.1" customHeight="1">
      <c r="B50" s="1607">
        <v>37</v>
      </c>
      <c r="C50" s="1608">
        <v>1500400091</v>
      </c>
      <c r="D50" s="1609" t="s">
        <v>580</v>
      </c>
      <c r="E50" s="847">
        <v>22428150.010000002</v>
      </c>
      <c r="F50" s="847">
        <v>0</v>
      </c>
      <c r="G50" s="847">
        <v>22428150.010000002</v>
      </c>
      <c r="H50" s="847">
        <f>[8]จังหวัด!G81</f>
        <v>12590083.82</v>
      </c>
      <c r="I50" s="847">
        <v>21867450.73</v>
      </c>
      <c r="J50" s="1610">
        <v>86.91615169242499</v>
      </c>
      <c r="K50" s="1611">
        <v>6.5078199999999997</v>
      </c>
      <c r="L50" s="847">
        <f>[8]จังหวัด!H81</f>
        <v>10916460.859999999</v>
      </c>
      <c r="M50" s="1777">
        <f t="shared" si="1"/>
        <v>86.706816380830105</v>
      </c>
      <c r="N50" s="847">
        <f>[8]จังหวัด!J81</f>
        <v>1150700</v>
      </c>
      <c r="O50" s="1760">
        <f t="shared" si="0"/>
        <v>9.1397326376179748</v>
      </c>
      <c r="P50" s="847">
        <f t="shared" si="2"/>
        <v>12067160.859999999</v>
      </c>
      <c r="Q50" s="1610">
        <f t="shared" si="3"/>
        <v>95.846549018448073</v>
      </c>
      <c r="R50" s="1599"/>
      <c r="S50" s="1599">
        <f t="shared" si="4"/>
        <v>522922.96000000089</v>
      </c>
      <c r="T50" s="2588">
        <f t="shared" si="5"/>
        <v>8.9303973260230833</v>
      </c>
      <c r="U50" s="1621">
        <v>127360</v>
      </c>
      <c r="V50" s="1620">
        <v>12676115</v>
      </c>
      <c r="W50" s="1613">
        <f t="shared" si="6"/>
        <v>-86031.179999999702</v>
      </c>
      <c r="X50" s="1614" t="s">
        <v>891</v>
      </c>
      <c r="Y50" s="1615" t="s">
        <v>986</v>
      </c>
      <c r="Z50" s="1613" t="s">
        <v>1040</v>
      </c>
      <c r="AA50" s="1613" t="s">
        <v>1041</v>
      </c>
      <c r="AB50" s="1616"/>
      <c r="AC50" s="1616"/>
      <c r="AD50" s="1616"/>
      <c r="AE50" s="1613"/>
    </row>
    <row r="51" spans="2:31" ht="26.1" customHeight="1">
      <c r="B51" s="1607">
        <v>38</v>
      </c>
      <c r="C51" s="1608">
        <v>1500400069</v>
      </c>
      <c r="D51" s="1609" t="s">
        <v>566</v>
      </c>
      <c r="E51" s="847">
        <v>40459832.119999997</v>
      </c>
      <c r="F51" s="847">
        <v>0</v>
      </c>
      <c r="G51" s="847">
        <v>40459832.119999997</v>
      </c>
      <c r="H51" s="847">
        <f>[8]จังหวัด!G59</f>
        <v>22793703.129999999</v>
      </c>
      <c r="I51" s="847">
        <v>39456754.219999999</v>
      </c>
      <c r="J51" s="1610">
        <v>85.173630604690558</v>
      </c>
      <c r="K51" s="1611">
        <v>12.50436</v>
      </c>
      <c r="L51" s="847">
        <f>[8]จังหวัด!H59</f>
        <v>20746012.559999999</v>
      </c>
      <c r="M51" s="1777">
        <f t="shared" si="1"/>
        <v>91.016419937026711</v>
      </c>
      <c r="N51" s="847">
        <f>[8]จังหวัด!J59</f>
        <v>1077500</v>
      </c>
      <c r="O51" s="1760">
        <f t="shared" si="0"/>
        <v>4.7271827392620782</v>
      </c>
      <c r="P51" s="847">
        <f t="shared" si="2"/>
        <v>21823512.559999999</v>
      </c>
      <c r="Q51" s="1610">
        <f t="shared" si="3"/>
        <v>95.743602676288788</v>
      </c>
      <c r="R51" s="1599"/>
      <c r="S51" s="1599">
        <f t="shared" si="4"/>
        <v>970190.5700000003</v>
      </c>
      <c r="T51" s="2588">
        <f t="shared" si="5"/>
        <v>10.569972071598229</v>
      </c>
      <c r="U51" s="1612">
        <v>833712.71</v>
      </c>
      <c r="V51" s="1620">
        <v>21679558</v>
      </c>
      <c r="W51" s="1613">
        <f t="shared" si="6"/>
        <v>1114145.129999999</v>
      </c>
      <c r="X51" s="1614" t="s">
        <v>887</v>
      </c>
      <c r="Y51" s="1615" t="s">
        <v>878</v>
      </c>
      <c r="Z51" s="1613" t="s">
        <v>1092</v>
      </c>
      <c r="AA51" s="1619" t="s">
        <v>1093</v>
      </c>
      <c r="AB51" s="1616"/>
      <c r="AC51" s="1616"/>
      <c r="AD51" s="1616"/>
      <c r="AE51" s="1613"/>
    </row>
    <row r="52" spans="2:31" ht="26.1" customHeight="1">
      <c r="B52" s="1607">
        <v>39</v>
      </c>
      <c r="C52" s="1608">
        <v>1500400058</v>
      </c>
      <c r="D52" s="1609" t="s">
        <v>793</v>
      </c>
      <c r="E52" s="847">
        <v>38195410.18</v>
      </c>
      <c r="F52" s="847">
        <v>0</v>
      </c>
      <c r="G52" s="847">
        <v>38195410.18</v>
      </c>
      <c r="H52" s="847">
        <f>[8]จังหวัด!G48</f>
        <v>21333914.57</v>
      </c>
      <c r="I52" s="847">
        <v>46156978.869999997</v>
      </c>
      <c r="J52" s="1610">
        <v>74.145167892957659</v>
      </c>
      <c r="K52" s="1611">
        <v>11.11814</v>
      </c>
      <c r="L52" s="847">
        <f>[8]จังหวัด!H48</f>
        <v>18775032.739999998</v>
      </c>
      <c r="M52" s="1777">
        <f t="shared" si="1"/>
        <v>88.005568215791342</v>
      </c>
      <c r="N52" s="847">
        <f>[8]จังหวัด!J48</f>
        <v>1648768</v>
      </c>
      <c r="O52" s="1760">
        <f t="shared" si="0"/>
        <v>7.7283894364071219</v>
      </c>
      <c r="P52" s="847">
        <f t="shared" si="2"/>
        <v>20423800.739999998</v>
      </c>
      <c r="Q52" s="1610">
        <f t="shared" si="3"/>
        <v>95.73395765219847</v>
      </c>
      <c r="R52" s="1599"/>
      <c r="S52" s="1599">
        <f t="shared" si="4"/>
        <v>910113.83000000194</v>
      </c>
      <c r="T52" s="2588">
        <f t="shared" si="5"/>
        <v>21.588789759240811</v>
      </c>
      <c r="U52" s="1612">
        <v>13765.16</v>
      </c>
      <c r="V52" s="1620">
        <v>17741010</v>
      </c>
      <c r="W52" s="1613">
        <f t="shared" si="6"/>
        <v>3592904.5700000003</v>
      </c>
      <c r="X52" s="1614" t="s">
        <v>881</v>
      </c>
      <c r="Y52" s="1615" t="s">
        <v>877</v>
      </c>
      <c r="Z52" s="1613" t="s">
        <v>1004</v>
      </c>
      <c r="AA52" s="1613" t="s">
        <v>1005</v>
      </c>
      <c r="AB52" s="1616"/>
      <c r="AC52" s="1616"/>
      <c r="AD52" s="1616"/>
      <c r="AE52" s="1613"/>
    </row>
    <row r="53" spans="2:31" ht="26.1" customHeight="1">
      <c r="B53" s="1607">
        <v>40</v>
      </c>
      <c r="C53" s="1608">
        <v>1500400035</v>
      </c>
      <c r="D53" s="1609" t="s">
        <v>787</v>
      </c>
      <c r="E53" s="847">
        <v>33593473.869999997</v>
      </c>
      <c r="F53" s="847">
        <v>0</v>
      </c>
      <c r="G53" s="847">
        <v>33593473.869999997</v>
      </c>
      <c r="H53" s="847">
        <f>[8]จังหวัด!G25</f>
        <v>14361094.289999999</v>
      </c>
      <c r="I53" s="847">
        <v>20767819.030000001</v>
      </c>
      <c r="J53" s="1610">
        <v>75.047540282876213</v>
      </c>
      <c r="K53" s="1611">
        <v>5.5859399999999999</v>
      </c>
      <c r="L53" s="847">
        <f>[8]จังหวัด!H25</f>
        <v>13288895.91</v>
      </c>
      <c r="M53" s="1777">
        <f t="shared" si="1"/>
        <v>92.534006404048213</v>
      </c>
      <c r="N53" s="847">
        <f>[8]จังหวัด!J25</f>
        <v>427600</v>
      </c>
      <c r="O53" s="1760">
        <f t="shared" si="0"/>
        <v>2.9774889807509233</v>
      </c>
      <c r="P53" s="847">
        <f t="shared" si="2"/>
        <v>13716495.91</v>
      </c>
      <c r="Q53" s="1610">
        <f t="shared" si="3"/>
        <v>95.511495384799133</v>
      </c>
      <c r="R53" s="1599"/>
      <c r="S53" s="1599">
        <f t="shared" si="4"/>
        <v>644598.37999999896</v>
      </c>
      <c r="T53" s="2588">
        <f t="shared" si="5"/>
        <v>20.46395510192292</v>
      </c>
      <c r="U53" s="1612">
        <v>236116</v>
      </c>
      <c r="V53" s="1620">
        <v>23884563.859999999</v>
      </c>
      <c r="W53" s="1613">
        <f t="shared" si="6"/>
        <v>-9523469.5700000003</v>
      </c>
      <c r="X53" s="1614" t="s">
        <v>890</v>
      </c>
      <c r="Y53" s="1615" t="s">
        <v>873</v>
      </c>
      <c r="Z53" s="1613" t="s">
        <v>991</v>
      </c>
      <c r="AA53" s="1613" t="s">
        <v>992</v>
      </c>
      <c r="AB53" s="1616"/>
      <c r="AC53" s="1630"/>
      <c r="AD53" s="1616"/>
      <c r="AE53" s="1613"/>
    </row>
    <row r="54" spans="2:31" ht="26.1" customHeight="1">
      <c r="B54" s="1607">
        <v>41</v>
      </c>
      <c r="C54" s="1608">
        <v>1500400034</v>
      </c>
      <c r="D54" s="1609" t="s">
        <v>543</v>
      </c>
      <c r="E54" s="847">
        <v>20705560.489999998</v>
      </c>
      <c r="F54" s="847">
        <v>0</v>
      </c>
      <c r="G54" s="847">
        <v>20705560.489999998</v>
      </c>
      <c r="H54" s="847">
        <f>[8]จังหวัด!G24</f>
        <v>12878653.68</v>
      </c>
      <c r="I54" s="847">
        <v>16696652.9</v>
      </c>
      <c r="J54" s="1610">
        <v>75.134300933668371</v>
      </c>
      <c r="K54" s="1611">
        <v>5.5976800000000004</v>
      </c>
      <c r="L54" s="847">
        <f>[8]จังหวัด!H24</f>
        <v>11165968.130000001</v>
      </c>
      <c r="M54" s="1777">
        <f t="shared" si="1"/>
        <v>86.701361861607268</v>
      </c>
      <c r="N54" s="847">
        <f>[8]จังหวัด!J24</f>
        <v>1131800</v>
      </c>
      <c r="O54" s="1760">
        <f t="shared" si="0"/>
        <v>8.7881856917826529</v>
      </c>
      <c r="P54" s="847">
        <f t="shared" si="2"/>
        <v>12297768.130000001</v>
      </c>
      <c r="Q54" s="1610">
        <f t="shared" si="3"/>
        <v>95.489547553389926</v>
      </c>
      <c r="R54" s="1599"/>
      <c r="S54" s="1599">
        <f t="shared" si="4"/>
        <v>580885.54999999888</v>
      </c>
      <c r="T54" s="2588">
        <f t="shared" si="5"/>
        <v>20.355246619721555</v>
      </c>
      <c r="U54" s="1612">
        <v>6975</v>
      </c>
      <c r="V54" s="1620">
        <v>16723245</v>
      </c>
      <c r="W54" s="1613">
        <f t="shared" si="6"/>
        <v>-3844591.3200000003</v>
      </c>
      <c r="X54" s="1614" t="s">
        <v>880</v>
      </c>
      <c r="Y54" s="1615" t="s">
        <v>1010</v>
      </c>
      <c r="Z54" s="1613" t="s">
        <v>1042</v>
      </c>
      <c r="AA54" s="1613" t="s">
        <v>1043</v>
      </c>
      <c r="AB54" s="1616"/>
      <c r="AC54" s="1616"/>
      <c r="AD54" s="1616"/>
      <c r="AE54" s="1613"/>
    </row>
    <row r="55" spans="2:31" ht="26.1" customHeight="1">
      <c r="B55" s="1607">
        <v>42</v>
      </c>
      <c r="C55" s="1608">
        <v>1500400030</v>
      </c>
      <c r="D55" s="1609" t="s">
        <v>784</v>
      </c>
      <c r="E55" s="847">
        <v>11775196.32</v>
      </c>
      <c r="F55" s="847">
        <v>0</v>
      </c>
      <c r="G55" s="847">
        <v>11775196.32</v>
      </c>
      <c r="H55" s="847">
        <f>[8]จังหวัด!G20</f>
        <v>9806277.5199999996</v>
      </c>
      <c r="I55" s="847">
        <v>11289999.15</v>
      </c>
      <c r="J55" s="1610">
        <v>75.770512073105181</v>
      </c>
      <c r="K55" s="1611">
        <v>4.6299200000000003</v>
      </c>
      <c r="L55" s="847">
        <f>[8]จังหวัด!H20</f>
        <v>7730754.04</v>
      </c>
      <c r="M55" s="1777">
        <f t="shared" si="1"/>
        <v>78.834746663380173</v>
      </c>
      <c r="N55" s="847">
        <f>[8]จังหวัด!J20</f>
        <v>1622255</v>
      </c>
      <c r="O55" s="1760">
        <f t="shared" si="0"/>
        <v>16.543025594486746</v>
      </c>
      <c r="P55" s="847">
        <f t="shared" si="2"/>
        <v>9353009.0399999991</v>
      </c>
      <c r="Q55" s="1610">
        <f t="shared" si="3"/>
        <v>95.377772257866908</v>
      </c>
      <c r="R55" s="1599"/>
      <c r="S55" s="1599">
        <f t="shared" si="4"/>
        <v>453268.48000000045</v>
      </c>
      <c r="T55" s="2588">
        <f t="shared" si="5"/>
        <v>19.607260184761728</v>
      </c>
      <c r="U55" s="1612"/>
      <c r="V55" s="1620">
        <v>8396302</v>
      </c>
      <c r="W55" s="1613">
        <f t="shared" si="6"/>
        <v>1409975.5199999996</v>
      </c>
      <c r="X55" s="1614" t="s">
        <v>872</v>
      </c>
      <c r="Y55" s="1615" t="s">
        <v>873</v>
      </c>
      <c r="Z55" s="1613" t="s">
        <v>981</v>
      </c>
      <c r="AA55" s="1613" t="s">
        <v>982</v>
      </c>
      <c r="AB55" s="1616"/>
      <c r="AC55" s="1616"/>
      <c r="AD55" s="1616"/>
      <c r="AE55" s="1613"/>
    </row>
    <row r="56" spans="2:31" ht="26.1" customHeight="1">
      <c r="B56" s="2599">
        <v>43</v>
      </c>
      <c r="C56" s="1623">
        <v>1500400055</v>
      </c>
      <c r="D56" s="1624" t="s">
        <v>558</v>
      </c>
      <c r="E56" s="1625">
        <v>64148745.18</v>
      </c>
      <c r="F56" s="1625">
        <v>0</v>
      </c>
      <c r="G56" s="1625">
        <v>64148745.18</v>
      </c>
      <c r="H56" s="1625">
        <f>[8]จังหวัด!G45</f>
        <v>34174235.039999999</v>
      </c>
      <c r="I56" s="1625">
        <v>64780860.729999997</v>
      </c>
      <c r="J56" s="1626">
        <v>80.211302075031455</v>
      </c>
      <c r="K56" s="1627">
        <v>18.02186</v>
      </c>
      <c r="L56" s="1625">
        <f>[8]จังหวัด!H45</f>
        <v>29508816.510000002</v>
      </c>
      <c r="M56" s="1684">
        <f t="shared" si="1"/>
        <v>86.348140566894173</v>
      </c>
      <c r="N56" s="1625">
        <f>[8]จังหวัด!J45</f>
        <v>3079000</v>
      </c>
      <c r="O56" s="1685">
        <f t="shared" si="0"/>
        <v>9.0097115455433467</v>
      </c>
      <c r="P56" s="1625">
        <f t="shared" si="2"/>
        <v>32587816.510000002</v>
      </c>
      <c r="Q56" s="1626">
        <f t="shared" si="3"/>
        <v>95.357852112437513</v>
      </c>
      <c r="R56" s="1628"/>
      <c r="S56" s="1628">
        <f t="shared" si="4"/>
        <v>1586418.5299999975</v>
      </c>
      <c r="T56" s="2588">
        <f t="shared" si="5"/>
        <v>15.146550037406058</v>
      </c>
      <c r="U56" s="1612">
        <v>3750</v>
      </c>
      <c r="V56" s="1601">
        <v>7428331.2400000002</v>
      </c>
      <c r="W56" s="1613">
        <f t="shared" si="6"/>
        <v>26745903.799999997</v>
      </c>
      <c r="X56" s="1614" t="s">
        <v>882</v>
      </c>
      <c r="Y56" s="1615" t="s">
        <v>885</v>
      </c>
      <c r="Z56" s="1613" t="s">
        <v>989</v>
      </c>
      <c r="AA56" s="1613" t="s">
        <v>990</v>
      </c>
      <c r="AB56" s="1616"/>
      <c r="AC56" s="1616"/>
      <c r="AD56" s="1616"/>
      <c r="AE56" s="1613"/>
    </row>
    <row r="57" spans="2:31" ht="26.1" customHeight="1">
      <c r="B57" s="1882">
        <v>44</v>
      </c>
      <c r="C57" s="1883">
        <v>1500400085</v>
      </c>
      <c r="D57" s="1884" t="s">
        <v>576</v>
      </c>
      <c r="E57" s="1885">
        <v>48221343</v>
      </c>
      <c r="F57" s="1885">
        <v>0</v>
      </c>
      <c r="G57" s="1885">
        <v>48221343</v>
      </c>
      <c r="H57" s="1885">
        <f>[8]จังหวัด!G75</f>
        <v>34036070.810000002</v>
      </c>
      <c r="I57" s="1885">
        <v>43001366.689999998</v>
      </c>
      <c r="J57" s="1886">
        <v>72.101404308188194</v>
      </c>
      <c r="K57" s="1887">
        <v>16.880019999999998</v>
      </c>
      <c r="L57" s="1885">
        <f>[8]จังหวัด!H75</f>
        <v>30442696.52</v>
      </c>
      <c r="M57" s="1888">
        <f t="shared" si="1"/>
        <v>89.442452655421533</v>
      </c>
      <c r="N57" s="1885">
        <f>[8]จังหวัด!J75</f>
        <v>1984799</v>
      </c>
      <c r="O57" s="1889">
        <f t="shared" si="0"/>
        <v>5.8314574883798107</v>
      </c>
      <c r="P57" s="1885">
        <f t="shared" si="2"/>
        <v>32427495.52</v>
      </c>
      <c r="Q57" s="1886">
        <f t="shared" si="3"/>
        <v>95.273910143801345</v>
      </c>
      <c r="R57" s="1890"/>
      <c r="S57" s="1890">
        <f t="shared" si="4"/>
        <v>1608575.2900000028</v>
      </c>
      <c r="T57" s="2588">
        <f t="shared" si="5"/>
        <v>23.172505835613151</v>
      </c>
      <c r="U57" s="1612">
        <v>166146.76999999999</v>
      </c>
      <c r="V57" s="1620">
        <v>17856469</v>
      </c>
      <c r="W57" s="1613">
        <f t="shared" si="6"/>
        <v>16179601.810000002</v>
      </c>
      <c r="X57" s="1614">
        <v>3</v>
      </c>
      <c r="Y57" s="1615" t="s">
        <v>986</v>
      </c>
      <c r="Z57" s="1613" t="s">
        <v>987</v>
      </c>
      <c r="AA57" s="1619" t="s">
        <v>988</v>
      </c>
      <c r="AB57" s="1616"/>
      <c r="AC57" s="1617"/>
      <c r="AD57" s="1617"/>
      <c r="AE57" s="1619"/>
    </row>
    <row r="58" spans="2:31" ht="26.1" customHeight="1">
      <c r="B58" s="1607">
        <v>45</v>
      </c>
      <c r="C58" s="1608">
        <v>1500400027</v>
      </c>
      <c r="D58" s="1609" t="s">
        <v>339</v>
      </c>
      <c r="E58" s="847">
        <v>43731243.439999998</v>
      </c>
      <c r="F58" s="847">
        <v>0</v>
      </c>
      <c r="G58" s="847">
        <v>43731243.439999998</v>
      </c>
      <c r="H58" s="847">
        <f>[8]จังหวัด!G17</f>
        <v>23208398.760000002</v>
      </c>
      <c r="I58" s="847">
        <v>40994483.240000002</v>
      </c>
      <c r="J58" s="1610">
        <v>76.79182429949087</v>
      </c>
      <c r="K58" s="1611">
        <v>10.63212</v>
      </c>
      <c r="L58" s="847">
        <f>[8]จังหวัด!H17</f>
        <v>20898166.399999999</v>
      </c>
      <c r="M58" s="1777">
        <f t="shared" si="1"/>
        <v>90.045705505621868</v>
      </c>
      <c r="N58" s="847">
        <f>[8]จังหวัด!J17</f>
        <v>1180500</v>
      </c>
      <c r="O58" s="1760">
        <f t="shared" si="0"/>
        <v>5.0865206695543694</v>
      </c>
      <c r="P58" s="847">
        <f t="shared" si="2"/>
        <v>22078666.399999999</v>
      </c>
      <c r="Q58" s="1610">
        <f t="shared" si="3"/>
        <v>95.132226175176243</v>
      </c>
      <c r="R58" s="1599"/>
      <c r="S58" s="1599">
        <f t="shared" si="4"/>
        <v>1129732.3600000031</v>
      </c>
      <c r="T58" s="2588">
        <f t="shared" si="5"/>
        <v>18.340401875685373</v>
      </c>
      <c r="U58" s="1612">
        <v>1000</v>
      </c>
      <c r="V58" s="1620">
        <v>8676486.4600000009</v>
      </c>
      <c r="W58" s="1613">
        <f t="shared" si="6"/>
        <v>14531912.300000001</v>
      </c>
      <c r="X58" s="1614" t="s">
        <v>886</v>
      </c>
      <c r="Y58" s="1615" t="s">
        <v>875</v>
      </c>
      <c r="Z58" s="1613" t="s">
        <v>1002</v>
      </c>
      <c r="AA58" s="1613" t="s">
        <v>1003</v>
      </c>
      <c r="AB58" s="1616"/>
      <c r="AC58" s="1616"/>
      <c r="AD58" s="1616"/>
      <c r="AE58" s="1613"/>
    </row>
    <row r="59" spans="2:31" ht="26.1" customHeight="1">
      <c r="B59" s="1607">
        <v>46</v>
      </c>
      <c r="C59" s="1608">
        <v>1500400046</v>
      </c>
      <c r="D59" s="1609" t="s">
        <v>552</v>
      </c>
      <c r="E59" s="847">
        <v>21606432.260000002</v>
      </c>
      <c r="F59" s="847">
        <v>0</v>
      </c>
      <c r="G59" s="847">
        <v>21606432.260000002</v>
      </c>
      <c r="H59" s="847">
        <f>[8]จังหวัด!G36</f>
        <v>18544447.379999999</v>
      </c>
      <c r="I59" s="847">
        <v>31074681.800000001</v>
      </c>
      <c r="J59" s="1610">
        <v>81.887517784859753</v>
      </c>
      <c r="K59" s="1611">
        <v>10.317159999999999</v>
      </c>
      <c r="L59" s="847">
        <f>[8]จังหวัด!H36</f>
        <v>15470325.25</v>
      </c>
      <c r="M59" s="1777">
        <f t="shared" si="1"/>
        <v>83.422950994401646</v>
      </c>
      <c r="N59" s="847">
        <f>[8]จังหวัด!J36</f>
        <v>2158050</v>
      </c>
      <c r="O59" s="1760">
        <f t="shared" si="0"/>
        <v>11.637176108722633</v>
      </c>
      <c r="P59" s="847">
        <f t="shared" si="2"/>
        <v>17628375.25</v>
      </c>
      <c r="Q59" s="1610">
        <f t="shared" si="3"/>
        <v>95.060127103124287</v>
      </c>
      <c r="R59" s="1599"/>
      <c r="S59" s="1599">
        <f t="shared" si="4"/>
        <v>916072.12999999896</v>
      </c>
      <c r="T59" s="2588">
        <f t="shared" si="5"/>
        <v>13.172609318264534</v>
      </c>
      <c r="U59" s="1612">
        <v>43144</v>
      </c>
      <c r="V59" s="1620">
        <v>14482585</v>
      </c>
      <c r="W59" s="1613">
        <f t="shared" si="6"/>
        <v>4061862.379999999</v>
      </c>
      <c r="X59" s="1614" t="s">
        <v>872</v>
      </c>
      <c r="Y59" s="1615" t="s">
        <v>873</v>
      </c>
      <c r="Z59" s="1613" t="s">
        <v>1120</v>
      </c>
      <c r="AA59" s="1613" t="s">
        <v>1121</v>
      </c>
      <c r="AB59" s="1616"/>
      <c r="AC59" s="2610"/>
      <c r="AD59" s="1617"/>
      <c r="AE59" s="1619"/>
    </row>
    <row r="60" spans="2:31" ht="26.1" customHeight="1">
      <c r="B60" s="1607">
        <v>47</v>
      </c>
      <c r="C60" s="1608">
        <v>1500400053</v>
      </c>
      <c r="D60" s="1609" t="s">
        <v>556</v>
      </c>
      <c r="E60" s="847">
        <v>24723096.02</v>
      </c>
      <c r="F60" s="847">
        <v>0</v>
      </c>
      <c r="G60" s="847">
        <v>24723096.02</v>
      </c>
      <c r="H60" s="847">
        <f>[8]จังหวัด!G43</f>
        <v>15522587.66</v>
      </c>
      <c r="I60" s="847">
        <v>23903281.309999999</v>
      </c>
      <c r="J60" s="1610">
        <v>66.861026555527502</v>
      </c>
      <c r="K60" s="1611">
        <v>7.2804599999999997</v>
      </c>
      <c r="L60" s="847">
        <f>[8]จังหวัด!H43</f>
        <v>13798541.789999999</v>
      </c>
      <c r="M60" s="1777">
        <f t="shared" si="1"/>
        <v>88.893308849254055</v>
      </c>
      <c r="N60" s="847">
        <f>[8]จังหวัด!J43</f>
        <v>950900</v>
      </c>
      <c r="O60" s="1760">
        <f t="shared" si="0"/>
        <v>6.1259116123426036</v>
      </c>
      <c r="P60" s="847">
        <f t="shared" si="2"/>
        <v>14749441.789999999</v>
      </c>
      <c r="Q60" s="1610">
        <f t="shared" si="3"/>
        <v>95.01922046159666</v>
      </c>
      <c r="R60" s="1599"/>
      <c r="S60" s="1599">
        <f t="shared" si="4"/>
        <v>773145.87000000104</v>
      </c>
      <c r="T60" s="2588">
        <f t="shared" si="5"/>
        <v>28.158193906069158</v>
      </c>
      <c r="U60" s="1612">
        <v>176967.74</v>
      </c>
      <c r="V60" s="1620">
        <v>15460019.460000001</v>
      </c>
      <c r="W60" s="1613">
        <f t="shared" si="6"/>
        <v>62568.199999999255</v>
      </c>
      <c r="X60" s="1614" t="s">
        <v>879</v>
      </c>
      <c r="Y60" s="1615" t="s">
        <v>878</v>
      </c>
      <c r="Z60" s="1613" t="s">
        <v>1050</v>
      </c>
      <c r="AA60" s="1613" t="s">
        <v>1051</v>
      </c>
      <c r="AB60" s="1616"/>
      <c r="AC60" s="1616"/>
      <c r="AD60" s="1616"/>
      <c r="AE60" s="1613"/>
    </row>
    <row r="61" spans="2:31" ht="26.1" customHeight="1">
      <c r="B61" s="1607">
        <v>48</v>
      </c>
      <c r="C61" s="1608">
        <v>1500400075</v>
      </c>
      <c r="D61" s="1609" t="s">
        <v>572</v>
      </c>
      <c r="E61" s="847">
        <v>30433253.100000001</v>
      </c>
      <c r="F61" s="847">
        <v>0</v>
      </c>
      <c r="G61" s="847">
        <v>30433253.100000001</v>
      </c>
      <c r="H61" s="847">
        <f>[8]จังหวัด!G65</f>
        <v>16427362.34</v>
      </c>
      <c r="I61" s="847">
        <v>25565687.690000001</v>
      </c>
      <c r="J61" s="1610">
        <v>79.26399367530216</v>
      </c>
      <c r="K61" s="1611">
        <v>8.6704600000000003</v>
      </c>
      <c r="L61" s="847">
        <f>[8]จังหวัด!H65</f>
        <v>14686642.529999999</v>
      </c>
      <c r="M61" s="1777">
        <f t="shared" si="1"/>
        <v>89.403534335141472</v>
      </c>
      <c r="N61" s="847">
        <f>[8]จังหวัด!J65</f>
        <v>902800</v>
      </c>
      <c r="O61" s="1760">
        <f t="shared" si="0"/>
        <v>5.4957088138350523</v>
      </c>
      <c r="P61" s="847">
        <f t="shared" si="2"/>
        <v>15589442.529999999</v>
      </c>
      <c r="Q61" s="1610">
        <f t="shared" si="3"/>
        <v>94.899243148976524</v>
      </c>
      <c r="R61" s="1599"/>
      <c r="S61" s="1599">
        <f t="shared" si="4"/>
        <v>837919.81000000052</v>
      </c>
      <c r="T61" s="2588">
        <f t="shared" si="5"/>
        <v>15.635249473674364</v>
      </c>
      <c r="U61" s="1612">
        <v>500</v>
      </c>
      <c r="V61" s="1620">
        <v>30356729.399999999</v>
      </c>
      <c r="W61" s="1613">
        <f t="shared" si="6"/>
        <v>-13929367.059999999</v>
      </c>
      <c r="X61" s="1614" t="s">
        <v>876</v>
      </c>
      <c r="Y61" s="1615" t="s">
        <v>1031</v>
      </c>
      <c r="Z61" s="1613" t="s">
        <v>1032</v>
      </c>
      <c r="AA61" s="1613" t="s">
        <v>1033</v>
      </c>
      <c r="AB61" s="1616"/>
      <c r="AC61" s="1616"/>
      <c r="AD61" s="1616"/>
      <c r="AE61" s="1613"/>
    </row>
    <row r="62" spans="2:31" ht="26.1" customHeight="1">
      <c r="B62" s="1607">
        <v>49</v>
      </c>
      <c r="C62" s="1608">
        <v>1500400071</v>
      </c>
      <c r="D62" s="1609" t="s">
        <v>568</v>
      </c>
      <c r="E62" s="847">
        <v>29535405.43</v>
      </c>
      <c r="F62" s="847">
        <v>0</v>
      </c>
      <c r="G62" s="847">
        <v>29535405.43</v>
      </c>
      <c r="H62" s="847">
        <f>[8]จังหวัด!G61</f>
        <v>17200714.109999999</v>
      </c>
      <c r="I62" s="847">
        <v>28490184.960000001</v>
      </c>
      <c r="J62" s="1610">
        <v>81.096361492611962</v>
      </c>
      <c r="K62" s="1611">
        <v>7.80776</v>
      </c>
      <c r="L62" s="847">
        <f>[8]จังหวัด!H61</f>
        <v>14706659.699999999</v>
      </c>
      <c r="M62" s="1777">
        <f t="shared" si="1"/>
        <v>85.500285662267771</v>
      </c>
      <c r="N62" s="847">
        <f>[8]จังหวัด!J61</f>
        <v>1588984</v>
      </c>
      <c r="O62" s="1760">
        <f t="shared" si="0"/>
        <v>9.237895530605968</v>
      </c>
      <c r="P62" s="847">
        <f t="shared" si="2"/>
        <v>16295643.699999999</v>
      </c>
      <c r="Q62" s="1610">
        <f t="shared" si="3"/>
        <v>94.738181192873739</v>
      </c>
      <c r="R62" s="1599"/>
      <c r="S62" s="1599">
        <f t="shared" si="4"/>
        <v>905070.41000000015</v>
      </c>
      <c r="T62" s="2588">
        <f t="shared" si="5"/>
        <v>13.641819700261777</v>
      </c>
      <c r="U62" s="1612">
        <v>857000</v>
      </c>
      <c r="V62" s="1620">
        <v>43083785</v>
      </c>
      <c r="W62" s="1613">
        <f t="shared" si="6"/>
        <v>-25883070.890000001</v>
      </c>
      <c r="X62" s="1614" t="s">
        <v>886</v>
      </c>
      <c r="Y62" s="1615" t="s">
        <v>875</v>
      </c>
      <c r="Z62" s="1613" t="s">
        <v>1124</v>
      </c>
      <c r="AA62" s="1613" t="s">
        <v>1125</v>
      </c>
      <c r="AB62" s="1616"/>
      <c r="AC62" s="1616"/>
      <c r="AD62" s="1616"/>
      <c r="AE62" s="1613"/>
    </row>
    <row r="63" spans="2:31" ht="26.1" customHeight="1">
      <c r="B63" s="1607">
        <v>50</v>
      </c>
      <c r="C63" s="1608">
        <v>1500400080</v>
      </c>
      <c r="D63" s="1609" t="s">
        <v>574</v>
      </c>
      <c r="E63" s="847">
        <v>26759868.699999999</v>
      </c>
      <c r="F63" s="847">
        <v>0</v>
      </c>
      <c r="G63" s="847">
        <v>26759868.699999999</v>
      </c>
      <c r="H63" s="847">
        <f>[8]จังหวัด!G70</f>
        <v>12554357.32</v>
      </c>
      <c r="I63" s="847">
        <v>22701040.25</v>
      </c>
      <c r="J63" s="1610">
        <v>67.973871831406171</v>
      </c>
      <c r="K63" s="1611">
        <v>6.3614199999999999</v>
      </c>
      <c r="L63" s="847">
        <f>[8]จังหวัด!H70</f>
        <v>11029828.82</v>
      </c>
      <c r="M63" s="1777">
        <f t="shared" si="1"/>
        <v>87.8565787069696</v>
      </c>
      <c r="N63" s="847">
        <f>[8]จังหวัด!J70</f>
        <v>844800</v>
      </c>
      <c r="O63" s="1760">
        <f t="shared" si="0"/>
        <v>6.7291377683999203</v>
      </c>
      <c r="P63" s="847">
        <f t="shared" si="2"/>
        <v>11874628.82</v>
      </c>
      <c r="Q63" s="1610">
        <f t="shared" si="3"/>
        <v>94.585716475369537</v>
      </c>
      <c r="R63" s="1599"/>
      <c r="S63" s="1599">
        <f t="shared" si="4"/>
        <v>679728.5</v>
      </c>
      <c r="T63" s="2588">
        <f t="shared" si="5"/>
        <v>26.611844643963366</v>
      </c>
      <c r="U63" s="1612">
        <v>38300</v>
      </c>
      <c r="V63" s="1601">
        <v>9880550</v>
      </c>
      <c r="W63" s="1613">
        <f t="shared" si="6"/>
        <v>2673807.3200000003</v>
      </c>
      <c r="X63" s="1614" t="s">
        <v>879</v>
      </c>
      <c r="Y63" s="1615" t="s">
        <v>878</v>
      </c>
      <c r="Z63" s="1613" t="s">
        <v>1019</v>
      </c>
      <c r="AA63" s="1613" t="s">
        <v>1020</v>
      </c>
      <c r="AB63" s="1617"/>
      <c r="AC63" s="1616"/>
      <c r="AD63" s="1616"/>
      <c r="AE63" s="1613"/>
    </row>
    <row r="64" spans="2:31" ht="26.1" customHeight="1">
      <c r="B64" s="1607">
        <v>51</v>
      </c>
      <c r="C64" s="1608">
        <v>1500400061</v>
      </c>
      <c r="D64" s="1609" t="s">
        <v>357</v>
      </c>
      <c r="E64" s="847">
        <v>16951033.829999998</v>
      </c>
      <c r="F64" s="847">
        <v>0</v>
      </c>
      <c r="G64" s="847">
        <v>16951033.829999998</v>
      </c>
      <c r="H64" s="847">
        <f>[8]จังหวัด!G51</f>
        <v>12366631.449999999</v>
      </c>
      <c r="I64" s="847">
        <v>14486192.82</v>
      </c>
      <c r="J64" s="1610">
        <v>79.949894060487679</v>
      </c>
      <c r="K64" s="1611">
        <v>5.64086</v>
      </c>
      <c r="L64" s="847">
        <f>[8]จังหวัด!H51</f>
        <v>11023138.470000001</v>
      </c>
      <c r="M64" s="1777">
        <f t="shared" si="1"/>
        <v>89.136144426783261</v>
      </c>
      <c r="N64" s="847">
        <f>[8]จังหวัด!J51</f>
        <v>668190</v>
      </c>
      <c r="O64" s="1760">
        <f t="shared" si="0"/>
        <v>5.4031690254665108</v>
      </c>
      <c r="P64" s="847">
        <f t="shared" si="2"/>
        <v>11691328.470000001</v>
      </c>
      <c r="Q64" s="1610">
        <f t="shared" si="3"/>
        <v>94.539313452249772</v>
      </c>
      <c r="R64" s="1599"/>
      <c r="S64" s="1599">
        <f t="shared" si="4"/>
        <v>675302.97999999858</v>
      </c>
      <c r="T64" s="2588">
        <f t="shared" si="5"/>
        <v>14.589419391762092</v>
      </c>
      <c r="U64" s="1612"/>
      <c r="V64" s="1620">
        <v>36139465</v>
      </c>
      <c r="W64" s="1613">
        <f t="shared" si="6"/>
        <v>-23772833.550000001</v>
      </c>
      <c r="X64" s="1614" t="s">
        <v>893</v>
      </c>
      <c r="Y64" s="1615" t="s">
        <v>888</v>
      </c>
      <c r="Z64" s="1619" t="s">
        <v>1025</v>
      </c>
      <c r="AA64" s="1613" t="s">
        <v>1026</v>
      </c>
      <c r="AB64" s="1616"/>
      <c r="AC64" s="1616"/>
      <c r="AD64" s="1616"/>
      <c r="AE64" s="1613"/>
    </row>
    <row r="65" spans="2:31" ht="25.5" customHeight="1">
      <c r="B65" s="1607">
        <v>52</v>
      </c>
      <c r="C65" s="1608">
        <v>1500400037</v>
      </c>
      <c r="D65" s="1609" t="s">
        <v>545</v>
      </c>
      <c r="E65" s="847">
        <v>34260574.979999997</v>
      </c>
      <c r="F65" s="847">
        <v>0</v>
      </c>
      <c r="G65" s="847">
        <v>34260574.979999997</v>
      </c>
      <c r="H65" s="847">
        <f>[8]จังหวัด!G27</f>
        <v>15455747.34</v>
      </c>
      <c r="I65" s="847">
        <v>28212890.449999999</v>
      </c>
      <c r="J65" s="1610">
        <v>84.552007343430745</v>
      </c>
      <c r="K65" s="1611">
        <v>7.0041200000000003</v>
      </c>
      <c r="L65" s="847">
        <f>[8]จังหวัด!H27</f>
        <v>13515663.529999999</v>
      </c>
      <c r="M65" s="1777">
        <f t="shared" si="1"/>
        <v>87.447492720206426</v>
      </c>
      <c r="N65" s="847">
        <f>[8]จังหวัด!J27</f>
        <v>1075950</v>
      </c>
      <c r="O65" s="1760">
        <f t="shared" si="0"/>
        <v>6.961488023393116</v>
      </c>
      <c r="P65" s="847">
        <f t="shared" si="2"/>
        <v>14591613.529999999</v>
      </c>
      <c r="Q65" s="1610">
        <f t="shared" si="3"/>
        <v>94.408980743599543</v>
      </c>
      <c r="R65" s="1599"/>
      <c r="S65" s="1599">
        <f t="shared" si="4"/>
        <v>864133.81000000052</v>
      </c>
      <c r="T65" s="2588">
        <f t="shared" si="5"/>
        <v>9.8569734001687976</v>
      </c>
      <c r="U65" s="1621">
        <v>294630.46999999997</v>
      </c>
      <c r="V65" s="1620">
        <v>8568220</v>
      </c>
      <c r="W65" s="1613">
        <f t="shared" si="6"/>
        <v>6887527.3399999999</v>
      </c>
      <c r="X65" s="1614" t="s">
        <v>890</v>
      </c>
      <c r="Y65" s="1615" t="s">
        <v>873</v>
      </c>
      <c r="Z65" s="1613" t="s">
        <v>1036</v>
      </c>
      <c r="AA65" s="1613" t="s">
        <v>1037</v>
      </c>
      <c r="AB65" s="1616"/>
      <c r="AC65" s="1616"/>
      <c r="AD65" s="1616"/>
      <c r="AE65" s="1613"/>
    </row>
    <row r="66" spans="2:31" ht="26.1" customHeight="1">
      <c r="B66" s="1607">
        <v>53</v>
      </c>
      <c r="C66" s="1608">
        <v>1500400078</v>
      </c>
      <c r="D66" s="1609" t="s">
        <v>797</v>
      </c>
      <c r="E66" s="847">
        <v>34860822.759999998</v>
      </c>
      <c r="F66" s="847">
        <v>0</v>
      </c>
      <c r="G66" s="847">
        <v>34860822.759999998</v>
      </c>
      <c r="H66" s="847">
        <f>[8]จังหวัด!G68</f>
        <v>19408426.920000002</v>
      </c>
      <c r="I66" s="847">
        <v>31344353.329999998</v>
      </c>
      <c r="J66" s="1610">
        <v>84.127328418661122</v>
      </c>
      <c r="K66" s="1611">
        <v>9.2863399999999992</v>
      </c>
      <c r="L66" s="847">
        <f>[8]จังหวัด!H68</f>
        <v>16875299.559999999</v>
      </c>
      <c r="M66" s="1777">
        <f t="shared" si="1"/>
        <v>86.948311831549489</v>
      </c>
      <c r="N66" s="847">
        <f>[8]จังหวัด!J68</f>
        <v>1412400</v>
      </c>
      <c r="O66" s="1760">
        <f t="shared" si="0"/>
        <v>7.2772512982211328</v>
      </c>
      <c r="P66" s="847">
        <f t="shared" si="2"/>
        <v>18287699.559999999</v>
      </c>
      <c r="Q66" s="1610">
        <f t="shared" si="3"/>
        <v>94.225563129770634</v>
      </c>
      <c r="R66" s="1599"/>
      <c r="S66" s="1599">
        <f t="shared" si="4"/>
        <v>1120727.3600000031</v>
      </c>
      <c r="T66" s="2588">
        <f t="shared" si="5"/>
        <v>10.098234711109512</v>
      </c>
      <c r="U66" s="1621">
        <v>111105.16</v>
      </c>
      <c r="V66" s="1620">
        <v>5070995.71</v>
      </c>
      <c r="W66" s="1613">
        <f t="shared" si="6"/>
        <v>14337431.210000001</v>
      </c>
      <c r="X66" s="1614" t="s">
        <v>890</v>
      </c>
      <c r="Y66" s="1615" t="s">
        <v>873</v>
      </c>
      <c r="Z66" s="1613" t="s">
        <v>993</v>
      </c>
      <c r="AA66" s="1613" t="s">
        <v>994</v>
      </c>
      <c r="AB66" s="1616"/>
      <c r="AC66" s="1616"/>
      <c r="AD66" s="1616"/>
      <c r="AE66" s="1613"/>
    </row>
    <row r="67" spans="2:31" ht="26.1" customHeight="1">
      <c r="B67" s="1607">
        <v>54</v>
      </c>
      <c r="C67" s="1608">
        <v>1500400036</v>
      </c>
      <c r="D67" s="1609" t="s">
        <v>544</v>
      </c>
      <c r="E67" s="847">
        <v>12415738.550000001</v>
      </c>
      <c r="F67" s="847">
        <v>0</v>
      </c>
      <c r="G67" s="847">
        <v>12415738.550000001</v>
      </c>
      <c r="H67" s="847">
        <f>[8]จังหวัด!G26</f>
        <v>9774520.4499999993</v>
      </c>
      <c r="I67" s="847">
        <v>13694290.77</v>
      </c>
      <c r="J67" s="1610">
        <v>78.647792148671016</v>
      </c>
      <c r="K67" s="1611">
        <v>4.2154999999999996</v>
      </c>
      <c r="L67" s="847">
        <f>[8]จังหวัด!H26</f>
        <v>8394547.2699999996</v>
      </c>
      <c r="M67" s="1777">
        <f t="shared" si="1"/>
        <v>85.881934698903834</v>
      </c>
      <c r="N67" s="847">
        <f>[8]จังหวัด!J26</f>
        <v>813500</v>
      </c>
      <c r="O67" s="1760">
        <f t="shared" si="0"/>
        <v>8.3226589392423858</v>
      </c>
      <c r="P67" s="847">
        <f t="shared" si="2"/>
        <v>9208047.2699999996</v>
      </c>
      <c r="Q67" s="1610">
        <f t="shared" si="3"/>
        <v>94.204593638146207</v>
      </c>
      <c r="R67" s="1599"/>
      <c r="S67" s="1599">
        <f t="shared" si="4"/>
        <v>566473.1799999997</v>
      </c>
      <c r="T67" s="2588">
        <f t="shared" si="5"/>
        <v>15.556801489475191</v>
      </c>
      <c r="U67" s="1621">
        <v>8779.0300000000007</v>
      </c>
      <c r="V67" s="1620">
        <v>15771130.210000001</v>
      </c>
      <c r="W67" s="1613">
        <f t="shared" si="6"/>
        <v>-5996609.7600000016</v>
      </c>
      <c r="X67" s="1614" t="s">
        <v>876</v>
      </c>
      <c r="Y67" s="1615" t="s">
        <v>1031</v>
      </c>
      <c r="Z67" s="1613" t="s">
        <v>1070</v>
      </c>
      <c r="AA67" s="1613" t="s">
        <v>1071</v>
      </c>
      <c r="AB67" s="1616"/>
      <c r="AC67" s="1616"/>
      <c r="AD67" s="1616"/>
      <c r="AE67" s="1613"/>
    </row>
    <row r="68" spans="2:31" ht="26.1" customHeight="1">
      <c r="B68" s="1607">
        <v>55</v>
      </c>
      <c r="C68" s="1608">
        <v>1500400098</v>
      </c>
      <c r="D68" s="1609" t="s">
        <v>585</v>
      </c>
      <c r="E68" s="847">
        <v>29818807.149999999</v>
      </c>
      <c r="F68" s="847">
        <v>0</v>
      </c>
      <c r="G68" s="847">
        <v>29818807.149999999</v>
      </c>
      <c r="H68" s="847">
        <f>[8]จังหวัด!G88</f>
        <v>20258366.710000001</v>
      </c>
      <c r="I68" s="847">
        <v>35786828.269999996</v>
      </c>
      <c r="J68" s="1610">
        <v>80.164305142370708</v>
      </c>
      <c r="K68" s="1611">
        <v>10.63444</v>
      </c>
      <c r="L68" s="847">
        <f>[8]จังหวัด!H88</f>
        <v>18224086.699999999</v>
      </c>
      <c r="M68" s="1777">
        <f t="shared" si="1"/>
        <v>89.958321719016794</v>
      </c>
      <c r="N68" s="847">
        <f>[8]จังหวัด!J88</f>
        <v>827900</v>
      </c>
      <c r="O68" s="1760">
        <f t="shared" si="0"/>
        <v>4.0867065536499023</v>
      </c>
      <c r="P68" s="847">
        <f t="shared" si="2"/>
        <v>19051986.699999999</v>
      </c>
      <c r="Q68" s="1610">
        <f t="shared" si="3"/>
        <v>94.045028272666698</v>
      </c>
      <c r="R68" s="1599"/>
      <c r="S68" s="1599">
        <f t="shared" si="4"/>
        <v>1206380.0100000016</v>
      </c>
      <c r="T68" s="2588">
        <f t="shared" si="5"/>
        <v>13.880723130295991</v>
      </c>
      <c r="U68" s="1621">
        <v>644.14</v>
      </c>
      <c r="V68" s="1620">
        <v>20566018.050000001</v>
      </c>
      <c r="W68" s="1613">
        <f t="shared" si="6"/>
        <v>-307651.33999999985</v>
      </c>
      <c r="X68" s="1614" t="s">
        <v>889</v>
      </c>
      <c r="Y68" s="1615" t="s">
        <v>995</v>
      </c>
      <c r="Z68" s="1613" t="s">
        <v>1072</v>
      </c>
      <c r="AA68" s="1613" t="s">
        <v>1073</v>
      </c>
      <c r="AB68" s="1616"/>
      <c r="AC68" s="1616"/>
      <c r="AD68" s="1616"/>
      <c r="AE68" s="1613"/>
    </row>
    <row r="69" spans="2:31" ht="26.1" customHeight="1">
      <c r="B69" s="1607">
        <v>56</v>
      </c>
      <c r="C69" s="1608">
        <v>1500400072</v>
      </c>
      <c r="D69" s="1609" t="s">
        <v>569</v>
      </c>
      <c r="E69" s="847">
        <v>24608085.289999999</v>
      </c>
      <c r="F69" s="847">
        <v>0</v>
      </c>
      <c r="G69" s="847">
        <v>24608085.289999999</v>
      </c>
      <c r="H69" s="847">
        <f>[8]จังหวัด!G62</f>
        <v>15152797.08</v>
      </c>
      <c r="I69" s="847">
        <v>19145135.300000001</v>
      </c>
      <c r="J69" s="1610">
        <v>75.624753607297663</v>
      </c>
      <c r="K69" s="1611">
        <v>6.1541600000000001</v>
      </c>
      <c r="L69" s="847">
        <f>[8]จังหวัด!H62</f>
        <v>13136421.27</v>
      </c>
      <c r="M69" s="1777">
        <f t="shared" si="1"/>
        <v>86.693045519223702</v>
      </c>
      <c r="N69" s="847">
        <f>[8]จังหวัด!J62</f>
        <v>1101212</v>
      </c>
      <c r="O69" s="1760">
        <f t="shared" si="0"/>
        <v>7.2673843263794309</v>
      </c>
      <c r="P69" s="847">
        <f t="shared" si="2"/>
        <v>14237633.27</v>
      </c>
      <c r="Q69" s="1610">
        <f t="shared" si="3"/>
        <v>93.96042984560313</v>
      </c>
      <c r="R69" s="1599"/>
      <c r="S69" s="1599">
        <f t="shared" si="4"/>
        <v>915163.81000000052</v>
      </c>
      <c r="T69" s="2588">
        <f t="shared" si="5"/>
        <v>18.335676238305467</v>
      </c>
      <c r="U69" s="1612"/>
      <c r="V69" s="1620">
        <v>7488780.4199999999</v>
      </c>
      <c r="W69" s="1613">
        <f t="shared" si="6"/>
        <v>7664016.6600000001</v>
      </c>
      <c r="X69" s="1614" t="s">
        <v>872</v>
      </c>
      <c r="Y69" s="1615" t="s">
        <v>873</v>
      </c>
      <c r="Z69" s="1613" t="s">
        <v>1094</v>
      </c>
      <c r="AA69" s="1613" t="s">
        <v>1095</v>
      </c>
      <c r="AB69" s="1616"/>
      <c r="AC69" s="1617"/>
      <c r="AD69" s="1617"/>
      <c r="AE69" s="1619"/>
    </row>
    <row r="70" spans="2:31" ht="26.1" customHeight="1">
      <c r="B70" s="1607">
        <v>57</v>
      </c>
      <c r="C70" s="1608">
        <v>1500400038</v>
      </c>
      <c r="D70" s="1609" t="s">
        <v>788</v>
      </c>
      <c r="E70" s="847">
        <v>21951459.07</v>
      </c>
      <c r="F70" s="847">
        <v>0</v>
      </c>
      <c r="G70" s="847">
        <v>21951459.07</v>
      </c>
      <c r="H70" s="847">
        <f>[8]จังหวัด!G28</f>
        <v>14387331.24</v>
      </c>
      <c r="I70" s="847">
        <v>19250870.84</v>
      </c>
      <c r="J70" s="1610">
        <v>79.523922183996092</v>
      </c>
      <c r="K70" s="1611">
        <v>6.4344999999999999</v>
      </c>
      <c r="L70" s="847">
        <f>[8]จังหวัด!H28</f>
        <v>12092239.539999999</v>
      </c>
      <c r="M70" s="1777">
        <f t="shared" si="1"/>
        <v>84.047828873091262</v>
      </c>
      <c r="N70" s="847">
        <f>[8]จังหวัด!J28</f>
        <v>1406900</v>
      </c>
      <c r="O70" s="1760">
        <f t="shared" si="0"/>
        <v>9.7787419816157648</v>
      </c>
      <c r="P70" s="847">
        <f t="shared" si="2"/>
        <v>13499139.539999999</v>
      </c>
      <c r="Q70" s="1610">
        <f t="shared" si="3"/>
        <v>93.826570854707029</v>
      </c>
      <c r="R70" s="1599"/>
      <c r="S70" s="1599">
        <f t="shared" si="4"/>
        <v>888191.70000000112</v>
      </c>
      <c r="T70" s="2588">
        <f t="shared" si="5"/>
        <v>14.302648670710937</v>
      </c>
      <c r="U70" s="1612">
        <v>1176822.5900000001</v>
      </c>
      <c r="V70" s="1620">
        <v>16011006.440000001</v>
      </c>
      <c r="W70" s="1613">
        <f t="shared" si="6"/>
        <v>-1623675.2000000011</v>
      </c>
      <c r="X70" s="1614" t="s">
        <v>889</v>
      </c>
      <c r="Y70" s="1615" t="s">
        <v>995</v>
      </c>
      <c r="Z70" s="1613" t="s">
        <v>1108</v>
      </c>
      <c r="AA70" s="1613" t="s">
        <v>1109</v>
      </c>
      <c r="AB70" s="1616"/>
      <c r="AC70" s="1616"/>
      <c r="AD70" s="1616"/>
      <c r="AE70" s="1613"/>
    </row>
    <row r="71" spans="2:31" ht="26.1" customHeight="1">
      <c r="B71" s="1607">
        <v>58</v>
      </c>
      <c r="C71" s="1608">
        <v>1500400025</v>
      </c>
      <c r="D71" s="1609" t="s">
        <v>781</v>
      </c>
      <c r="E71" s="847">
        <v>12568164.08</v>
      </c>
      <c r="F71" s="847">
        <v>0</v>
      </c>
      <c r="G71" s="847">
        <v>12568164.08</v>
      </c>
      <c r="H71" s="847">
        <f>[8]จังหวัด!G15</f>
        <v>10689707.130000001</v>
      </c>
      <c r="I71" s="847">
        <v>12248155.42</v>
      </c>
      <c r="J71" s="1610">
        <v>73.133466254149795</v>
      </c>
      <c r="K71" s="1611">
        <v>5.3798199999999996</v>
      </c>
      <c r="L71" s="847">
        <f>[8]จังหวัด!H15</f>
        <v>8998594.3200000003</v>
      </c>
      <c r="M71" s="1777">
        <f t="shared" si="1"/>
        <v>84.179989316508056</v>
      </c>
      <c r="N71" s="847">
        <f>[8]จังหวัด!J15</f>
        <v>1025000</v>
      </c>
      <c r="O71" s="1760">
        <f t="shared" si="0"/>
        <v>9.5886630712585283</v>
      </c>
      <c r="P71" s="847">
        <f t="shared" si="2"/>
        <v>10023594.32</v>
      </c>
      <c r="Q71" s="1610">
        <f t="shared" si="3"/>
        <v>93.768652387766579</v>
      </c>
      <c r="R71" s="1599"/>
      <c r="S71" s="1599">
        <f t="shared" si="4"/>
        <v>666112.81000000052</v>
      </c>
      <c r="T71" s="2588">
        <f t="shared" si="5"/>
        <v>20.635186133616784</v>
      </c>
      <c r="U71" s="1612">
        <v>42840</v>
      </c>
      <c r="V71" s="1620">
        <v>11146492.399999999</v>
      </c>
      <c r="W71" s="1613">
        <f t="shared" si="6"/>
        <v>-456785.26999999769</v>
      </c>
      <c r="X71" s="1614" t="s">
        <v>884</v>
      </c>
      <c r="Y71" s="1615" t="s">
        <v>986</v>
      </c>
      <c r="Z71" s="1613" t="s">
        <v>1116</v>
      </c>
      <c r="AA71" s="1613" t="s">
        <v>1117</v>
      </c>
      <c r="AB71" s="1616"/>
      <c r="AC71" s="1616"/>
      <c r="AD71" s="1616"/>
      <c r="AE71" s="1613"/>
    </row>
    <row r="72" spans="2:31" ht="26.1" customHeight="1">
      <c r="B72" s="1607">
        <v>59</v>
      </c>
      <c r="C72" s="1608">
        <v>1500400083</v>
      </c>
      <c r="D72" s="1629" t="s">
        <v>799</v>
      </c>
      <c r="E72" s="847">
        <v>23305680.809999999</v>
      </c>
      <c r="F72" s="847">
        <v>0</v>
      </c>
      <c r="G72" s="847">
        <v>23305680.809999999</v>
      </c>
      <c r="H72" s="847">
        <f>[8]จังหวัด!G73</f>
        <v>14495301.789999999</v>
      </c>
      <c r="I72" s="847">
        <v>21704083.77</v>
      </c>
      <c r="J72" s="1610">
        <v>81.286413843325462</v>
      </c>
      <c r="K72" s="1611">
        <v>6.1605999999999996</v>
      </c>
      <c r="L72" s="847">
        <f>[8]จังหวัด!H73</f>
        <v>12584165.07</v>
      </c>
      <c r="M72" s="1777">
        <f t="shared" si="1"/>
        <v>86.815474781501607</v>
      </c>
      <c r="N72" s="847">
        <f>[8]จังหวัด!J73</f>
        <v>990700</v>
      </c>
      <c r="O72" s="1760">
        <f t="shared" si="0"/>
        <v>6.8346283116606985</v>
      </c>
      <c r="P72" s="847">
        <f t="shared" si="2"/>
        <v>13574865.07</v>
      </c>
      <c r="Q72" s="1610">
        <f t="shared" si="3"/>
        <v>93.650103093162301</v>
      </c>
      <c r="R72" s="1599"/>
      <c r="S72" s="1599">
        <f t="shared" si="4"/>
        <v>920436.71999999881</v>
      </c>
      <c r="T72" s="2588">
        <f t="shared" si="5"/>
        <v>12.363689249836838</v>
      </c>
      <c r="U72" s="1612">
        <v>49262.16</v>
      </c>
      <c r="V72" s="1620">
        <v>34704432.82</v>
      </c>
      <c r="W72" s="1613">
        <f t="shared" si="6"/>
        <v>-20209131.030000001</v>
      </c>
      <c r="X72" s="1614" t="s">
        <v>876</v>
      </c>
      <c r="Y72" s="1615" t="s">
        <v>1031</v>
      </c>
      <c r="Z72" s="1613" t="s">
        <v>1048</v>
      </c>
      <c r="AA72" s="1613" t="s">
        <v>1049</v>
      </c>
      <c r="AB72" s="1616"/>
      <c r="AC72" s="1616"/>
      <c r="AD72" s="1616"/>
      <c r="AE72" s="1613"/>
    </row>
    <row r="73" spans="2:31" ht="26.1" customHeight="1">
      <c r="B73" s="1607">
        <v>60</v>
      </c>
      <c r="C73" s="2600">
        <v>1500400065</v>
      </c>
      <c r="D73" s="2601" t="s">
        <v>563</v>
      </c>
      <c r="E73" s="2602">
        <v>33316306.23</v>
      </c>
      <c r="F73" s="2602">
        <v>0</v>
      </c>
      <c r="G73" s="2602">
        <v>33316306.23</v>
      </c>
      <c r="H73" s="2602">
        <f>[8]จังหวัด!G55</f>
        <v>19577161.93</v>
      </c>
      <c r="I73" s="2602">
        <v>31407516.690000001</v>
      </c>
      <c r="J73" s="2603">
        <v>66.980234779273559</v>
      </c>
      <c r="K73" s="2604">
        <v>9.2196400000000001</v>
      </c>
      <c r="L73" s="2602">
        <f>[8]จังหวัด!H55</f>
        <v>16852999.210000001</v>
      </c>
      <c r="M73" s="2605">
        <f t="shared" si="1"/>
        <v>86.084996743958598</v>
      </c>
      <c r="N73" s="2602">
        <f>[8]จังหวัด!J55</f>
        <v>1462160</v>
      </c>
      <c r="O73" s="2606">
        <f t="shared" si="0"/>
        <v>7.4687025894156251</v>
      </c>
      <c r="P73" s="2602">
        <f t="shared" si="2"/>
        <v>18315159.210000001</v>
      </c>
      <c r="Q73" s="2603">
        <f t="shared" si="3"/>
        <v>93.553699333374212</v>
      </c>
      <c r="R73" s="2607"/>
      <c r="S73" s="2607">
        <f t="shared" si="4"/>
        <v>1262002.7199999988</v>
      </c>
      <c r="T73" s="2588">
        <f t="shared" si="5"/>
        <v>26.573464554100653</v>
      </c>
      <c r="U73" s="1612">
        <v>30471.18</v>
      </c>
      <c r="V73" s="1620">
        <v>60021565.210000001</v>
      </c>
      <c r="W73" s="1613">
        <f t="shared" si="6"/>
        <v>-40444403.280000001</v>
      </c>
      <c r="X73" s="1614" t="s">
        <v>893</v>
      </c>
      <c r="Y73" s="1615" t="s">
        <v>888</v>
      </c>
      <c r="Z73" s="1619" t="s">
        <v>1122</v>
      </c>
      <c r="AA73" s="1613" t="s">
        <v>1123</v>
      </c>
      <c r="AB73" s="1616"/>
      <c r="AC73" s="1616"/>
      <c r="AD73" s="1616"/>
      <c r="AE73" s="1613"/>
    </row>
    <row r="74" spans="2:31" ht="26.1" customHeight="1">
      <c r="B74" s="1607">
        <v>61</v>
      </c>
      <c r="C74" s="1608">
        <v>1500400039</v>
      </c>
      <c r="D74" s="1609" t="s">
        <v>546</v>
      </c>
      <c r="E74" s="847">
        <v>11340606.539999999</v>
      </c>
      <c r="F74" s="847">
        <v>0</v>
      </c>
      <c r="G74" s="847">
        <v>11340606.539999999</v>
      </c>
      <c r="H74" s="847">
        <f>[8]จังหวัด!G29</f>
        <v>8845003.6099999994</v>
      </c>
      <c r="I74" s="847">
        <v>9652145.2300000004</v>
      </c>
      <c r="J74" s="1610">
        <v>71.94515010822235</v>
      </c>
      <c r="K74" s="1611">
        <v>4.4807600000000001</v>
      </c>
      <c r="L74" s="847">
        <f>[8]จังหวัด!H29</f>
        <v>8272610.5499999998</v>
      </c>
      <c r="M74" s="1777">
        <f t="shared" si="1"/>
        <v>93.528628305443959</v>
      </c>
      <c r="N74" s="847">
        <f>[8]จังหวัด!J29</f>
        <v>0</v>
      </c>
      <c r="O74" s="1760">
        <f t="shared" si="0"/>
        <v>0</v>
      </c>
      <c r="P74" s="847">
        <f t="shared" si="2"/>
        <v>8272610.5499999998</v>
      </c>
      <c r="Q74" s="1610">
        <f t="shared" si="3"/>
        <v>93.528628305443959</v>
      </c>
      <c r="R74" s="1599"/>
      <c r="S74" s="1599">
        <f t="shared" si="4"/>
        <v>572393.05999999959</v>
      </c>
      <c r="T74" s="2588">
        <f t="shared" si="5"/>
        <v>21.583478197221609</v>
      </c>
      <c r="U74" s="1612"/>
      <c r="V74" s="1601">
        <v>4647598</v>
      </c>
      <c r="W74" s="1613">
        <f t="shared" si="6"/>
        <v>4197405.6099999994</v>
      </c>
      <c r="X74" s="1614" t="s">
        <v>874</v>
      </c>
      <c r="Y74" s="1615" t="s">
        <v>978</v>
      </c>
      <c r="Z74" s="1613" t="s">
        <v>1068</v>
      </c>
      <c r="AA74" s="1613" t="s">
        <v>1069</v>
      </c>
      <c r="AB74" s="1616"/>
      <c r="AC74" s="1617"/>
      <c r="AD74" s="1617"/>
      <c r="AE74" s="1618"/>
    </row>
    <row r="75" spans="2:31" ht="26.1" customHeight="1">
      <c r="B75" s="1607">
        <v>62</v>
      </c>
      <c r="C75" s="1608">
        <v>1500400033</v>
      </c>
      <c r="D75" s="1609" t="s">
        <v>786</v>
      </c>
      <c r="E75" s="847">
        <v>29530479.649999999</v>
      </c>
      <c r="F75" s="847">
        <v>0</v>
      </c>
      <c r="G75" s="847">
        <v>29530479.649999999</v>
      </c>
      <c r="H75" s="847">
        <f>[8]จังหวัด!G23</f>
        <v>17855306.010000002</v>
      </c>
      <c r="I75" s="847">
        <v>23551968.219999999</v>
      </c>
      <c r="J75" s="1610">
        <v>73.98998960082362</v>
      </c>
      <c r="K75" s="1611">
        <v>8.9096600000000006</v>
      </c>
      <c r="L75" s="847">
        <f>[8]จังหวัด!H23</f>
        <v>16214019.869999999</v>
      </c>
      <c r="M75" s="1777">
        <f t="shared" si="1"/>
        <v>90.807852080043943</v>
      </c>
      <c r="N75" s="847">
        <f>[8]จังหวัด!J23</f>
        <v>447000</v>
      </c>
      <c r="O75" s="1760">
        <f t="shared" si="0"/>
        <v>2.5034575142518096</v>
      </c>
      <c r="P75" s="847">
        <f t="shared" si="2"/>
        <v>16661019.869999999</v>
      </c>
      <c r="Q75" s="1610">
        <f t="shared" si="3"/>
        <v>93.311309594295764</v>
      </c>
      <c r="R75" s="1599"/>
      <c r="S75" s="1599">
        <f t="shared" si="4"/>
        <v>1194286.1400000025</v>
      </c>
      <c r="T75" s="2588">
        <f t="shared" si="5"/>
        <v>19.321319993472144</v>
      </c>
      <c r="U75" s="1612">
        <v>367.3</v>
      </c>
      <c r="V75" s="1620">
        <v>58292790.57</v>
      </c>
      <c r="W75" s="1613">
        <f t="shared" si="6"/>
        <v>-40437484.560000002</v>
      </c>
      <c r="X75" s="1614" t="s">
        <v>882</v>
      </c>
      <c r="Y75" s="1615" t="s">
        <v>885</v>
      </c>
      <c r="Z75" s="1613" t="s">
        <v>1128</v>
      </c>
      <c r="AA75" s="1613" t="s">
        <v>1129</v>
      </c>
      <c r="AB75" s="1617"/>
      <c r="AC75" s="1616"/>
      <c r="AD75" s="1616"/>
      <c r="AE75" s="1613"/>
    </row>
    <row r="76" spans="2:31" ht="26.1" customHeight="1">
      <c r="B76" s="1607">
        <v>63</v>
      </c>
      <c r="C76" s="1608">
        <v>1500400084</v>
      </c>
      <c r="D76" s="1609" t="s">
        <v>343</v>
      </c>
      <c r="E76" s="847">
        <v>18501807.010000002</v>
      </c>
      <c r="F76" s="847">
        <v>0</v>
      </c>
      <c r="G76" s="847">
        <v>18501807.010000002</v>
      </c>
      <c r="H76" s="847">
        <f>[8]จังหวัด!G74</f>
        <v>13243930.66</v>
      </c>
      <c r="I76" s="847">
        <v>16600782.210000001</v>
      </c>
      <c r="J76" s="1610">
        <v>74.665324898048397</v>
      </c>
      <c r="K76" s="1611">
        <v>6.5656999999999996</v>
      </c>
      <c r="L76" s="847">
        <f>[8]จังหวัด!H74</f>
        <v>11373237.720000001</v>
      </c>
      <c r="M76" s="1777">
        <f t="shared" si="1"/>
        <v>85.875092613932495</v>
      </c>
      <c r="N76" s="847">
        <f>[8]จังหวัด!J74</f>
        <v>959895</v>
      </c>
      <c r="O76" s="1760">
        <f t="shared" si="0"/>
        <v>7.2478105227409886</v>
      </c>
      <c r="P76" s="847">
        <f t="shared" si="2"/>
        <v>12333132.720000001</v>
      </c>
      <c r="Q76" s="1610">
        <f t="shared" si="3"/>
        <v>93.122903136673472</v>
      </c>
      <c r="R76" s="1599"/>
      <c r="S76" s="1599">
        <f t="shared" si="4"/>
        <v>910797.93999999948</v>
      </c>
      <c r="T76" s="2588">
        <f t="shared" si="5"/>
        <v>18.457578238625075</v>
      </c>
      <c r="U76" s="1612">
        <v>14126.84</v>
      </c>
      <c r="V76" s="1620">
        <v>17142595</v>
      </c>
      <c r="W76" s="1613">
        <f t="shared" si="6"/>
        <v>-3898664.34</v>
      </c>
      <c r="X76" s="1614" t="s">
        <v>892</v>
      </c>
      <c r="Y76" s="1615" t="s">
        <v>888</v>
      </c>
      <c r="Z76" s="1613" t="s">
        <v>1084</v>
      </c>
      <c r="AA76" s="1613" t="s">
        <v>1085</v>
      </c>
      <c r="AB76" s="1616"/>
      <c r="AC76" s="1616"/>
      <c r="AD76" s="1616"/>
      <c r="AE76" s="1613"/>
    </row>
    <row r="77" spans="2:31" ht="26.1" customHeight="1">
      <c r="B77" s="1607">
        <v>64</v>
      </c>
      <c r="C77" s="1608">
        <v>1500400032</v>
      </c>
      <c r="D77" s="1609" t="s">
        <v>785</v>
      </c>
      <c r="E77" s="847">
        <v>33615837.140000001</v>
      </c>
      <c r="F77" s="847">
        <v>0</v>
      </c>
      <c r="G77" s="847">
        <v>33615837.140000001</v>
      </c>
      <c r="H77" s="847">
        <f>[8]จังหวัด!G22</f>
        <v>19120611.43</v>
      </c>
      <c r="I77" s="847">
        <v>32746860.550000001</v>
      </c>
      <c r="J77" s="1610">
        <v>85.239007854923216</v>
      </c>
      <c r="K77" s="1611">
        <v>9.2936999999999994</v>
      </c>
      <c r="L77" s="847">
        <f>[8]จังหวัด!H22</f>
        <v>15202568.25</v>
      </c>
      <c r="M77" s="1777">
        <f t="shared" si="1"/>
        <v>79.508797643088755</v>
      </c>
      <c r="N77" s="847">
        <f>[8]จังหวัด!J22</f>
        <v>2580700</v>
      </c>
      <c r="O77" s="1760">
        <f t="shared" ref="O77:O89" si="7">N77/H77*100</f>
        <v>13.496953324154237</v>
      </c>
      <c r="P77" s="847">
        <f t="shared" si="2"/>
        <v>17783268.25</v>
      </c>
      <c r="Q77" s="1610">
        <f t="shared" si="3"/>
        <v>93.005750967242989</v>
      </c>
      <c r="R77" s="1599"/>
      <c r="S77" s="1599">
        <f t="shared" si="4"/>
        <v>1337343.1799999997</v>
      </c>
      <c r="T77" s="2588">
        <f t="shared" si="5"/>
        <v>7.766743112319773</v>
      </c>
      <c r="U77" s="1612">
        <v>3135.16</v>
      </c>
      <c r="V77" s="1620">
        <v>13472250</v>
      </c>
      <c r="W77" s="1613">
        <f t="shared" si="6"/>
        <v>5648361.4299999997</v>
      </c>
      <c r="X77" s="1614" t="s">
        <v>883</v>
      </c>
      <c r="Y77" s="1615" t="s">
        <v>875</v>
      </c>
      <c r="Z77" s="1613" t="s">
        <v>1056</v>
      </c>
      <c r="AA77" s="1613" t="s">
        <v>1057</v>
      </c>
      <c r="AB77" s="1616"/>
      <c r="AC77" s="1616"/>
      <c r="AD77" s="1616"/>
      <c r="AE77" s="1613"/>
    </row>
    <row r="78" spans="2:31" ht="26.1" customHeight="1">
      <c r="B78" s="1607">
        <v>65</v>
      </c>
      <c r="C78" s="1608">
        <v>1500400050</v>
      </c>
      <c r="D78" s="1609" t="s">
        <v>554</v>
      </c>
      <c r="E78" s="847">
        <v>67700756.299999997</v>
      </c>
      <c r="F78" s="847">
        <v>0</v>
      </c>
      <c r="G78" s="847">
        <v>67700756.299999997</v>
      </c>
      <c r="H78" s="847">
        <f>[8]จังหวัด!G40</f>
        <v>42192028.079999998</v>
      </c>
      <c r="I78" s="847">
        <v>65790910.140000001</v>
      </c>
      <c r="J78" s="1610">
        <v>77.348240994362726</v>
      </c>
      <c r="K78" s="1611">
        <v>20.119060000000001</v>
      </c>
      <c r="L78" s="847">
        <f>[8]จังหวัด!H40</f>
        <v>38193105.460000001</v>
      </c>
      <c r="M78" s="1777">
        <f t="shared" ref="M78:M89" si="8">L78/H78*100</f>
        <v>90.522089593755311</v>
      </c>
      <c r="N78" s="847">
        <f>[8]จังหวัด!J40</f>
        <v>1044003</v>
      </c>
      <c r="O78" s="1760">
        <f t="shared" si="7"/>
        <v>2.4744081939376641</v>
      </c>
      <c r="P78" s="847">
        <f t="shared" ref="P78:P89" si="9">N78+L78</f>
        <v>39237108.460000001</v>
      </c>
      <c r="Q78" s="1610">
        <f t="shared" ref="Q78:Q89" si="10">P78/H78*100</f>
        <v>92.996497787692988</v>
      </c>
      <c r="R78" s="1599"/>
      <c r="S78" s="1599">
        <f t="shared" ref="S78:S89" si="11">H78-P78</f>
        <v>2954919.6199999973</v>
      </c>
      <c r="T78" s="2588">
        <f t="shared" ref="T78:T89" si="12">+Q78-J78</f>
        <v>15.648256793330262</v>
      </c>
      <c r="U78" s="1612">
        <v>142500</v>
      </c>
      <c r="V78" s="1620">
        <v>8234148.1699999999</v>
      </c>
      <c r="W78" s="1613">
        <f t="shared" ref="W78:W89" si="13">H78-V78</f>
        <v>33957879.909999996</v>
      </c>
      <c r="X78" s="1614" t="s">
        <v>891</v>
      </c>
      <c r="Y78" s="1615" t="s">
        <v>986</v>
      </c>
      <c r="Z78" s="1613" t="s">
        <v>1046</v>
      </c>
      <c r="AA78" s="1613" t="s">
        <v>1047</v>
      </c>
      <c r="AB78" s="1616"/>
      <c r="AC78" s="1616"/>
      <c r="AD78" s="1616"/>
      <c r="AE78" s="1613"/>
    </row>
    <row r="79" spans="2:31" ht="26.1" customHeight="1">
      <c r="B79" s="1607">
        <v>66</v>
      </c>
      <c r="C79" s="1608">
        <v>1500400060</v>
      </c>
      <c r="D79" s="1609" t="s">
        <v>794</v>
      </c>
      <c r="E79" s="847">
        <v>67018349.07</v>
      </c>
      <c r="F79" s="847">
        <v>0</v>
      </c>
      <c r="G79" s="847">
        <v>67018349.07</v>
      </c>
      <c r="H79" s="847">
        <f>[8]จังหวัด!G50</f>
        <v>35649682.009999998</v>
      </c>
      <c r="I79" s="847">
        <v>56215005.990000002</v>
      </c>
      <c r="J79" s="1610">
        <v>68.661099116996098</v>
      </c>
      <c r="K79" s="1611">
        <v>16.794319999999999</v>
      </c>
      <c r="L79" s="847">
        <f>[8]จังหวัด!H50</f>
        <v>31970181.190000001</v>
      </c>
      <c r="M79" s="1777">
        <f t="shared" si="8"/>
        <v>89.67872751580822</v>
      </c>
      <c r="N79" s="847">
        <f>[8]จังหวัด!J50</f>
        <v>1164528</v>
      </c>
      <c r="O79" s="1760">
        <f t="shared" si="7"/>
        <v>3.2665873419946396</v>
      </c>
      <c r="P79" s="847">
        <f t="shared" si="9"/>
        <v>33134709.190000001</v>
      </c>
      <c r="Q79" s="1610">
        <f t="shared" si="10"/>
        <v>92.945314857802856</v>
      </c>
      <c r="R79" s="1599"/>
      <c r="S79" s="1599">
        <f t="shared" si="11"/>
        <v>2514972.8199999966</v>
      </c>
      <c r="T79" s="2588">
        <f t="shared" si="12"/>
        <v>24.284215740806758</v>
      </c>
      <c r="U79" s="1621">
        <v>6145.16</v>
      </c>
      <c r="V79" s="1620">
        <v>10836324.84</v>
      </c>
      <c r="W79" s="1613">
        <f t="shared" si="13"/>
        <v>24813357.169999998</v>
      </c>
      <c r="X79" s="1614" t="s">
        <v>881</v>
      </c>
      <c r="Y79" s="1615" t="s">
        <v>877</v>
      </c>
      <c r="Z79" s="1613" t="s">
        <v>998</v>
      </c>
      <c r="AA79" s="1613" t="s">
        <v>999</v>
      </c>
      <c r="AB79" s="1616"/>
      <c r="AC79" s="1616"/>
      <c r="AD79" s="1616"/>
      <c r="AE79" s="1613"/>
    </row>
    <row r="80" spans="2:31" ht="26.1" customHeight="1">
      <c r="B80" s="2599">
        <v>67</v>
      </c>
      <c r="C80" s="1623">
        <v>1500400081</v>
      </c>
      <c r="D80" s="1624" t="s">
        <v>344</v>
      </c>
      <c r="E80" s="1625">
        <v>10983230.84</v>
      </c>
      <c r="F80" s="1625">
        <v>0</v>
      </c>
      <c r="G80" s="1625">
        <v>10983230.84</v>
      </c>
      <c r="H80" s="1625">
        <f>[8]จังหวัด!G71</f>
        <v>8544815.4000000004</v>
      </c>
      <c r="I80" s="1625">
        <v>11441638.789999999</v>
      </c>
      <c r="J80" s="1626">
        <v>81.586852148790825</v>
      </c>
      <c r="K80" s="1627">
        <v>4.2827999999999999</v>
      </c>
      <c r="L80" s="1625">
        <f>[8]จังหวัด!H71</f>
        <v>6610130.1600000001</v>
      </c>
      <c r="M80" s="1684">
        <f t="shared" si="8"/>
        <v>77.358372891238815</v>
      </c>
      <c r="N80" s="1625">
        <f>[8]จังหวัด!J71</f>
        <v>1313800</v>
      </c>
      <c r="O80" s="1685">
        <f t="shared" si="7"/>
        <v>15.375405301324591</v>
      </c>
      <c r="P80" s="1625">
        <f t="shared" si="9"/>
        <v>7923930.1600000001</v>
      </c>
      <c r="Q80" s="1626">
        <f t="shared" si="10"/>
        <v>92.733778192563406</v>
      </c>
      <c r="R80" s="1628"/>
      <c r="S80" s="1628">
        <f t="shared" si="11"/>
        <v>620885.24000000022</v>
      </c>
      <c r="T80" s="2588">
        <f t="shared" si="12"/>
        <v>11.146926043772581</v>
      </c>
      <c r="U80" s="1621">
        <v>52080</v>
      </c>
      <c r="V80" s="1620">
        <v>22403963.050000001</v>
      </c>
      <c r="W80" s="1613">
        <f t="shared" si="13"/>
        <v>-13859147.65</v>
      </c>
      <c r="X80" s="1614" t="s">
        <v>894</v>
      </c>
      <c r="Y80" s="1615" t="s">
        <v>983</v>
      </c>
      <c r="Z80" s="1613" t="s">
        <v>1130</v>
      </c>
      <c r="AA80" s="1613" t="s">
        <v>1131</v>
      </c>
      <c r="AB80" s="1616"/>
      <c r="AC80" s="1616"/>
      <c r="AD80" s="1616"/>
      <c r="AE80" s="1613"/>
    </row>
    <row r="81" spans="2:31" ht="26.1" customHeight="1">
      <c r="B81" s="1882">
        <v>68</v>
      </c>
      <c r="C81" s="1883">
        <v>1500400068</v>
      </c>
      <c r="D81" s="1884" t="s">
        <v>359</v>
      </c>
      <c r="E81" s="1885">
        <v>20272329.890000001</v>
      </c>
      <c r="F81" s="1885">
        <v>0</v>
      </c>
      <c r="G81" s="1885">
        <v>20272329.890000001</v>
      </c>
      <c r="H81" s="1885">
        <f>[8]จังหวัด!G58</f>
        <v>11660562.869999999</v>
      </c>
      <c r="I81" s="1885">
        <v>19851718.489999998</v>
      </c>
      <c r="J81" s="1886">
        <v>70.529471261222511</v>
      </c>
      <c r="K81" s="1887">
        <v>4.9169200000000002</v>
      </c>
      <c r="L81" s="1885">
        <f>[8]จังหวัด!H58</f>
        <v>9708337.8300000001</v>
      </c>
      <c r="M81" s="1888">
        <f t="shared" si="8"/>
        <v>83.25788333063548</v>
      </c>
      <c r="N81" s="1885">
        <f>[8]จังหวัด!J58</f>
        <v>1104600</v>
      </c>
      <c r="O81" s="1889">
        <f t="shared" si="7"/>
        <v>9.4729560855238546</v>
      </c>
      <c r="P81" s="1885">
        <f t="shared" si="9"/>
        <v>10812937.83</v>
      </c>
      <c r="Q81" s="1886">
        <f t="shared" si="10"/>
        <v>92.730839416159341</v>
      </c>
      <c r="R81" s="1890"/>
      <c r="S81" s="1890">
        <f t="shared" si="11"/>
        <v>847625.03999999911</v>
      </c>
      <c r="T81" s="2588">
        <f t="shared" si="12"/>
        <v>22.20136815493683</v>
      </c>
      <c r="U81" s="1621">
        <v>432829.47</v>
      </c>
      <c r="V81" s="1620">
        <v>34776798.049999997</v>
      </c>
      <c r="W81" s="1613">
        <f t="shared" si="13"/>
        <v>-23116235.18</v>
      </c>
      <c r="X81" s="1614" t="s">
        <v>880</v>
      </c>
      <c r="Y81" s="1615" t="s">
        <v>1010</v>
      </c>
      <c r="Z81" s="1613" t="s">
        <v>1100</v>
      </c>
      <c r="AA81" s="1613" t="s">
        <v>1101</v>
      </c>
      <c r="AB81" s="1616"/>
      <c r="AC81" s="1616"/>
      <c r="AD81" s="1616"/>
      <c r="AE81" s="1613"/>
    </row>
    <row r="82" spans="2:31" ht="26.1" customHeight="1">
      <c r="B82" s="1607">
        <v>69</v>
      </c>
      <c r="C82" s="1608">
        <v>1500400051</v>
      </c>
      <c r="D82" s="1609" t="s">
        <v>792</v>
      </c>
      <c r="E82" s="847">
        <v>54014827.350000001</v>
      </c>
      <c r="F82" s="847">
        <v>0</v>
      </c>
      <c r="G82" s="847">
        <v>54014827.350000001</v>
      </c>
      <c r="H82" s="847">
        <f>[8]จังหวัด!G41</f>
        <v>30127598.350000001</v>
      </c>
      <c r="I82" s="847">
        <v>56783826.57</v>
      </c>
      <c r="J82" s="1610">
        <v>72.299346603354635</v>
      </c>
      <c r="K82" s="1611">
        <v>16.343879999999999</v>
      </c>
      <c r="L82" s="847">
        <f>[8]จังหวัด!H41</f>
        <v>26869930.27</v>
      </c>
      <c r="M82" s="1777">
        <f t="shared" si="8"/>
        <v>89.187096687379992</v>
      </c>
      <c r="N82" s="847">
        <f>[8]จังหวัด!J41</f>
        <v>1055640</v>
      </c>
      <c r="O82" s="1760">
        <f t="shared" si="7"/>
        <v>3.5038969510160105</v>
      </c>
      <c r="P82" s="847">
        <f t="shared" si="9"/>
        <v>27925570.27</v>
      </c>
      <c r="Q82" s="1610">
        <f t="shared" si="10"/>
        <v>92.690993638396009</v>
      </c>
      <c r="R82" s="1599"/>
      <c r="S82" s="1599">
        <f t="shared" si="11"/>
        <v>2202028.0800000019</v>
      </c>
      <c r="T82" s="2588">
        <f t="shared" si="12"/>
        <v>20.391647035041373</v>
      </c>
      <c r="U82" s="1621">
        <v>140996</v>
      </c>
      <c r="V82" s="1620">
        <v>21099758</v>
      </c>
      <c r="W82" s="1613">
        <f t="shared" si="13"/>
        <v>9027840.3500000015</v>
      </c>
      <c r="X82" s="1614" t="s">
        <v>889</v>
      </c>
      <c r="Y82" s="1615" t="s">
        <v>995</v>
      </c>
      <c r="Z82" s="1619" t="s">
        <v>996</v>
      </c>
      <c r="AA82" s="1613" t="s">
        <v>997</v>
      </c>
      <c r="AB82" s="1616"/>
      <c r="AC82" s="1616"/>
      <c r="AD82" s="1616"/>
      <c r="AE82" s="1613"/>
    </row>
    <row r="83" spans="2:31" ht="26.1" customHeight="1">
      <c r="B83" s="1607">
        <v>70</v>
      </c>
      <c r="C83" s="1608">
        <v>1500400088</v>
      </c>
      <c r="D83" s="1609" t="s">
        <v>578</v>
      </c>
      <c r="E83" s="847">
        <v>7487165.9800000004</v>
      </c>
      <c r="F83" s="847">
        <v>0</v>
      </c>
      <c r="G83" s="847">
        <v>7487165.9800000004</v>
      </c>
      <c r="H83" s="847">
        <f>[8]จังหวัด!G78</f>
        <v>9811169.8499999996</v>
      </c>
      <c r="I83" s="847">
        <v>8691399.9299999997</v>
      </c>
      <c r="J83" s="1610">
        <v>81.555156749286525</v>
      </c>
      <c r="K83" s="1611">
        <v>3.6086399999999998</v>
      </c>
      <c r="L83" s="847">
        <f>[8]จังหวัด!H78</f>
        <v>7302211.5999999996</v>
      </c>
      <c r="M83" s="1777">
        <f t="shared" si="8"/>
        <v>74.427532207079267</v>
      </c>
      <c r="N83" s="847">
        <f>[8]จังหวัด!J78</f>
        <v>1764760</v>
      </c>
      <c r="O83" s="1760">
        <f t="shared" si="7"/>
        <v>17.987253579143779</v>
      </c>
      <c r="P83" s="847">
        <f t="shared" si="9"/>
        <v>9066971.5999999996</v>
      </c>
      <c r="Q83" s="1610">
        <f t="shared" si="10"/>
        <v>92.414785786223035</v>
      </c>
      <c r="R83" s="1599"/>
      <c r="S83" s="1599">
        <f t="shared" si="11"/>
        <v>744198.25</v>
      </c>
      <c r="T83" s="2588">
        <f t="shared" si="12"/>
        <v>10.859629036936511</v>
      </c>
      <c r="U83" s="1621">
        <v>13633</v>
      </c>
      <c r="V83" s="1620">
        <v>8371261.4399999995</v>
      </c>
      <c r="W83" s="1613">
        <f t="shared" si="13"/>
        <v>1439908.4100000001</v>
      </c>
      <c r="X83" s="1614" t="s">
        <v>879</v>
      </c>
      <c r="Y83" s="1615" t="s">
        <v>878</v>
      </c>
      <c r="Z83" s="1613" t="s">
        <v>1060</v>
      </c>
      <c r="AA83" s="1613" t="s">
        <v>1061</v>
      </c>
      <c r="AB83" s="1616"/>
      <c r="AC83" s="1616"/>
      <c r="AD83" s="1616"/>
      <c r="AE83" s="1613"/>
    </row>
    <row r="84" spans="2:31" ht="26.1" customHeight="1">
      <c r="B84" s="1607">
        <v>71</v>
      </c>
      <c r="C84" s="1608">
        <v>1500400092</v>
      </c>
      <c r="D84" s="1609" t="s">
        <v>581</v>
      </c>
      <c r="E84" s="847">
        <v>37260937.310000002</v>
      </c>
      <c r="F84" s="847">
        <v>0</v>
      </c>
      <c r="G84" s="847">
        <v>37260937.310000002</v>
      </c>
      <c r="H84" s="847">
        <f>[8]จังหวัด!G82</f>
        <v>24234443.32</v>
      </c>
      <c r="I84" s="847">
        <v>37654072.899999999</v>
      </c>
      <c r="J84" s="1610">
        <v>82.53673784707243</v>
      </c>
      <c r="K84" s="1611">
        <v>10.895160000000001</v>
      </c>
      <c r="L84" s="847">
        <f>[8]จังหวัด!H82</f>
        <v>21129130.850000001</v>
      </c>
      <c r="M84" s="1777">
        <f t="shared" si="8"/>
        <v>87.18636764626126</v>
      </c>
      <c r="N84" s="847">
        <f>[8]จังหวัด!J82</f>
        <v>1150700</v>
      </c>
      <c r="O84" s="1760">
        <f t="shared" si="7"/>
        <v>4.7482006696244587</v>
      </c>
      <c r="P84" s="847">
        <f t="shared" si="9"/>
        <v>22279830.850000001</v>
      </c>
      <c r="Q84" s="1610">
        <f t="shared" si="10"/>
        <v>91.934568315885713</v>
      </c>
      <c r="R84" s="1599"/>
      <c r="S84" s="1599">
        <f t="shared" si="11"/>
        <v>1954612.4699999988</v>
      </c>
      <c r="T84" s="2588">
        <f t="shared" si="12"/>
        <v>9.3978304688132823</v>
      </c>
      <c r="U84" s="1621">
        <v>40667.74</v>
      </c>
      <c r="V84" s="1620">
        <v>11934644.42</v>
      </c>
      <c r="W84" s="1613">
        <f t="shared" si="13"/>
        <v>12299798.9</v>
      </c>
      <c r="X84" s="1614" t="s">
        <v>890</v>
      </c>
      <c r="Y84" s="1615" t="s">
        <v>873</v>
      </c>
      <c r="Z84" s="1613" t="s">
        <v>1064</v>
      </c>
      <c r="AA84" s="1613" t="s">
        <v>1065</v>
      </c>
      <c r="AB84" s="1616"/>
      <c r="AC84" s="1616"/>
      <c r="AD84" s="1616"/>
      <c r="AE84" s="1613"/>
    </row>
    <row r="85" spans="2:31" ht="26.1" customHeight="1">
      <c r="B85" s="1607">
        <v>72</v>
      </c>
      <c r="C85" s="1608">
        <v>1500400087</v>
      </c>
      <c r="D85" s="1609" t="s">
        <v>577</v>
      </c>
      <c r="E85" s="847">
        <v>13023152</v>
      </c>
      <c r="F85" s="847">
        <v>0</v>
      </c>
      <c r="G85" s="847">
        <v>13023152</v>
      </c>
      <c r="H85" s="847">
        <f>[8]จังหวัด!G77</f>
        <v>11785039.23</v>
      </c>
      <c r="I85" s="847">
        <v>10479093.869999999</v>
      </c>
      <c r="J85" s="1610">
        <v>67.701183054170301</v>
      </c>
      <c r="K85" s="1611">
        <v>4.0493199999999998</v>
      </c>
      <c r="L85" s="847">
        <f>[8]จังหวัด!H77</f>
        <v>9321262.25</v>
      </c>
      <c r="M85" s="1777">
        <f t="shared" si="8"/>
        <v>79.094028183391956</v>
      </c>
      <c r="N85" s="847">
        <f>[8]จังหวัด!J77</f>
        <v>1484600</v>
      </c>
      <c r="O85" s="1760">
        <f t="shared" si="7"/>
        <v>12.597327603465262</v>
      </c>
      <c r="P85" s="847">
        <f t="shared" si="9"/>
        <v>10805862.25</v>
      </c>
      <c r="Q85" s="1610">
        <f t="shared" si="10"/>
        <v>91.69135578685723</v>
      </c>
      <c r="R85" s="1599"/>
      <c r="S85" s="1599">
        <f t="shared" si="11"/>
        <v>979176.98000000045</v>
      </c>
      <c r="T85" s="2588">
        <f t="shared" si="12"/>
        <v>23.990172732686929</v>
      </c>
      <c r="U85" s="1621">
        <v>233994.6</v>
      </c>
      <c r="V85" s="1620">
        <v>12824116.66</v>
      </c>
      <c r="W85" s="1613">
        <f t="shared" si="13"/>
        <v>-1039077.4299999997</v>
      </c>
      <c r="X85" s="1614" t="s">
        <v>882</v>
      </c>
      <c r="Y85" s="1615" t="s">
        <v>885</v>
      </c>
      <c r="Z85" s="1613" t="s">
        <v>1104</v>
      </c>
      <c r="AA85" s="1613" t="s">
        <v>1105</v>
      </c>
      <c r="AB85" s="1616"/>
      <c r="AC85" s="1616"/>
      <c r="AD85" s="1616"/>
      <c r="AE85" s="1613"/>
    </row>
    <row r="86" spans="2:31" ht="26.1" customHeight="1">
      <c r="B86" s="1607">
        <v>73</v>
      </c>
      <c r="C86" s="1608">
        <v>1500400095</v>
      </c>
      <c r="D86" s="1609" t="s">
        <v>583</v>
      </c>
      <c r="E86" s="847">
        <v>38964379.020000003</v>
      </c>
      <c r="F86" s="847">
        <v>0</v>
      </c>
      <c r="G86" s="847">
        <v>38964379.020000003</v>
      </c>
      <c r="H86" s="847">
        <f>[8]จังหวัด!G85</f>
        <v>16172192.08</v>
      </c>
      <c r="I86" s="847">
        <v>24370990.27</v>
      </c>
      <c r="J86" s="1610">
        <v>81.044490470412995</v>
      </c>
      <c r="K86" s="1611">
        <v>7.1051399999999996</v>
      </c>
      <c r="L86" s="847">
        <f>[8]จังหวัด!H85</f>
        <v>13495240.99</v>
      </c>
      <c r="M86" s="1777">
        <f t="shared" si="8"/>
        <v>83.447197035765114</v>
      </c>
      <c r="N86" s="847">
        <f>[8]จังหวัด!J85</f>
        <v>1180355</v>
      </c>
      <c r="O86" s="1760">
        <f t="shared" si="7"/>
        <v>7.2986704224205585</v>
      </c>
      <c r="P86" s="847">
        <f t="shared" si="9"/>
        <v>14675595.99</v>
      </c>
      <c r="Q86" s="1610">
        <f t="shared" si="10"/>
        <v>90.745867458185671</v>
      </c>
      <c r="R86" s="1599"/>
      <c r="S86" s="1599">
        <f t="shared" si="11"/>
        <v>1496596.0899999999</v>
      </c>
      <c r="T86" s="2588">
        <f t="shared" si="12"/>
        <v>9.7013769877726759</v>
      </c>
      <c r="U86" s="1621">
        <v>67708.740000000005</v>
      </c>
      <c r="V86" s="1620">
        <v>5024234.54</v>
      </c>
      <c r="W86" s="1613">
        <f t="shared" si="13"/>
        <v>11147957.539999999</v>
      </c>
      <c r="X86" s="1614" t="s">
        <v>881</v>
      </c>
      <c r="Y86" s="1615" t="s">
        <v>877</v>
      </c>
      <c r="Z86" s="1613" t="s">
        <v>1078</v>
      </c>
      <c r="AA86" s="1613" t="s">
        <v>1079</v>
      </c>
      <c r="AB86" s="1617"/>
      <c r="AC86" s="1616"/>
      <c r="AD86" s="1616"/>
      <c r="AE86" s="1613"/>
    </row>
    <row r="87" spans="2:31" ht="26.1" customHeight="1">
      <c r="B87" s="1607">
        <v>74</v>
      </c>
      <c r="C87" s="1608">
        <v>1500400041</v>
      </c>
      <c r="D87" s="1609" t="s">
        <v>548</v>
      </c>
      <c r="E87" s="847">
        <v>94376153.180000007</v>
      </c>
      <c r="F87" s="847">
        <v>0</v>
      </c>
      <c r="G87" s="847">
        <v>94376153.180000007</v>
      </c>
      <c r="H87" s="847">
        <f>[8]จังหวัด!G31</f>
        <v>54676522.200000003</v>
      </c>
      <c r="I87" s="847">
        <v>96175178.819999993</v>
      </c>
      <c r="J87" s="1610">
        <v>81.501825598093419</v>
      </c>
      <c r="K87" s="1611">
        <v>26.922720000000002</v>
      </c>
      <c r="L87" s="847">
        <f>[8]จังหวัด!H31</f>
        <v>46210422.700000003</v>
      </c>
      <c r="M87" s="1777">
        <f t="shared" si="8"/>
        <v>84.516024137321594</v>
      </c>
      <c r="N87" s="847">
        <f>[8]จังหวัด!J31</f>
        <v>3316000</v>
      </c>
      <c r="O87" s="1760">
        <f t="shared" si="7"/>
        <v>6.0647602784070269</v>
      </c>
      <c r="P87" s="847">
        <f t="shared" si="9"/>
        <v>49526422.700000003</v>
      </c>
      <c r="Q87" s="1610">
        <f t="shared" si="10"/>
        <v>90.580784415728615</v>
      </c>
      <c r="R87" s="1599"/>
      <c r="S87" s="1599">
        <f t="shared" si="11"/>
        <v>5150099.5</v>
      </c>
      <c r="T87" s="2588">
        <f t="shared" si="12"/>
        <v>9.078958817635197</v>
      </c>
      <c r="U87" s="1621">
        <v>6907.11</v>
      </c>
      <c r="V87" s="1620">
        <v>10877080</v>
      </c>
      <c r="W87" s="1613">
        <f t="shared" si="13"/>
        <v>43799442.200000003</v>
      </c>
      <c r="X87" s="1614" t="s">
        <v>892</v>
      </c>
      <c r="Y87" s="1615" t="s">
        <v>888</v>
      </c>
      <c r="Z87" s="1613" t="s">
        <v>1110</v>
      </c>
      <c r="AA87" s="1613" t="s">
        <v>1111</v>
      </c>
      <c r="AB87" s="1616"/>
      <c r="AC87" s="1616"/>
      <c r="AD87" s="1616"/>
      <c r="AE87" s="1613"/>
    </row>
    <row r="88" spans="2:31" ht="26.1" customHeight="1">
      <c r="B88" s="1607">
        <v>75</v>
      </c>
      <c r="C88" s="1608">
        <v>1500400089</v>
      </c>
      <c r="D88" s="1609" t="s">
        <v>801</v>
      </c>
      <c r="E88" s="847">
        <v>36378785.899999999</v>
      </c>
      <c r="F88" s="847">
        <v>0</v>
      </c>
      <c r="G88" s="847">
        <v>36378785.899999999</v>
      </c>
      <c r="H88" s="847">
        <f>[8]จังหวัด!G79</f>
        <v>24229987.32</v>
      </c>
      <c r="I88" s="847">
        <v>31999687.440000001</v>
      </c>
      <c r="J88" s="1610">
        <v>65.435580695105159</v>
      </c>
      <c r="K88" s="1611">
        <v>10.733459999999999</v>
      </c>
      <c r="L88" s="847">
        <f>[8]จังหวัด!H79</f>
        <v>20636529.469999999</v>
      </c>
      <c r="M88" s="1777">
        <f t="shared" si="8"/>
        <v>85.169377917775975</v>
      </c>
      <c r="N88" s="847">
        <f>[8]จังหวัด!J79</f>
        <v>1183950</v>
      </c>
      <c r="O88" s="1760">
        <f t="shared" si="7"/>
        <v>4.8863005348035813</v>
      </c>
      <c r="P88" s="847">
        <f t="shared" si="9"/>
        <v>21820479.469999999</v>
      </c>
      <c r="Q88" s="1610">
        <f t="shared" si="10"/>
        <v>90.055678452579556</v>
      </c>
      <c r="R88" s="1599"/>
      <c r="S88" s="1599">
        <f t="shared" si="11"/>
        <v>2409507.8500000015</v>
      </c>
      <c r="T88" s="2588">
        <f t="shared" si="12"/>
        <v>24.620097757474397</v>
      </c>
      <c r="U88" s="1612">
        <v>14554.84</v>
      </c>
      <c r="V88" s="1601">
        <v>8984188.6999999993</v>
      </c>
      <c r="W88" s="1613">
        <f t="shared" si="13"/>
        <v>15245798.620000001</v>
      </c>
      <c r="X88" s="1614" t="s">
        <v>894</v>
      </c>
      <c r="Y88" s="1615" t="s">
        <v>983</v>
      </c>
      <c r="Z88" s="1613" t="s">
        <v>1052</v>
      </c>
      <c r="AA88" s="1619" t="s">
        <v>1053</v>
      </c>
      <c r="AB88" s="1616"/>
      <c r="AC88" s="1616"/>
      <c r="AD88" s="1616"/>
      <c r="AE88" s="1613"/>
    </row>
    <row r="89" spans="2:31" ht="26.1" customHeight="1">
      <c r="B89" s="2599">
        <v>76</v>
      </c>
      <c r="C89" s="1623">
        <v>1500400074</v>
      </c>
      <c r="D89" s="1624" t="s">
        <v>571</v>
      </c>
      <c r="E89" s="1625">
        <v>37453500.100000001</v>
      </c>
      <c r="F89" s="1625">
        <v>0</v>
      </c>
      <c r="G89" s="1625">
        <v>37453500.100000001</v>
      </c>
      <c r="H89" s="1625">
        <f>[8]จังหวัด!G64</f>
        <v>20494982.969999999</v>
      </c>
      <c r="I89" s="1625">
        <v>27353625.879999999</v>
      </c>
      <c r="J89" s="1626">
        <v>77.927728775485974</v>
      </c>
      <c r="K89" s="1627">
        <v>7.4023000000000003</v>
      </c>
      <c r="L89" s="1625">
        <f>[8]จังหวัด!H64</f>
        <v>15862118.699999999</v>
      </c>
      <c r="M89" s="1684">
        <f t="shared" si="8"/>
        <v>77.395129936036241</v>
      </c>
      <c r="N89" s="1625">
        <f>[8]จังหวัด!J64</f>
        <v>8000</v>
      </c>
      <c r="O89" s="1685">
        <f t="shared" si="7"/>
        <v>3.9033943144574375E-2</v>
      </c>
      <c r="P89" s="1625">
        <f t="shared" si="9"/>
        <v>15870118.699999999</v>
      </c>
      <c r="Q89" s="1626">
        <f t="shared" si="10"/>
        <v>77.434163879180815</v>
      </c>
      <c r="R89" s="1628"/>
      <c r="S89" s="1628">
        <f t="shared" si="11"/>
        <v>4624864.2699999996</v>
      </c>
      <c r="T89" s="2588">
        <f t="shared" si="12"/>
        <v>-0.4935648963051591</v>
      </c>
      <c r="U89" s="1612">
        <v>1397095</v>
      </c>
      <c r="V89" s="1620">
        <v>22288857.66</v>
      </c>
      <c r="W89" s="1613">
        <f t="shared" si="13"/>
        <v>-1793874.6900000013</v>
      </c>
      <c r="X89" s="1631" t="s">
        <v>889</v>
      </c>
      <c r="Y89" s="1615" t="s">
        <v>995</v>
      </c>
      <c r="Z89" s="1613" t="s">
        <v>1044</v>
      </c>
      <c r="AA89" s="1613" t="s">
        <v>1045</v>
      </c>
      <c r="AB89" s="1616"/>
      <c r="AC89" s="1616"/>
      <c r="AD89" s="1616"/>
      <c r="AE89" s="1613"/>
    </row>
    <row r="90" spans="2:31">
      <c r="B90" s="2611"/>
      <c r="C90" s="1632"/>
      <c r="I90" s="1633"/>
      <c r="J90" s="1634"/>
      <c r="K90" s="1635"/>
      <c r="M90" s="1636"/>
      <c r="N90" s="1633"/>
      <c r="O90" s="1761"/>
      <c r="P90" s="1633"/>
      <c r="Q90" s="1778"/>
      <c r="T90" s="1637"/>
      <c r="U90" s="1637"/>
      <c r="W90" s="1638"/>
    </row>
    <row r="91" spans="2:31">
      <c r="C91" s="1632"/>
      <c r="I91" s="1633"/>
      <c r="J91" s="1634"/>
      <c r="K91" s="1635"/>
      <c r="M91" s="1636"/>
      <c r="N91" s="1633"/>
      <c r="O91" s="1761"/>
      <c r="P91" s="1633"/>
      <c r="Q91" s="1778"/>
      <c r="T91" s="1637"/>
      <c r="U91" s="1637"/>
      <c r="W91" s="1638"/>
    </row>
    <row r="92" spans="2:31">
      <c r="C92" s="1632"/>
      <c r="I92" s="1633"/>
      <c r="J92" s="1634"/>
      <c r="K92" s="1635"/>
      <c r="M92" s="1636"/>
      <c r="N92" s="1633"/>
      <c r="O92" s="1761"/>
      <c r="P92" s="1633"/>
      <c r="Q92" s="1778"/>
      <c r="T92" s="1637"/>
      <c r="U92" s="1637"/>
      <c r="W92" s="1638"/>
    </row>
    <row r="93" spans="2:31">
      <c r="C93" s="1632"/>
      <c r="I93" s="1633"/>
      <c r="J93" s="1634"/>
      <c r="K93" s="1635"/>
      <c r="M93" s="1636"/>
      <c r="N93" s="1633"/>
      <c r="O93" s="1761"/>
      <c r="P93" s="1633"/>
      <c r="Q93" s="1778"/>
      <c r="T93" s="1637"/>
      <c r="U93" s="1637"/>
      <c r="W93" s="1638"/>
    </row>
    <row r="94" spans="2:31">
      <c r="C94" s="1632"/>
      <c r="I94" s="1633"/>
      <c r="J94" s="1634"/>
      <c r="K94" s="1635"/>
      <c r="M94" s="1636"/>
      <c r="N94" s="1633"/>
      <c r="O94" s="1761"/>
      <c r="P94" s="1633"/>
      <c r="Q94" s="1778"/>
      <c r="T94" s="1637"/>
      <c r="U94" s="1637"/>
      <c r="W94" s="1638"/>
    </row>
    <row r="95" spans="2:31">
      <c r="C95" s="1632"/>
      <c r="I95" s="1633"/>
      <c r="J95" s="1634"/>
      <c r="K95" s="1635"/>
      <c r="M95" s="1636"/>
      <c r="N95" s="1633"/>
      <c r="O95" s="1761"/>
      <c r="P95" s="1633"/>
      <c r="Q95" s="1778"/>
      <c r="T95" s="1637"/>
      <c r="U95" s="1637"/>
      <c r="W95" s="1638"/>
    </row>
    <row r="96" spans="2:31">
      <c r="C96" s="1632"/>
      <c r="I96" s="1633"/>
      <c r="J96" s="1634"/>
      <c r="K96" s="1635"/>
      <c r="M96" s="1636"/>
      <c r="N96" s="1633"/>
      <c r="O96" s="1761"/>
      <c r="P96" s="1633"/>
      <c r="Q96" s="1778"/>
      <c r="T96" s="1637"/>
      <c r="U96" s="1637"/>
      <c r="W96" s="1638"/>
    </row>
    <row r="97" spans="3:23">
      <c r="C97" s="1632"/>
      <c r="I97" s="1633"/>
      <c r="J97" s="1634"/>
      <c r="K97" s="1635"/>
      <c r="M97" s="1636"/>
      <c r="N97" s="1633"/>
      <c r="O97" s="1761"/>
      <c r="P97" s="1633"/>
      <c r="Q97" s="1778"/>
      <c r="T97" s="1637"/>
      <c r="U97" s="1637"/>
      <c r="W97" s="1638"/>
    </row>
    <row r="98" spans="3:23">
      <c r="C98" s="1544"/>
      <c r="J98" s="1634"/>
      <c r="K98" s="1635"/>
      <c r="Q98" s="1778"/>
      <c r="T98" s="1637"/>
      <c r="U98" s="1637"/>
      <c r="W98" s="1638"/>
    </row>
    <row r="99" spans="3:23">
      <c r="C99" s="1544"/>
      <c r="J99" s="1634"/>
      <c r="K99" s="1635"/>
      <c r="Q99" s="1778"/>
      <c r="T99" s="1637"/>
      <c r="U99" s="1637"/>
    </row>
    <row r="100" spans="3:23">
      <c r="J100" s="1634"/>
      <c r="K100" s="1635"/>
      <c r="Q100" s="1778"/>
      <c r="T100" s="1637"/>
      <c r="U100" s="1637"/>
    </row>
    <row r="101" spans="3:23">
      <c r="J101" s="1634"/>
      <c r="K101" s="1635"/>
      <c r="Q101" s="1778"/>
      <c r="T101" s="1637"/>
      <c r="U101" s="1637"/>
    </row>
    <row r="102" spans="3:23">
      <c r="J102" s="1634"/>
      <c r="K102" s="1635"/>
      <c r="Q102" s="1778"/>
      <c r="T102" s="1637"/>
      <c r="U102" s="1637"/>
    </row>
    <row r="103" spans="3:23">
      <c r="J103" s="1634"/>
      <c r="K103" s="1635"/>
      <c r="Q103" s="1778"/>
      <c r="T103" s="1637"/>
      <c r="U103" s="1637"/>
    </row>
    <row r="104" spans="3:23">
      <c r="J104" s="1639"/>
      <c r="K104" s="1640"/>
      <c r="Q104" s="1778"/>
      <c r="T104" s="1637"/>
      <c r="U104" s="1637"/>
    </row>
    <row r="105" spans="3:23">
      <c r="J105" s="1639"/>
      <c r="K105" s="1640"/>
      <c r="Q105" s="1778"/>
      <c r="T105" s="1641"/>
      <c r="U105" s="1641"/>
    </row>
    <row r="106" spans="3:23">
      <c r="T106" s="1641"/>
      <c r="U106" s="1641"/>
    </row>
  </sheetData>
  <mergeCells count="22">
    <mergeCell ref="L11:M11"/>
    <mergeCell ref="N11:O11"/>
    <mergeCell ref="P11:Q11"/>
    <mergeCell ref="X9:X13"/>
    <mergeCell ref="Z9:Z13"/>
    <mergeCell ref="AA9:AA13"/>
    <mergeCell ref="I9:J11"/>
    <mergeCell ref="L9:Q10"/>
    <mergeCell ref="R9:R12"/>
    <mergeCell ref="S9:S12"/>
    <mergeCell ref="T9:T12"/>
    <mergeCell ref="U9:U12"/>
    <mergeCell ref="B3:T3"/>
    <mergeCell ref="B4:T4"/>
    <mergeCell ref="V4:W4"/>
    <mergeCell ref="B5:T5"/>
    <mergeCell ref="B7:T7"/>
    <mergeCell ref="B9:B12"/>
    <mergeCell ref="C9:C12"/>
    <mergeCell ref="D9:D12"/>
    <mergeCell ref="E9:G12"/>
    <mergeCell ref="H9:H12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C85A-D5A5-4D03-AB4B-F55B9E9B9214}">
  <sheetPr>
    <tabColor rgb="FFCCFF33"/>
  </sheetPr>
  <dimension ref="B1:Z40"/>
  <sheetViews>
    <sheetView zoomScale="70" zoomScaleNormal="70" workbookViewId="0">
      <pane xSplit="11" ySplit="9" topLeftCell="L15" activePane="bottomRight" state="frozen"/>
      <selection activeCell="L22" sqref="L22"/>
      <selection pane="topRight" activeCell="L22" sqref="L22"/>
      <selection pane="bottomLeft" activeCell="L22" sqref="L22"/>
      <selection pane="bottomRight" activeCell="AD19" sqref="AD19"/>
    </sheetView>
  </sheetViews>
  <sheetFormatPr defaultColWidth="9.140625" defaultRowHeight="22.5"/>
  <cols>
    <col min="1" max="1" width="3" style="1646" customWidth="1"/>
    <col min="2" max="2" width="5.7109375" style="1544" customWidth="1"/>
    <col min="3" max="3" width="22.7109375" style="1545" customWidth="1"/>
    <col min="4" max="4" width="21.42578125" style="1544" customWidth="1"/>
    <col min="5" max="5" width="16.5703125" style="1546" hidden="1" customWidth="1"/>
    <col min="6" max="6" width="14.85546875" style="1546" hidden="1" customWidth="1"/>
    <col min="7" max="7" width="20" style="1546" customWidth="1"/>
    <col min="8" max="8" width="16.85546875" style="1546" hidden="1" customWidth="1"/>
    <col min="9" max="9" width="18.85546875" style="1546" hidden="1" customWidth="1"/>
    <col min="10" max="10" width="15.5703125" style="1546" hidden="1" customWidth="1"/>
    <col min="11" max="11" width="9.7109375" style="1713" hidden="1" customWidth="1"/>
    <col min="12" max="12" width="19.85546875" style="1546" customWidth="1"/>
    <col min="13" max="13" width="11.42578125" style="1549" customWidth="1"/>
    <col min="14" max="14" width="19.140625" style="1546" customWidth="1"/>
    <col min="15" max="15" width="20.140625" style="1546" customWidth="1"/>
    <col min="16" max="16" width="11.42578125" style="2632" customWidth="1"/>
    <col min="17" max="17" width="16.85546875" style="1546" hidden="1" customWidth="1"/>
    <col min="18" max="18" width="17.85546875" style="1546" hidden="1" customWidth="1"/>
    <col min="19" max="19" width="8.85546875" style="1546" hidden="1" customWidth="1"/>
    <col min="20" max="20" width="14.42578125" style="1546" hidden="1" customWidth="1"/>
    <col min="21" max="21" width="18.140625" style="1546" customWidth="1"/>
    <col min="22" max="22" width="18.7109375" style="1844" hidden="1" customWidth="1"/>
    <col min="23" max="23" width="9.7109375" style="1845" hidden="1" customWidth="1"/>
    <col min="24" max="24" width="16.42578125" style="1806" hidden="1" customWidth="1"/>
    <col min="25" max="25" width="15.28515625" style="1646" hidden="1" customWidth="1"/>
    <col min="26" max="26" width="13.7109375" style="1646" hidden="1" customWidth="1"/>
    <col min="27" max="16384" width="9.140625" style="1646"/>
  </cols>
  <sheetData>
    <row r="1" spans="2:26" ht="12" customHeight="1">
      <c r="K1" s="1644" t="s">
        <v>949</v>
      </c>
      <c r="P1" s="2612" t="s">
        <v>949</v>
      </c>
      <c r="Q1" s="1645"/>
      <c r="R1" s="1645"/>
      <c r="S1" s="1645"/>
      <c r="T1" s="1645"/>
      <c r="U1" s="1645"/>
      <c r="V1" s="1804"/>
      <c r="W1" s="1805"/>
    </row>
    <row r="2" spans="2:26" s="1647" customFormat="1" ht="25.5" customHeight="1">
      <c r="B2" s="2613" t="s">
        <v>5438</v>
      </c>
      <c r="C2" s="2613"/>
      <c r="D2" s="2613"/>
      <c r="E2" s="2613"/>
      <c r="F2" s="2613"/>
      <c r="G2" s="2613"/>
      <c r="H2" s="2613"/>
      <c r="I2" s="2613"/>
      <c r="J2" s="2613"/>
      <c r="K2" s="2613"/>
      <c r="L2" s="2613"/>
      <c r="M2" s="2613"/>
      <c r="N2" s="2613"/>
      <c r="O2" s="2613"/>
      <c r="P2" s="2613"/>
      <c r="Q2" s="2613"/>
      <c r="R2" s="2613"/>
      <c r="S2" s="2613"/>
      <c r="T2" s="2613"/>
      <c r="U2" s="2613"/>
      <c r="V2" s="2613"/>
      <c r="W2" s="2613"/>
      <c r="X2" s="1807"/>
    </row>
    <row r="3" spans="2:26" s="1647" customFormat="1" ht="25.5" customHeight="1">
      <c r="B3" s="2614" t="s">
        <v>836</v>
      </c>
      <c r="C3" s="2614"/>
      <c r="D3" s="2614"/>
      <c r="E3" s="2614"/>
      <c r="F3" s="2614"/>
      <c r="G3" s="2614"/>
      <c r="H3" s="2614"/>
      <c r="I3" s="2614"/>
      <c r="J3" s="2614"/>
      <c r="K3" s="2614"/>
      <c r="L3" s="2614"/>
      <c r="M3" s="2614"/>
      <c r="N3" s="2614"/>
      <c r="O3" s="2614"/>
      <c r="P3" s="2614"/>
      <c r="Q3" s="2614"/>
      <c r="R3" s="2614"/>
      <c r="S3" s="2614"/>
      <c r="T3" s="2614"/>
      <c r="U3" s="2614"/>
      <c r="V3" s="2614"/>
      <c r="W3" s="2614"/>
      <c r="X3" s="1807"/>
    </row>
    <row r="4" spans="2:26" s="1647" customFormat="1" ht="25.5" customHeight="1">
      <c r="B4" s="2614" t="str">
        <f>[8]จังหวัด!A5</f>
        <v xml:space="preserve">ข้อมูลสะสมตั้งแต่วันที่ 1 ตุลาคม 2566  ถึงวันที่ 15 กันยายน 2567 </v>
      </c>
      <c r="C4" s="2614"/>
      <c r="D4" s="2614"/>
      <c r="E4" s="2614"/>
      <c r="F4" s="2614"/>
      <c r="G4" s="2614"/>
      <c r="H4" s="2614"/>
      <c r="I4" s="2614"/>
      <c r="J4" s="2614"/>
      <c r="K4" s="2614"/>
      <c r="L4" s="2614"/>
      <c r="M4" s="2614"/>
      <c r="N4" s="2614"/>
      <c r="O4" s="2614"/>
      <c r="P4" s="2614"/>
      <c r="Q4" s="2614"/>
      <c r="R4" s="2614"/>
      <c r="S4" s="2614"/>
      <c r="T4" s="2614"/>
      <c r="U4" s="2614"/>
      <c r="V4" s="2614"/>
      <c r="W4" s="2614"/>
      <c r="X4" s="1807"/>
    </row>
    <row r="5" spans="2:26" s="1647" customFormat="1" ht="25.5" customHeight="1">
      <c r="B5" s="2615" t="s">
        <v>804</v>
      </c>
      <c r="C5" s="2615"/>
      <c r="D5" s="2615"/>
      <c r="E5" s="2615"/>
      <c r="F5" s="2615"/>
      <c r="G5" s="2615"/>
      <c r="H5" s="2615"/>
      <c r="I5" s="2615"/>
      <c r="J5" s="2615"/>
      <c r="K5" s="2615"/>
      <c r="L5" s="2615"/>
      <c r="M5" s="2615"/>
      <c r="N5" s="2615"/>
      <c r="O5" s="2615"/>
      <c r="P5" s="2615"/>
      <c r="Q5" s="2615"/>
      <c r="R5" s="2615"/>
      <c r="S5" s="2615"/>
      <c r="T5" s="2615"/>
      <c r="U5" s="2615"/>
      <c r="V5" s="2615"/>
      <c r="W5" s="2615"/>
      <c r="X5" s="1807"/>
    </row>
    <row r="6" spans="2:26" s="1553" customFormat="1" ht="27" customHeight="1">
      <c r="B6" s="2105" t="s">
        <v>376</v>
      </c>
      <c r="C6" s="2061" t="s">
        <v>723</v>
      </c>
      <c r="D6" s="2061" t="s">
        <v>724</v>
      </c>
      <c r="E6" s="1648" t="s">
        <v>1224</v>
      </c>
      <c r="F6" s="1649"/>
      <c r="G6" s="2127" t="s">
        <v>950</v>
      </c>
      <c r="H6" s="1649"/>
      <c r="I6" s="1650"/>
      <c r="J6" s="2129" t="s">
        <v>951</v>
      </c>
      <c r="K6" s="2130"/>
      <c r="L6" s="2133" t="s">
        <v>1236</v>
      </c>
      <c r="M6" s="2134"/>
      <c r="N6" s="2134"/>
      <c r="O6" s="2134"/>
      <c r="P6" s="2134"/>
      <c r="Q6" s="2122" t="s">
        <v>807</v>
      </c>
      <c r="R6" s="2122"/>
      <c r="S6" s="2122"/>
      <c r="T6" s="1652"/>
      <c r="U6" s="2123" t="s">
        <v>4</v>
      </c>
      <c r="V6" s="2124" t="s">
        <v>971</v>
      </c>
      <c r="W6" s="2052" t="s">
        <v>861</v>
      </c>
      <c r="X6" s="1808"/>
      <c r="Y6" s="1809"/>
    </row>
    <row r="7" spans="2:26" s="1553" customFormat="1" ht="45" customHeight="1">
      <c r="B7" s="2106"/>
      <c r="C7" s="2108"/>
      <c r="D7" s="2108"/>
      <c r="E7" s="1653"/>
      <c r="F7" s="1654"/>
      <c r="G7" s="2128"/>
      <c r="H7" s="1654"/>
      <c r="I7" s="1655"/>
      <c r="J7" s="2131"/>
      <c r="K7" s="2132"/>
      <c r="L7" s="2068" t="s">
        <v>5439</v>
      </c>
      <c r="M7" s="2069"/>
      <c r="N7" s="2616" t="s">
        <v>851</v>
      </c>
      <c r="O7" s="2617" t="s">
        <v>5440</v>
      </c>
      <c r="P7" s="2617"/>
      <c r="Q7" s="1573"/>
      <c r="R7" s="1573"/>
      <c r="S7" s="1573"/>
      <c r="T7" s="1573"/>
      <c r="U7" s="2092"/>
      <c r="V7" s="2125"/>
      <c r="W7" s="2097"/>
      <c r="X7" s="1810"/>
      <c r="Y7" s="1811"/>
    </row>
    <row r="8" spans="2:26" s="1578" customFormat="1" ht="23.25" customHeight="1">
      <c r="B8" s="2106"/>
      <c r="C8" s="2108"/>
      <c r="D8" s="2108"/>
      <c r="E8" s="1573" t="s">
        <v>837</v>
      </c>
      <c r="F8" s="1573" t="s">
        <v>428</v>
      </c>
      <c r="G8" s="2128"/>
      <c r="H8" s="1656" t="s">
        <v>952</v>
      </c>
      <c r="I8" s="1657" t="s">
        <v>808</v>
      </c>
      <c r="J8" s="1454" t="s">
        <v>803</v>
      </c>
      <c r="K8" s="1658" t="s">
        <v>12</v>
      </c>
      <c r="L8" s="1583" t="s">
        <v>803</v>
      </c>
      <c r="M8" s="1659" t="s">
        <v>12</v>
      </c>
      <c r="N8" s="1580" t="s">
        <v>803</v>
      </c>
      <c r="O8" s="1651" t="s">
        <v>803</v>
      </c>
      <c r="P8" s="1660" t="s">
        <v>12</v>
      </c>
      <c r="Q8" s="1661" t="s">
        <v>953</v>
      </c>
      <c r="R8" s="1661" t="s">
        <v>809</v>
      </c>
      <c r="S8" s="1662" t="s">
        <v>12</v>
      </c>
      <c r="T8" s="1662"/>
      <c r="U8" s="2092"/>
      <c r="V8" s="2126"/>
      <c r="W8" s="2098"/>
      <c r="X8" s="1812" t="s">
        <v>957</v>
      </c>
      <c r="Y8" s="1813" t="s">
        <v>1190</v>
      </c>
    </row>
    <row r="9" spans="2:26" s="1553" customFormat="1" ht="26.25" customHeight="1" thickBot="1">
      <c r="B9" s="1589"/>
      <c r="C9" s="1589"/>
      <c r="D9" s="1590" t="s">
        <v>273</v>
      </c>
      <c r="E9" s="1591">
        <f>SUM(E10:E20)</f>
        <v>47000105</v>
      </c>
      <c r="F9" s="1591">
        <f>SUM(F10:F20)</f>
        <v>0</v>
      </c>
      <c r="G9" s="1591">
        <f>SUM(G10:G20)</f>
        <v>47000105</v>
      </c>
      <c r="H9" s="1591">
        <f>SUM(H10:H20)</f>
        <v>4242000</v>
      </c>
      <c r="I9" s="1591">
        <f>SUM(I10:I20)</f>
        <v>42758105</v>
      </c>
      <c r="J9" s="1591">
        <v>71534966.920000002</v>
      </c>
      <c r="K9" s="2618">
        <v>88.301875480524942</v>
      </c>
      <c r="L9" s="2619">
        <f>SUM(L10:L20)</f>
        <v>42051072.280000001</v>
      </c>
      <c r="M9" s="1594">
        <f>+L9*100/G9</f>
        <v>89.470166673031898</v>
      </c>
      <c r="N9" s="1591">
        <f>SUM(N10:N20)</f>
        <v>2701890</v>
      </c>
      <c r="O9" s="1591">
        <f t="shared" ref="O9:O20" si="0">L9+N9</f>
        <v>44752962.280000001</v>
      </c>
      <c r="P9" s="2620">
        <f t="shared" ref="P9:P20" si="1">O9*100/G9</f>
        <v>95.218855957874993</v>
      </c>
      <c r="Q9" s="1591">
        <f>SUM(Q10:Q20)</f>
        <v>4398000</v>
      </c>
      <c r="R9" s="1591">
        <f>SUM(R10:R20)</f>
        <v>42602105</v>
      </c>
      <c r="S9" s="1591">
        <f t="shared" ref="S9:S20" si="2">+L9*100/R9</f>
        <v>98.706559875386432</v>
      </c>
      <c r="T9" s="1591"/>
      <c r="U9" s="1591">
        <f t="shared" ref="U9:U20" si="3">G9-O9</f>
        <v>2247142.7199999988</v>
      </c>
      <c r="V9" s="1596">
        <f>SUM(V10:V20)</f>
        <v>191655.75999999998</v>
      </c>
      <c r="W9" s="2621">
        <f>+P9-K9</f>
        <v>6.9169804773500516</v>
      </c>
      <c r="X9" s="1596">
        <f>SUM(X10:X20)</f>
        <v>79868768.620000005</v>
      </c>
      <c r="Y9" s="1596">
        <f>SUM(Y10:Y20)</f>
        <v>-32868663.620000008</v>
      </c>
      <c r="Z9" s="1557"/>
    </row>
    <row r="10" spans="2:26" s="1553" customFormat="1" ht="27.75" customHeight="1" thickTop="1">
      <c r="B10" s="1665">
        <v>1</v>
      </c>
      <c r="C10" s="1665">
        <v>1500400118</v>
      </c>
      <c r="D10" s="1666" t="s">
        <v>729</v>
      </c>
      <c r="E10" s="1667">
        <f t="shared" ref="E10:E20" si="4">SUM(G10+F10)</f>
        <v>6145845.54</v>
      </c>
      <c r="F10" s="1667">
        <f>+[9]คืนเงินส่วนกลาง!C107</f>
        <v>0</v>
      </c>
      <c r="G10" s="1667">
        <f>[8]ศพช.!G15</f>
        <v>6145845.54</v>
      </c>
      <c r="H10" s="1667">
        <v>396000</v>
      </c>
      <c r="I10" s="1667">
        <f t="shared" ref="I10:I20" si="5">+G10-H10</f>
        <v>5749845.54</v>
      </c>
      <c r="J10" s="1668">
        <v>8363273.0999999996</v>
      </c>
      <c r="K10" s="1669">
        <v>92.49500617653031</v>
      </c>
      <c r="L10" s="1670">
        <f>[8]NFMA47!L2644</f>
        <v>4093928.35</v>
      </c>
      <c r="M10" s="1671">
        <f>SUM(L10*100/G10)</f>
        <v>66.612939153039633</v>
      </c>
      <c r="N10" s="1668">
        <f>[8]NFMA47!K2644</f>
        <v>1903000</v>
      </c>
      <c r="O10" s="1668">
        <f t="shared" si="0"/>
        <v>5996928.3499999996</v>
      </c>
      <c r="P10" s="1672">
        <f t="shared" si="1"/>
        <v>97.576945449885159</v>
      </c>
      <c r="Q10" s="1668">
        <f>1488000/2</f>
        <v>744000</v>
      </c>
      <c r="R10" s="1668">
        <f t="shared" ref="R10:R20" si="6">+G10-Q10</f>
        <v>5401845.54</v>
      </c>
      <c r="S10" s="1668">
        <f t="shared" si="2"/>
        <v>75.787586292221164</v>
      </c>
      <c r="T10" s="1668"/>
      <c r="U10" s="1668">
        <f t="shared" si="3"/>
        <v>148917.19000000041</v>
      </c>
      <c r="V10" s="1600">
        <v>14590</v>
      </c>
      <c r="W10" s="1814">
        <f t="shared" ref="W10:W20" si="7">+P10-K10</f>
        <v>5.0819392733548483</v>
      </c>
      <c r="X10" s="1815">
        <v>5795100</v>
      </c>
      <c r="Y10" s="1816">
        <f t="shared" ref="Y10:Y20" si="8">+G10-X10</f>
        <v>350745.54000000004</v>
      </c>
      <c r="Z10" s="1557"/>
    </row>
    <row r="11" spans="2:26" s="1553" customFormat="1" ht="27.75" customHeight="1">
      <c r="B11" s="1608">
        <v>2</v>
      </c>
      <c r="C11" s="2622">
        <v>1500400113</v>
      </c>
      <c r="D11" s="1609" t="s">
        <v>725</v>
      </c>
      <c r="E11" s="1673">
        <f t="shared" si="4"/>
        <v>2947060.43</v>
      </c>
      <c r="F11" s="1673">
        <f>+[9]คืนเงินส่วนกลาง!C108</f>
        <v>0</v>
      </c>
      <c r="G11" s="1673">
        <f>[8]ศพช.!G10</f>
        <v>2947060.43</v>
      </c>
      <c r="H11" s="1673">
        <v>540000</v>
      </c>
      <c r="I11" s="1673">
        <f t="shared" si="5"/>
        <v>2407060.4300000002</v>
      </c>
      <c r="J11" s="1674">
        <v>7233625.5999999996</v>
      </c>
      <c r="K11" s="1675">
        <v>89.956792774664535</v>
      </c>
      <c r="L11" s="1676">
        <f>[8]NFMA47!L2587</f>
        <v>2854497.71</v>
      </c>
      <c r="M11" s="1610">
        <f>SUM(L11*100/G11)</f>
        <v>96.859150933664424</v>
      </c>
      <c r="N11" s="1674">
        <f>[8]NFMA47!K2587</f>
        <v>0</v>
      </c>
      <c r="O11" s="1674">
        <f t="shared" si="0"/>
        <v>2854497.71</v>
      </c>
      <c r="P11" s="1677">
        <f t="shared" si="1"/>
        <v>96.859150933664424</v>
      </c>
      <c r="Q11" s="1674">
        <f>864000/2</f>
        <v>432000</v>
      </c>
      <c r="R11" s="1674">
        <f t="shared" si="6"/>
        <v>2515060.4300000002</v>
      </c>
      <c r="S11" s="1678">
        <f t="shared" si="2"/>
        <v>113.49618784308892</v>
      </c>
      <c r="T11" s="1678"/>
      <c r="U11" s="1678">
        <f t="shared" si="3"/>
        <v>92562.720000000205</v>
      </c>
      <c r="V11" s="1817"/>
      <c r="W11" s="1821">
        <f t="shared" si="7"/>
        <v>6.9023581589998884</v>
      </c>
      <c r="X11" s="1819">
        <v>7935000</v>
      </c>
      <c r="Y11" s="1820">
        <f t="shared" si="8"/>
        <v>-4987939.57</v>
      </c>
      <c r="Z11" s="1557"/>
    </row>
    <row r="12" spans="2:26" s="1553" customFormat="1" ht="27.75" customHeight="1">
      <c r="B12" s="1608">
        <v>3</v>
      </c>
      <c r="C12" s="1608">
        <v>1500400116</v>
      </c>
      <c r="D12" s="1609" t="s">
        <v>728</v>
      </c>
      <c r="E12" s="1673">
        <f t="shared" si="4"/>
        <v>4167529.34</v>
      </c>
      <c r="F12" s="1673">
        <f>+[9]คืนเงินส่วนกลาง!C102</f>
        <v>0</v>
      </c>
      <c r="G12" s="1673">
        <f>[8]ศพช.!G13</f>
        <v>4167529.34</v>
      </c>
      <c r="H12" s="1673">
        <v>48000</v>
      </c>
      <c r="I12" s="1673">
        <f t="shared" si="5"/>
        <v>4119529.34</v>
      </c>
      <c r="J12" s="1674">
        <v>5939988.1200000001</v>
      </c>
      <c r="K12" s="1675">
        <v>89.301950290090218</v>
      </c>
      <c r="L12" s="1676">
        <f>[8]NFMA47!L2622</f>
        <v>3886488.68</v>
      </c>
      <c r="M12" s="1610">
        <f>L12/G12*100</f>
        <v>93.256420361518082</v>
      </c>
      <c r="N12" s="1674">
        <f>[8]NFMA47!K2622</f>
        <v>146000</v>
      </c>
      <c r="O12" s="1674">
        <f t="shared" si="0"/>
        <v>4032488.68</v>
      </c>
      <c r="P12" s="1677">
        <f t="shared" si="1"/>
        <v>96.759695037923834</v>
      </c>
      <c r="Q12" s="1674">
        <f>1176000/2</f>
        <v>588000</v>
      </c>
      <c r="R12" s="1674">
        <f t="shared" si="6"/>
        <v>3579529.34</v>
      </c>
      <c r="S12" s="1678">
        <f t="shared" si="2"/>
        <v>108.57541064323279</v>
      </c>
      <c r="T12" s="1678"/>
      <c r="U12" s="1678">
        <f t="shared" si="3"/>
        <v>135040.65999999968</v>
      </c>
      <c r="V12" s="1817">
        <v>110211.75</v>
      </c>
      <c r="W12" s="1818">
        <f t="shared" si="7"/>
        <v>7.4577447478336154</v>
      </c>
      <c r="X12" s="1819">
        <v>7756372.7699999996</v>
      </c>
      <c r="Y12" s="1820">
        <f t="shared" si="8"/>
        <v>-3588843.4299999997</v>
      </c>
      <c r="Z12" s="1557"/>
    </row>
    <row r="13" spans="2:26" s="1553" customFormat="1" ht="27.75" customHeight="1">
      <c r="B13" s="1608">
        <v>4</v>
      </c>
      <c r="C13" s="1608">
        <v>1500400119</v>
      </c>
      <c r="D13" s="1609" t="s">
        <v>730</v>
      </c>
      <c r="E13" s="1673">
        <f t="shared" si="4"/>
        <v>4712838.97</v>
      </c>
      <c r="F13" s="1673">
        <f>+[9]คืนเงินส่วนกลาง!C105</f>
        <v>0</v>
      </c>
      <c r="G13" s="1673">
        <f>[8]ศพช.!G16</f>
        <v>4712838.97</v>
      </c>
      <c r="H13" s="1673">
        <v>432000</v>
      </c>
      <c r="I13" s="1673">
        <f t="shared" si="5"/>
        <v>4280838.97</v>
      </c>
      <c r="J13" s="1674">
        <v>8230673.7699999996</v>
      </c>
      <c r="K13" s="1675">
        <v>93.268478549137413</v>
      </c>
      <c r="L13" s="1676">
        <f>[8]NFMA47!L2658</f>
        <v>3926160.6</v>
      </c>
      <c r="M13" s="1610">
        <f t="shared" ref="M13:M20" si="9">SUM(L13*100/G13)</f>
        <v>83.307760460145744</v>
      </c>
      <c r="N13" s="1674">
        <f>[8]NFMA47!K2658</f>
        <v>626000</v>
      </c>
      <c r="O13" s="1674">
        <f t="shared" si="0"/>
        <v>4552160.5999999996</v>
      </c>
      <c r="P13" s="1677">
        <f t="shared" si="1"/>
        <v>96.590624652723918</v>
      </c>
      <c r="Q13" s="1674">
        <f>600000/2</f>
        <v>300000</v>
      </c>
      <c r="R13" s="1674">
        <f t="shared" si="6"/>
        <v>4412838.97</v>
      </c>
      <c r="S13" s="1678">
        <f t="shared" si="2"/>
        <v>88.971309098097464</v>
      </c>
      <c r="T13" s="1678"/>
      <c r="U13" s="1678">
        <f t="shared" si="3"/>
        <v>160678.37000000011</v>
      </c>
      <c r="V13" s="1817">
        <v>24046</v>
      </c>
      <c r="W13" s="1818">
        <f t="shared" si="7"/>
        <v>3.3221461035865048</v>
      </c>
      <c r="X13" s="1819">
        <v>7957893.54</v>
      </c>
      <c r="Y13" s="1820">
        <f t="shared" si="8"/>
        <v>-3245054.5700000003</v>
      </c>
      <c r="Z13" s="1557"/>
    </row>
    <row r="14" spans="2:26" s="1553" customFormat="1" ht="27.75" customHeight="1">
      <c r="B14" s="1608">
        <v>5</v>
      </c>
      <c r="C14" s="1608">
        <v>1500400117</v>
      </c>
      <c r="D14" s="1609" t="s">
        <v>904</v>
      </c>
      <c r="E14" s="1673">
        <f t="shared" si="4"/>
        <v>4589084.5999999996</v>
      </c>
      <c r="F14" s="1673">
        <f>+[9]คืนเงินส่วนกลาง!C106</f>
        <v>0</v>
      </c>
      <c r="G14" s="1673">
        <f>[8]ศพช.!G14</f>
        <v>4589084.5999999996</v>
      </c>
      <c r="H14" s="1673">
        <v>300000</v>
      </c>
      <c r="I14" s="1673">
        <f t="shared" si="5"/>
        <v>4289084.5999999996</v>
      </c>
      <c r="J14" s="1674">
        <v>8810006.7300000004</v>
      </c>
      <c r="K14" s="1675">
        <v>88.16424549269972</v>
      </c>
      <c r="L14" s="1676">
        <f>[8]NFMA47!L2634</f>
        <v>4412353.5199999996</v>
      </c>
      <c r="M14" s="1610">
        <f t="shared" si="9"/>
        <v>96.148881630990189</v>
      </c>
      <c r="N14" s="1674">
        <f>[8]NFMA47!K2634</f>
        <v>0</v>
      </c>
      <c r="O14" s="1674">
        <f t="shared" si="0"/>
        <v>4412353.5199999996</v>
      </c>
      <c r="P14" s="1677">
        <f t="shared" si="1"/>
        <v>96.148881630990189</v>
      </c>
      <c r="Q14" s="1674">
        <f>96000/2</f>
        <v>48000</v>
      </c>
      <c r="R14" s="1674">
        <f t="shared" si="6"/>
        <v>4541084.5999999996</v>
      </c>
      <c r="S14" s="1678">
        <f t="shared" si="2"/>
        <v>97.16519088853795</v>
      </c>
      <c r="T14" s="1678"/>
      <c r="U14" s="1678">
        <f t="shared" si="3"/>
        <v>176731.08000000007</v>
      </c>
      <c r="V14" s="1817">
        <v>7481.18</v>
      </c>
      <c r="W14" s="1818">
        <f t="shared" si="7"/>
        <v>7.9846361382904689</v>
      </c>
      <c r="X14" s="1819">
        <v>6443260</v>
      </c>
      <c r="Y14" s="1820">
        <f t="shared" si="8"/>
        <v>-1854175.4000000004</v>
      </c>
      <c r="Z14" s="1557"/>
    </row>
    <row r="15" spans="2:26" s="1553" customFormat="1" ht="27.75" customHeight="1">
      <c r="B15" s="1608">
        <v>6</v>
      </c>
      <c r="C15" s="1608">
        <v>1500400115</v>
      </c>
      <c r="D15" s="1629" t="s">
        <v>727</v>
      </c>
      <c r="E15" s="1673">
        <f t="shared" si="4"/>
        <v>3939020.03</v>
      </c>
      <c r="F15" s="1673">
        <f>+[9]คืนเงินส่วนกลาง!C110</f>
        <v>0</v>
      </c>
      <c r="G15" s="1673">
        <f>[8]ศพช.!G12</f>
        <v>3939020.03</v>
      </c>
      <c r="H15" s="1673">
        <v>192000</v>
      </c>
      <c r="I15" s="1673">
        <f t="shared" si="5"/>
        <v>3747020.03</v>
      </c>
      <c r="J15" s="1674">
        <v>4911755.5</v>
      </c>
      <c r="K15" s="1675">
        <v>87.056431627054053</v>
      </c>
      <c r="L15" s="1676">
        <f>[8]NFMA47!L2611</f>
        <v>3778909.31</v>
      </c>
      <c r="M15" s="1610">
        <f t="shared" si="9"/>
        <v>95.935265147661624</v>
      </c>
      <c r="N15" s="1674">
        <f>[8]NFMA47!K2611</f>
        <v>0</v>
      </c>
      <c r="O15" s="1674">
        <f t="shared" si="0"/>
        <v>3778909.31</v>
      </c>
      <c r="P15" s="1677">
        <f t="shared" si="1"/>
        <v>95.935265147661624</v>
      </c>
      <c r="Q15" s="1674">
        <f>1080000/2</f>
        <v>540000</v>
      </c>
      <c r="R15" s="1674">
        <f t="shared" si="6"/>
        <v>3399020.03</v>
      </c>
      <c r="S15" s="1678">
        <f t="shared" si="2"/>
        <v>111.17643546219409</v>
      </c>
      <c r="T15" s="1678"/>
      <c r="U15" s="1678">
        <f t="shared" si="3"/>
        <v>160110.71999999974</v>
      </c>
      <c r="V15" s="1817"/>
      <c r="W15" s="1818">
        <f t="shared" si="7"/>
        <v>8.8788335206075715</v>
      </c>
      <c r="X15" s="1819">
        <v>5089027.5600000005</v>
      </c>
      <c r="Y15" s="1820">
        <f t="shared" si="8"/>
        <v>-1150007.5300000007</v>
      </c>
      <c r="Z15" s="1557"/>
    </row>
    <row r="16" spans="2:26" s="1553" customFormat="1" ht="27.75" customHeight="1">
      <c r="B16" s="1608">
        <v>7</v>
      </c>
      <c r="C16" s="1608">
        <v>1500400121</v>
      </c>
      <c r="D16" s="1609" t="s">
        <v>732</v>
      </c>
      <c r="E16" s="1673">
        <f t="shared" si="4"/>
        <v>3075422.98</v>
      </c>
      <c r="F16" s="1673">
        <f>+[9]คืนเงินส่วนกลาง!C109</f>
        <v>0</v>
      </c>
      <c r="G16" s="1673">
        <f>[8]ศพช.!G18</f>
        <v>3075422.98</v>
      </c>
      <c r="H16" s="1673">
        <v>336000</v>
      </c>
      <c r="I16" s="1673">
        <f t="shared" si="5"/>
        <v>2739422.98</v>
      </c>
      <c r="J16" s="1674">
        <v>6387468.7599999998</v>
      </c>
      <c r="K16" s="1675">
        <v>91.050291452161105</v>
      </c>
      <c r="L16" s="1676">
        <f>[8]NFMA47!L2681</f>
        <v>2942615.84</v>
      </c>
      <c r="M16" s="1610">
        <f t="shared" si="9"/>
        <v>95.681662624501811</v>
      </c>
      <c r="N16" s="1674">
        <f>[8]NFMA47!K2681</f>
        <v>0</v>
      </c>
      <c r="O16" s="1674">
        <f t="shared" si="0"/>
        <v>2942615.84</v>
      </c>
      <c r="P16" s="1677">
        <f t="shared" si="1"/>
        <v>95.681662624501811</v>
      </c>
      <c r="Q16" s="1674">
        <f>792000/2</f>
        <v>396000</v>
      </c>
      <c r="R16" s="1674">
        <f t="shared" si="6"/>
        <v>2679422.98</v>
      </c>
      <c r="S16" s="1678">
        <f t="shared" si="2"/>
        <v>109.82274399990403</v>
      </c>
      <c r="T16" s="1678"/>
      <c r="U16" s="1678">
        <f t="shared" si="3"/>
        <v>132807.14000000013</v>
      </c>
      <c r="V16" s="1817"/>
      <c r="W16" s="1818">
        <f t="shared" si="7"/>
        <v>4.6313711723407067</v>
      </c>
      <c r="X16" s="1819">
        <v>7589393.5800000001</v>
      </c>
      <c r="Y16" s="1820">
        <f t="shared" si="8"/>
        <v>-4513970.5999999996</v>
      </c>
      <c r="Z16" s="1557"/>
    </row>
    <row r="17" spans="2:26" s="1553" customFormat="1" ht="27.75" customHeight="1">
      <c r="B17" s="1608">
        <v>8</v>
      </c>
      <c r="C17" s="1608">
        <v>1500400120</v>
      </c>
      <c r="D17" s="1609" t="s">
        <v>4630</v>
      </c>
      <c r="E17" s="1673">
        <f t="shared" si="4"/>
        <v>4124012.75</v>
      </c>
      <c r="F17" s="1673">
        <f>+[9]คืนเงินส่วนกลาง!C104</f>
        <v>0</v>
      </c>
      <c r="G17" s="1673">
        <f>[8]ศพช.!G17</f>
        <v>4124012.75</v>
      </c>
      <c r="H17" s="1673">
        <v>270000</v>
      </c>
      <c r="I17" s="1673">
        <f t="shared" si="5"/>
        <v>3854012.75</v>
      </c>
      <c r="J17" s="1674">
        <v>4820075.67</v>
      </c>
      <c r="K17" s="1675">
        <v>86.670733282338418</v>
      </c>
      <c r="L17" s="1676">
        <f>[8]NFMA47!L2669</f>
        <v>3914129.22</v>
      </c>
      <c r="M17" s="1610">
        <f t="shared" si="9"/>
        <v>94.910696384243721</v>
      </c>
      <c r="N17" s="1674">
        <f>[8]NFMA47!K2669</f>
        <v>18190</v>
      </c>
      <c r="O17" s="1674">
        <f t="shared" si="0"/>
        <v>3932319.22</v>
      </c>
      <c r="P17" s="1677">
        <f t="shared" si="1"/>
        <v>95.351771645225881</v>
      </c>
      <c r="Q17" s="1674">
        <f>672000/2</f>
        <v>336000</v>
      </c>
      <c r="R17" s="1674">
        <f t="shared" si="6"/>
        <v>3788012.75</v>
      </c>
      <c r="S17" s="1678">
        <f t="shared" si="2"/>
        <v>103.32935706195815</v>
      </c>
      <c r="T17" s="1678"/>
      <c r="U17" s="1678">
        <f t="shared" si="3"/>
        <v>191693.5299999998</v>
      </c>
      <c r="V17" s="1817"/>
      <c r="W17" s="1818">
        <f t="shared" si="7"/>
        <v>8.6810383628874632</v>
      </c>
      <c r="X17" s="1819">
        <v>12613500</v>
      </c>
      <c r="Y17" s="1820">
        <f t="shared" si="8"/>
        <v>-8489487.25</v>
      </c>
      <c r="Z17" s="1557"/>
    </row>
    <row r="18" spans="2:26" s="1553" customFormat="1" ht="27.75" customHeight="1">
      <c r="B18" s="1608">
        <v>9</v>
      </c>
      <c r="C18" s="1608">
        <v>1500400114</v>
      </c>
      <c r="D18" s="1609" t="s">
        <v>726</v>
      </c>
      <c r="E18" s="1673">
        <f t="shared" si="4"/>
        <v>4357443.21</v>
      </c>
      <c r="F18" s="1673">
        <f>+[9]คืนเงินส่วนกลาง!C103</f>
        <v>0</v>
      </c>
      <c r="G18" s="1673">
        <f>[8]ศพช.!G11</f>
        <v>4357443.21</v>
      </c>
      <c r="H18" s="1673">
        <v>588000</v>
      </c>
      <c r="I18" s="1673">
        <f t="shared" si="5"/>
        <v>3769443.21</v>
      </c>
      <c r="J18" s="1674">
        <v>4298827.78</v>
      </c>
      <c r="K18" s="1675">
        <v>75.739634472188058</v>
      </c>
      <c r="L18" s="1676">
        <f>[8]NFMA47!L2599</f>
        <v>4135459.15</v>
      </c>
      <c r="M18" s="1610">
        <f t="shared" si="9"/>
        <v>94.90563504096707</v>
      </c>
      <c r="N18" s="1674">
        <f>[8]NFMA47!K2599</f>
        <v>3700</v>
      </c>
      <c r="O18" s="1674">
        <f t="shared" si="0"/>
        <v>4139159.15</v>
      </c>
      <c r="P18" s="1677">
        <f t="shared" si="1"/>
        <v>94.990547220465089</v>
      </c>
      <c r="Q18" s="1674">
        <f>600000/2</f>
        <v>300000</v>
      </c>
      <c r="R18" s="1674">
        <f t="shared" si="6"/>
        <v>4057443.21</v>
      </c>
      <c r="S18" s="1678">
        <f t="shared" si="2"/>
        <v>101.92278575354355</v>
      </c>
      <c r="T18" s="1678"/>
      <c r="U18" s="1678">
        <f t="shared" si="3"/>
        <v>218284.06000000006</v>
      </c>
      <c r="V18" s="1817">
        <v>7256.83</v>
      </c>
      <c r="W18" s="1818">
        <f t="shared" si="7"/>
        <v>19.250912748277031</v>
      </c>
      <c r="X18" s="1819">
        <v>5319927.5599999996</v>
      </c>
      <c r="Y18" s="1820">
        <f t="shared" si="8"/>
        <v>-962484.34999999963</v>
      </c>
      <c r="Z18" s="1557"/>
    </row>
    <row r="19" spans="2:26" s="1553" customFormat="1" ht="27.75" customHeight="1">
      <c r="B19" s="1608">
        <v>10</v>
      </c>
      <c r="C19" s="1608">
        <v>1500400123</v>
      </c>
      <c r="D19" s="1609" t="s">
        <v>734</v>
      </c>
      <c r="E19" s="1673">
        <f t="shared" si="4"/>
        <v>4629016.34</v>
      </c>
      <c r="F19" s="1673">
        <f>+[9]คืนเงินส่วนกลาง!C112</f>
        <v>0</v>
      </c>
      <c r="G19" s="1673">
        <f>[8]ศพช.!G20</f>
        <v>4629016.34</v>
      </c>
      <c r="H19" s="1673">
        <v>744000</v>
      </c>
      <c r="I19" s="1673">
        <f t="shared" si="5"/>
        <v>3885016.34</v>
      </c>
      <c r="J19" s="1674">
        <v>7515333.6299999999</v>
      </c>
      <c r="K19" s="1675">
        <v>87.26868327167621</v>
      </c>
      <c r="L19" s="1676">
        <f>[8]NFMA47!L2704</f>
        <v>4373206.88</v>
      </c>
      <c r="M19" s="1610">
        <f t="shared" si="9"/>
        <v>94.473783603019214</v>
      </c>
      <c r="N19" s="1674">
        <f>[8]NFMA47!K2704</f>
        <v>5000</v>
      </c>
      <c r="O19" s="1674">
        <f t="shared" si="0"/>
        <v>4378206.88</v>
      </c>
      <c r="P19" s="1677">
        <f t="shared" si="1"/>
        <v>94.58179791173518</v>
      </c>
      <c r="Q19" s="1674">
        <f>888000/2</f>
        <v>444000</v>
      </c>
      <c r="R19" s="1674">
        <f t="shared" si="6"/>
        <v>4185016.34</v>
      </c>
      <c r="S19" s="1678">
        <f t="shared" si="2"/>
        <v>104.49676953949481</v>
      </c>
      <c r="T19" s="1678"/>
      <c r="U19" s="1678">
        <f t="shared" si="3"/>
        <v>250809.45999999996</v>
      </c>
      <c r="V19" s="1817"/>
      <c r="W19" s="1818">
        <f t="shared" si="7"/>
        <v>7.3131146400589699</v>
      </c>
      <c r="X19" s="1819">
        <v>9865200</v>
      </c>
      <c r="Y19" s="1820">
        <f t="shared" si="8"/>
        <v>-5236183.66</v>
      </c>
      <c r="Z19" s="1557"/>
    </row>
    <row r="20" spans="2:26" s="1553" customFormat="1" ht="27.75" customHeight="1">
      <c r="B20" s="1608">
        <v>11</v>
      </c>
      <c r="C20" s="1608">
        <v>1500400122</v>
      </c>
      <c r="D20" s="1609" t="s">
        <v>733</v>
      </c>
      <c r="E20" s="1673">
        <f t="shared" si="4"/>
        <v>4312830.8099999996</v>
      </c>
      <c r="F20" s="1673">
        <f>+[9]คืนเงินส่วนกลาง!C111</f>
        <v>0</v>
      </c>
      <c r="G20" s="1673">
        <f>[8]ศพช.!G19</f>
        <v>4312830.8099999996</v>
      </c>
      <c r="H20" s="1673">
        <v>396000</v>
      </c>
      <c r="I20" s="1673">
        <f t="shared" si="5"/>
        <v>3916830.8099999996</v>
      </c>
      <c r="J20" s="1674">
        <v>5023938.26</v>
      </c>
      <c r="K20" s="1677">
        <v>84.386296159556323</v>
      </c>
      <c r="L20" s="1673">
        <f>[8]NFMA47!L2691</f>
        <v>3733323.02</v>
      </c>
      <c r="M20" s="1610">
        <f t="shared" si="9"/>
        <v>86.563168936367347</v>
      </c>
      <c r="N20" s="1674">
        <f>[8]NFMA47!K2691</f>
        <v>0</v>
      </c>
      <c r="O20" s="1674">
        <f t="shared" si="0"/>
        <v>3733323.02</v>
      </c>
      <c r="P20" s="1677">
        <f t="shared" si="1"/>
        <v>86.563168936367347</v>
      </c>
      <c r="Q20" s="1674">
        <f>540000/2</f>
        <v>270000</v>
      </c>
      <c r="R20" s="1674">
        <f t="shared" si="6"/>
        <v>4042830.8099999996</v>
      </c>
      <c r="S20" s="1674">
        <f t="shared" si="2"/>
        <v>92.344280417710593</v>
      </c>
      <c r="T20" s="1674"/>
      <c r="U20" s="1674">
        <f t="shared" si="3"/>
        <v>579507.78999999957</v>
      </c>
      <c r="V20" s="1822">
        <v>28070</v>
      </c>
      <c r="W20" s="1823">
        <f t="shared" si="7"/>
        <v>2.1768727768110239</v>
      </c>
      <c r="X20" s="1824">
        <v>3504093.61</v>
      </c>
      <c r="Y20" s="1825">
        <f t="shared" si="8"/>
        <v>808737.19999999972</v>
      </c>
      <c r="Z20" s="1557"/>
    </row>
    <row r="21" spans="2:26" s="1686" customFormat="1" ht="28.5" customHeight="1">
      <c r="B21" s="1679"/>
      <c r="C21" s="1622"/>
      <c r="D21" s="1680"/>
      <c r="E21" s="1681"/>
      <c r="F21" s="1681"/>
      <c r="G21" s="1681"/>
      <c r="H21" s="1681"/>
      <c r="I21" s="1681"/>
      <c r="J21" s="1682"/>
      <c r="K21" s="1683"/>
      <c r="L21" s="1681"/>
      <c r="M21" s="1684"/>
      <c r="N21" s="1682"/>
      <c r="O21" s="1682"/>
      <c r="P21" s="2623"/>
      <c r="Q21" s="1681"/>
      <c r="R21" s="1681"/>
      <c r="S21" s="1681"/>
      <c r="T21" s="1681"/>
      <c r="U21" s="1681"/>
      <c r="V21" s="1826"/>
      <c r="W21" s="1826"/>
      <c r="X21" s="1827"/>
      <c r="Y21" s="1828"/>
    </row>
    <row r="22" spans="2:26" s="1695" customFormat="1" ht="43.5" customHeight="1">
      <c r="B22" s="1687"/>
      <c r="C22" s="1688"/>
      <c r="D22" s="1689"/>
      <c r="E22" s="1690"/>
      <c r="F22" s="1690"/>
      <c r="G22" s="1690"/>
      <c r="H22" s="1690"/>
      <c r="I22" s="1690"/>
      <c r="J22" s="1691"/>
      <c r="K22" s="1692"/>
      <c r="L22" s="1690"/>
      <c r="M22" s="1693"/>
      <c r="N22" s="1691"/>
      <c r="O22" s="1691"/>
      <c r="P22" s="2624"/>
      <c r="Q22" s="1694"/>
      <c r="R22" s="1694"/>
      <c r="S22" s="1694"/>
      <c r="T22" s="1694"/>
      <c r="U22" s="1694"/>
      <c r="V22" s="1829"/>
      <c r="W22" s="1830"/>
      <c r="X22" s="1831"/>
      <c r="Y22" s="1686"/>
    </row>
    <row r="23" spans="2:26" s="1695" customFormat="1" ht="43.5" customHeight="1">
      <c r="B23" s="1687"/>
      <c r="C23" s="1696"/>
      <c r="D23" s="1696" t="s">
        <v>4631</v>
      </c>
      <c r="E23" s="1697"/>
      <c r="F23" s="1697"/>
      <c r="G23" s="1697"/>
      <c r="H23" s="1697"/>
      <c r="I23" s="1697"/>
      <c r="J23" s="1698"/>
      <c r="K23" s="1699"/>
      <c r="L23" s="1698"/>
      <c r="M23" s="2625"/>
      <c r="N23" s="1698"/>
      <c r="O23" s="1698"/>
      <c r="P23" s="2626"/>
      <c r="Q23" s="1698"/>
      <c r="R23" s="1698"/>
      <c r="S23" s="1698"/>
      <c r="T23" s="1698"/>
      <c r="U23" s="1698"/>
      <c r="V23" s="1832"/>
      <c r="W23" s="1833"/>
      <c r="X23" s="1834"/>
    </row>
    <row r="24" spans="2:26" s="1695" customFormat="1" ht="43.5" customHeight="1">
      <c r="B24" s="1687"/>
      <c r="C24" s="1696"/>
      <c r="D24" s="1700" t="s">
        <v>841</v>
      </c>
      <c r="E24" s="1697"/>
      <c r="F24" s="1697"/>
      <c r="G24" s="1697"/>
      <c r="H24" s="1697"/>
      <c r="I24" s="1697"/>
      <c r="J24" s="1698"/>
      <c r="K24" s="1699"/>
      <c r="L24" s="1698">
        <f>17171349.63-L25</f>
        <v>13270849.629999999</v>
      </c>
      <c r="M24" s="2625"/>
      <c r="N24" s="1698"/>
      <c r="O24" s="1698"/>
      <c r="P24" s="2626"/>
      <c r="Q24" s="1698"/>
      <c r="R24" s="1698"/>
      <c r="S24" s="1698"/>
      <c r="T24" s="1698"/>
      <c r="U24" s="1698"/>
      <c r="V24" s="1832"/>
      <c r="W24" s="1833"/>
      <c r="X24" s="1834"/>
    </row>
    <row r="25" spans="2:26" s="1695" customFormat="1" ht="43.5" customHeight="1">
      <c r="B25" s="1687"/>
      <c r="C25" s="1696"/>
      <c r="D25" s="1700" t="s">
        <v>13</v>
      </c>
      <c r="E25" s="1697"/>
      <c r="F25" s="1697"/>
      <c r="G25" s="1697"/>
      <c r="H25" s="1697"/>
      <c r="I25" s="1697"/>
      <c r="J25" s="1698"/>
      <c r="K25" s="1699"/>
      <c r="L25" s="1698">
        <v>3900500</v>
      </c>
      <c r="M25" s="2625"/>
      <c r="N25" s="1698"/>
      <c r="O25" s="1698"/>
      <c r="P25" s="2626"/>
      <c r="Q25" s="1698"/>
      <c r="R25" s="1698"/>
      <c r="S25" s="1698"/>
      <c r="T25" s="1698"/>
      <c r="U25" s="1698"/>
      <c r="V25" s="1832"/>
      <c r="W25" s="1833"/>
      <c r="X25" s="1834"/>
    </row>
    <row r="26" spans="2:26" s="1695" customFormat="1" ht="43.5" customHeight="1">
      <c r="B26" s="1687"/>
      <c r="C26" s="1696"/>
      <c r="D26" s="1700" t="s">
        <v>842</v>
      </c>
      <c r="E26" s="1697"/>
      <c r="F26" s="1697"/>
      <c r="G26" s="1697"/>
      <c r="H26" s="1697"/>
      <c r="I26" s="1697"/>
      <c r="J26" s="1698"/>
      <c r="K26" s="1699"/>
      <c r="L26" s="1698"/>
      <c r="M26" s="2625"/>
      <c r="N26" s="1698"/>
      <c r="O26" s="1698"/>
      <c r="P26" s="2626"/>
      <c r="Q26" s="1698"/>
      <c r="R26" s="1698"/>
      <c r="S26" s="1698"/>
      <c r="T26" s="1698"/>
      <c r="U26" s="1698"/>
      <c r="V26" s="1832"/>
      <c r="W26" s="1833"/>
      <c r="X26" s="1834"/>
    </row>
    <row r="27" spans="2:26" s="1695" customFormat="1" ht="43.5" customHeight="1">
      <c r="B27" s="1687"/>
      <c r="C27" s="1696"/>
      <c r="D27" s="1700" t="s">
        <v>843</v>
      </c>
      <c r="E27" s="1697"/>
      <c r="F27" s="1697"/>
      <c r="G27" s="1697"/>
      <c r="H27" s="1697"/>
      <c r="I27" s="1697"/>
      <c r="J27" s="1698"/>
      <c r="K27" s="1699"/>
      <c r="L27" s="1698">
        <f>58373920</f>
        <v>58373920</v>
      </c>
      <c r="M27" s="2625"/>
      <c r="N27" s="1698"/>
      <c r="O27" s="1698"/>
      <c r="P27" s="2626"/>
      <c r="Q27" s="1698"/>
      <c r="R27" s="1698"/>
      <c r="S27" s="1698"/>
      <c r="T27" s="1698"/>
      <c r="U27" s="1698"/>
      <c r="V27" s="1835"/>
      <c r="W27" s="1836"/>
      <c r="X27" s="1834"/>
    </row>
    <row r="28" spans="2:26" s="1695" customFormat="1" ht="43.5" customHeight="1">
      <c r="B28" s="1687"/>
      <c r="C28" s="1696"/>
      <c r="D28" s="1687" t="s">
        <v>5399</v>
      </c>
      <c r="E28" s="1697"/>
      <c r="F28" s="1697"/>
      <c r="G28" s="1697"/>
      <c r="H28" s="1697"/>
      <c r="I28" s="1697"/>
      <c r="J28" s="1698"/>
      <c r="K28" s="1699"/>
      <c r="L28" s="1701"/>
      <c r="M28" s="2625"/>
      <c r="N28" s="1698"/>
      <c r="O28" s="1698"/>
      <c r="P28" s="2626"/>
      <c r="Q28" s="1698"/>
      <c r="R28" s="1698"/>
      <c r="S28" s="1698"/>
      <c r="T28" s="1698"/>
      <c r="U28" s="1698"/>
      <c r="V28" s="1832"/>
      <c r="W28" s="1833"/>
      <c r="X28" s="1834"/>
    </row>
    <row r="29" spans="2:26" s="1695" customFormat="1" ht="43.5" customHeight="1">
      <c r="B29" s="1687"/>
      <c r="C29" s="1696"/>
      <c r="D29" s="1700" t="s">
        <v>844</v>
      </c>
      <c r="E29" s="1697"/>
      <c r="F29" s="1697"/>
      <c r="G29" s="1697"/>
      <c r="H29" s="1697"/>
      <c r="I29" s="1697"/>
      <c r="J29" s="1698"/>
      <c r="K29" s="1699"/>
      <c r="L29" s="1698"/>
      <c r="M29" s="2625"/>
      <c r="N29" s="1698"/>
      <c r="O29" s="1698"/>
      <c r="P29" s="2626"/>
      <c r="Q29" s="1698"/>
      <c r="R29" s="1698"/>
      <c r="S29" s="1698"/>
      <c r="T29" s="1698"/>
      <c r="U29" s="1698"/>
      <c r="V29" s="1832"/>
      <c r="W29" s="1833"/>
      <c r="X29" s="1834"/>
    </row>
    <row r="30" spans="2:26" s="1695" customFormat="1" ht="43.5" customHeight="1">
      <c r="B30" s="1687"/>
      <c r="C30" s="1696"/>
      <c r="D30" s="1700" t="s">
        <v>845</v>
      </c>
      <c r="E30" s="1697"/>
      <c r="F30" s="1697"/>
      <c r="G30" s="1697"/>
      <c r="H30" s="1697"/>
      <c r="I30" s="1697"/>
      <c r="J30" s="1687"/>
      <c r="K30" s="1699"/>
      <c r="L30" s="1701">
        <f>3501600-28000</f>
        <v>3473600</v>
      </c>
      <c r="M30" s="2627"/>
      <c r="N30" s="1687"/>
      <c r="O30" s="1687"/>
      <c r="P30" s="2626"/>
      <c r="Q30" s="1698"/>
      <c r="R30" s="1698"/>
      <c r="S30" s="1698"/>
      <c r="T30" s="1698"/>
      <c r="U30" s="1698"/>
      <c r="V30" s="1832"/>
      <c r="W30" s="1833"/>
      <c r="X30" s="1832"/>
    </row>
    <row r="31" spans="2:26" s="1695" customFormat="1" ht="43.5" customHeight="1">
      <c r="B31" s="1687"/>
      <c r="C31" s="1696"/>
      <c r="D31" s="1687"/>
      <c r="E31" s="1702" t="s">
        <v>273</v>
      </c>
      <c r="F31" s="1702"/>
      <c r="G31" s="1702"/>
      <c r="H31" s="1702"/>
      <c r="I31" s="1702"/>
      <c r="J31" s="1698"/>
      <c r="K31" s="1699"/>
      <c r="L31" s="1703">
        <f>SUM(L24:L30)</f>
        <v>79018869.629999995</v>
      </c>
      <c r="M31" s="2625"/>
      <c r="N31" s="1698"/>
      <c r="O31" s="1698"/>
      <c r="P31" s="2626"/>
      <c r="Q31" s="1698"/>
      <c r="R31" s="1698"/>
      <c r="S31" s="1698"/>
      <c r="T31" s="1698"/>
      <c r="U31" s="1698"/>
      <c r="V31" s="1832"/>
      <c r="W31" s="1833"/>
      <c r="X31" s="1837">
        <f>+G9-L31</f>
        <v>-32018764.629999995</v>
      </c>
    </row>
    <row r="32" spans="2:26" s="1708" customFormat="1" ht="43.5" customHeight="1">
      <c r="B32" s="1704"/>
      <c r="C32" s="1705"/>
      <c r="D32" s="1704"/>
      <c r="E32" s="1706"/>
      <c r="F32" s="1706"/>
      <c r="G32" s="1706"/>
      <c r="H32" s="1706"/>
      <c r="I32" s="1706"/>
      <c r="J32" s="1706"/>
      <c r="K32" s="1707"/>
      <c r="L32" s="1706"/>
      <c r="M32" s="2628"/>
      <c r="N32" s="1706"/>
      <c r="O32" s="1706"/>
      <c r="P32" s="2629"/>
      <c r="Q32" s="1706"/>
      <c r="R32" s="1706"/>
      <c r="S32" s="1706"/>
      <c r="T32" s="1706"/>
      <c r="U32" s="1706"/>
      <c r="V32" s="1838"/>
      <c r="W32" s="1839"/>
      <c r="X32" s="1840"/>
    </row>
    <row r="33" spans="2:24" s="1686" customFormat="1" ht="43.5" customHeight="1">
      <c r="B33" s="1689"/>
      <c r="C33" s="1709"/>
      <c r="D33" s="1689"/>
      <c r="E33" s="1690"/>
      <c r="F33" s="1690"/>
      <c r="G33" s="1690"/>
      <c r="H33" s="1690"/>
      <c r="I33" s="1690"/>
      <c r="J33" s="1690"/>
      <c r="K33" s="1710"/>
      <c r="L33" s="1690"/>
      <c r="M33" s="2630"/>
      <c r="N33" s="1690"/>
      <c r="O33" s="1690"/>
      <c r="P33" s="2631"/>
      <c r="Q33" s="1690"/>
      <c r="R33" s="1690"/>
      <c r="S33" s="1690"/>
      <c r="T33" s="1690"/>
      <c r="U33" s="1690"/>
      <c r="V33" s="1841"/>
      <c r="W33" s="1842"/>
      <c r="X33" s="1831"/>
    </row>
    <row r="34" spans="2:24" s="1686" customFormat="1" ht="43.5" customHeight="1">
      <c r="B34" s="1689"/>
      <c r="C34" s="1709"/>
      <c r="D34" s="1689"/>
      <c r="E34" s="1690"/>
      <c r="F34" s="1690"/>
      <c r="G34" s="1690"/>
      <c r="H34" s="1690"/>
      <c r="I34" s="1690"/>
      <c r="J34" s="1690"/>
      <c r="K34" s="1710"/>
      <c r="L34" s="1690"/>
      <c r="M34" s="2630"/>
      <c r="N34" s="1690"/>
      <c r="O34" s="1690"/>
      <c r="P34" s="2631"/>
      <c r="Q34" s="1690"/>
      <c r="R34" s="1690"/>
      <c r="S34" s="1690"/>
      <c r="T34" s="1690"/>
      <c r="U34" s="1690"/>
      <c r="V34" s="1841"/>
      <c r="W34" s="1842"/>
      <c r="X34" s="1831"/>
    </row>
    <row r="35" spans="2:24" s="1686" customFormat="1" ht="43.5" customHeight="1">
      <c r="B35" s="1689"/>
      <c r="C35" s="1709"/>
      <c r="D35" s="1689"/>
      <c r="E35" s="1690"/>
      <c r="F35" s="1690"/>
      <c r="G35" s="1690"/>
      <c r="H35" s="1690"/>
      <c r="I35" s="1690"/>
      <c r="J35" s="1690"/>
      <c r="K35" s="1710"/>
      <c r="L35" s="1690"/>
      <c r="M35" s="2630"/>
      <c r="N35" s="1690"/>
      <c r="O35" s="1690"/>
      <c r="P35" s="2631"/>
      <c r="Q35" s="1690"/>
      <c r="R35" s="1690"/>
      <c r="S35" s="1690"/>
      <c r="T35" s="1690"/>
      <c r="U35" s="1690"/>
      <c r="V35" s="1841"/>
      <c r="W35" s="1842"/>
      <c r="X35" s="1831"/>
    </row>
    <row r="36" spans="2:24" s="1686" customFormat="1" ht="43.5" customHeight="1">
      <c r="B36" s="1689"/>
      <c r="C36" s="1709"/>
      <c r="D36" s="1689"/>
      <c r="E36" s="1711"/>
      <c r="F36" s="1711"/>
      <c r="G36" s="1711"/>
      <c r="H36" s="1711"/>
      <c r="I36" s="1711"/>
      <c r="J36" s="1690"/>
      <c r="K36" s="1710"/>
      <c r="L36" s="1711"/>
      <c r="M36" s="2630"/>
      <c r="N36" s="1690"/>
      <c r="O36" s="1690"/>
      <c r="P36" s="2631"/>
      <c r="Q36" s="1690"/>
      <c r="R36" s="1690"/>
      <c r="S36" s="1690"/>
      <c r="T36" s="1690"/>
      <c r="U36" s="1690"/>
      <c r="V36" s="1841"/>
      <c r="W36" s="1842"/>
      <c r="X36" s="1831"/>
    </row>
    <row r="37" spans="2:24" s="1686" customFormat="1" ht="43.5" customHeight="1">
      <c r="B37" s="1689"/>
      <c r="C37" s="1709"/>
      <c r="D37" s="1689"/>
      <c r="E37" s="1711"/>
      <c r="F37" s="1711"/>
      <c r="G37" s="1711"/>
      <c r="H37" s="1711"/>
      <c r="I37" s="1711"/>
      <c r="J37" s="1690"/>
      <c r="K37" s="1710"/>
      <c r="L37" s="1711"/>
      <c r="M37" s="2630"/>
      <c r="N37" s="1690"/>
      <c r="O37" s="1690"/>
      <c r="P37" s="2631"/>
      <c r="Q37" s="1690"/>
      <c r="R37" s="1690"/>
      <c r="S37" s="1690"/>
      <c r="T37" s="1690"/>
      <c r="U37" s="1690"/>
      <c r="V37" s="1841"/>
      <c r="W37" s="1842"/>
      <c r="X37" s="1831"/>
    </row>
    <row r="38" spans="2:24" s="1686" customFormat="1" ht="43.5" customHeight="1">
      <c r="B38" s="1689"/>
      <c r="C38" s="1709"/>
      <c r="D38" s="1689"/>
      <c r="E38" s="1711"/>
      <c r="F38" s="1711"/>
      <c r="G38" s="1711"/>
      <c r="H38" s="1711"/>
      <c r="I38" s="1711"/>
      <c r="J38" s="1690"/>
      <c r="K38" s="1710"/>
      <c r="L38" s="1711"/>
      <c r="M38" s="2630"/>
      <c r="N38" s="1690"/>
      <c r="O38" s="1690"/>
      <c r="P38" s="2631"/>
      <c r="Q38" s="1690"/>
      <c r="R38" s="1690"/>
      <c r="S38" s="1690"/>
      <c r="T38" s="1690"/>
      <c r="U38" s="1690"/>
      <c r="V38" s="1841"/>
      <c r="W38" s="1842"/>
      <c r="X38" s="1831"/>
    </row>
    <row r="39" spans="2:24" s="1553" customFormat="1" ht="43.5" customHeight="1">
      <c r="B39" s="1544"/>
      <c r="C39" s="1545"/>
      <c r="D39" s="1544"/>
      <c r="E39" s="1712"/>
      <c r="F39" s="1712"/>
      <c r="G39" s="1712"/>
      <c r="H39" s="1712"/>
      <c r="I39" s="1712"/>
      <c r="J39" s="1546"/>
      <c r="K39" s="1713"/>
      <c r="L39" s="1712"/>
      <c r="M39" s="1549"/>
      <c r="N39" s="1546"/>
      <c r="O39" s="1546"/>
      <c r="P39" s="2632"/>
      <c r="Q39" s="1546"/>
      <c r="R39" s="1546"/>
      <c r="S39" s="1546"/>
      <c r="T39" s="1546"/>
      <c r="U39" s="1546"/>
      <c r="V39" s="1551"/>
      <c r="W39" s="1552"/>
      <c r="X39" s="1843"/>
    </row>
    <row r="40" spans="2:24" s="1553" customFormat="1" ht="43.5" customHeight="1">
      <c r="B40" s="1544"/>
      <c r="C40" s="1545"/>
      <c r="D40" s="1544"/>
      <c r="E40" s="1712"/>
      <c r="F40" s="1712"/>
      <c r="G40" s="1712"/>
      <c r="H40" s="1712"/>
      <c r="I40" s="1712"/>
      <c r="J40" s="1546"/>
      <c r="K40" s="1713"/>
      <c r="L40" s="1712"/>
      <c r="M40" s="1549"/>
      <c r="N40" s="1546"/>
      <c r="O40" s="1546"/>
      <c r="P40" s="2632"/>
      <c r="Q40" s="1546"/>
      <c r="R40" s="1546"/>
      <c r="S40" s="1546"/>
      <c r="T40" s="1546"/>
      <c r="U40" s="1546"/>
      <c r="V40" s="1551"/>
      <c r="W40" s="1552"/>
      <c r="X40" s="1843"/>
    </row>
  </sheetData>
  <mergeCells count="16">
    <mergeCell ref="Q6:S6"/>
    <mergeCell ref="U6:U8"/>
    <mergeCell ref="V6:V8"/>
    <mergeCell ref="W6:W8"/>
    <mergeCell ref="L7:M7"/>
    <mergeCell ref="O7:P7"/>
    <mergeCell ref="B2:W2"/>
    <mergeCell ref="B3:W3"/>
    <mergeCell ref="B4:W4"/>
    <mergeCell ref="B5:W5"/>
    <mergeCell ref="B6:B8"/>
    <mergeCell ref="C6:C8"/>
    <mergeCell ref="D6:D8"/>
    <mergeCell ref="G6:G8"/>
    <mergeCell ref="J6:K7"/>
    <mergeCell ref="L6:P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9D4C-9C3D-40DB-84ED-36C3FDA95AFF}">
  <sheetPr>
    <tabColor theme="5" tint="0.59999389629810485"/>
  </sheetPr>
  <dimension ref="A1:V140"/>
  <sheetViews>
    <sheetView showGridLines="0" zoomScale="60" zoomScaleNormal="60" workbookViewId="0">
      <pane xSplit="6" ySplit="10" topLeftCell="G53" activePane="bottomRight" state="frozen"/>
      <selection activeCell="L22" sqref="L22"/>
      <selection pane="topRight" activeCell="L22" sqref="L22"/>
      <selection pane="bottomLeft" activeCell="L22" sqref="L22"/>
      <selection pane="bottomRight" activeCell="V54" sqref="V54"/>
    </sheetView>
  </sheetViews>
  <sheetFormatPr defaultColWidth="9.140625" defaultRowHeight="24"/>
  <cols>
    <col min="1" max="1" width="10.42578125" style="1251" customWidth="1"/>
    <col min="2" max="2" width="10.140625" style="679" customWidth="1"/>
    <col min="3" max="3" width="13.42578125" style="680" hidden="1" customWidth="1"/>
    <col min="4" max="4" width="45.85546875" style="1252" customWidth="1"/>
    <col min="5" max="5" width="18.42578125" style="682" hidden="1" customWidth="1"/>
    <col min="6" max="6" width="0.7109375" style="682" hidden="1" customWidth="1"/>
    <col min="7" max="8" width="26.5703125" style="682" customWidth="1"/>
    <col min="9" max="9" width="11.42578125" style="682" customWidth="1"/>
    <col min="10" max="10" width="25" style="682" customWidth="1"/>
    <col min="11" max="11" width="11.42578125" style="1995" customWidth="1"/>
    <col min="12" max="12" width="25.7109375" style="682" customWidth="1"/>
    <col min="13" max="13" width="11.42578125" style="683" customWidth="1"/>
    <col min="14" max="14" width="25.7109375" style="682" customWidth="1"/>
    <col min="15" max="15" width="0.5703125" style="682" hidden="1" customWidth="1"/>
    <col min="16" max="16" width="18.140625" style="682" hidden="1" customWidth="1"/>
    <col min="17" max="17" width="18.140625" style="681" hidden="1" customWidth="1"/>
    <col min="18" max="18" width="7.42578125" style="684" hidden="1" customWidth="1"/>
    <col min="19" max="19" width="1.140625" style="681" hidden="1" customWidth="1"/>
    <col min="20" max="20" width="20" style="668" customWidth="1"/>
    <col min="21" max="21" width="15.28515625" style="668" bestFit="1" customWidth="1"/>
    <col min="22" max="22" width="16.42578125" style="668" bestFit="1" customWidth="1"/>
    <col min="23" max="16384" width="9.140625" style="668"/>
  </cols>
  <sheetData>
    <row r="1" spans="1:22" s="666" customFormat="1" ht="18" customHeight="1">
      <c r="A1" s="2150" t="s">
        <v>1192</v>
      </c>
      <c r="B1" s="2150"/>
      <c r="C1" s="2150"/>
      <c r="D1" s="2150"/>
      <c r="E1" s="2150"/>
      <c r="F1" s="2150"/>
      <c r="G1" s="2150"/>
      <c r="H1" s="2150"/>
      <c r="I1" s="2150"/>
      <c r="J1" s="2150"/>
      <c r="K1" s="2150"/>
      <c r="L1" s="2150"/>
      <c r="M1" s="2150"/>
      <c r="N1" s="2150"/>
      <c r="O1" s="2150"/>
      <c r="P1" s="2150"/>
      <c r="Q1" s="2150"/>
      <c r="R1" s="2150"/>
      <c r="S1" s="2150"/>
    </row>
    <row r="2" spans="1:22" s="666" customFormat="1" ht="27.75" customHeight="1">
      <c r="A2" s="2151" t="s">
        <v>5438</v>
      </c>
      <c r="B2" s="2151"/>
      <c r="C2" s="2151"/>
      <c r="D2" s="2151"/>
      <c r="E2" s="2151"/>
      <c r="F2" s="2151"/>
      <c r="G2" s="2151"/>
      <c r="H2" s="2151"/>
      <c r="I2" s="2151"/>
      <c r="J2" s="2151"/>
      <c r="K2" s="2151"/>
      <c r="L2" s="2151"/>
      <c r="M2" s="2151"/>
      <c r="N2" s="2151"/>
      <c r="O2" s="2151"/>
      <c r="P2" s="2151"/>
      <c r="Q2" s="2151"/>
      <c r="R2" s="2151"/>
      <c r="S2" s="2151"/>
    </row>
    <row r="3" spans="1:22" s="666" customFormat="1" ht="25.5" customHeight="1">
      <c r="A3" s="2151" t="s">
        <v>1193</v>
      </c>
      <c r="B3" s="2151"/>
      <c r="C3" s="2151"/>
      <c r="D3" s="2151"/>
      <c r="E3" s="2151"/>
      <c r="F3" s="2151"/>
      <c r="G3" s="2151"/>
      <c r="H3" s="2151"/>
      <c r="I3" s="2151"/>
      <c r="J3" s="2151"/>
      <c r="K3" s="2151"/>
      <c r="L3" s="2151"/>
      <c r="M3" s="2151"/>
      <c r="N3" s="2151"/>
      <c r="O3" s="2151"/>
      <c r="P3" s="2151"/>
      <c r="Q3" s="2151"/>
      <c r="R3" s="2151"/>
      <c r="S3" s="2151"/>
    </row>
    <row r="4" spans="1:22" s="666" customFormat="1" ht="5.25" customHeight="1">
      <c r="A4" s="2152" t="str">
        <f>[8]จังหวัด!A7</f>
        <v xml:space="preserve">เรียงลำดับร้อยละผลการใช้จ่ายจากมากไปหาน้อย </v>
      </c>
      <c r="B4" s="2152"/>
      <c r="C4" s="2152"/>
      <c r="D4" s="2152"/>
      <c r="E4" s="2152"/>
      <c r="F4" s="2152"/>
      <c r="G4" s="2152"/>
      <c r="H4" s="2152"/>
      <c r="I4" s="2152"/>
      <c r="J4" s="2152"/>
      <c r="K4" s="2152"/>
      <c r="L4" s="2152"/>
      <c r="M4" s="2152"/>
      <c r="N4" s="2152"/>
      <c r="O4" s="2152"/>
      <c r="P4" s="2152"/>
      <c r="Q4" s="2152"/>
      <c r="R4" s="2152"/>
      <c r="S4" s="2152"/>
    </row>
    <row r="5" spans="1:22" s="666" customFormat="1" ht="24.75" customHeight="1">
      <c r="A5" s="2151" t="str">
        <f>[8]จังหวัด!A5</f>
        <v xml:space="preserve">ข้อมูลสะสมตั้งแต่วันที่ 1 ตุลาคม 2566  ถึงวันที่ 15 กันยายน 2567 </v>
      </c>
      <c r="B5" s="2151"/>
      <c r="C5" s="2151"/>
      <c r="D5" s="2151"/>
      <c r="E5" s="2151"/>
      <c r="F5" s="2151"/>
      <c r="G5" s="2151"/>
      <c r="H5" s="2151"/>
      <c r="I5" s="2151"/>
      <c r="J5" s="2151"/>
      <c r="K5" s="2151"/>
      <c r="L5" s="2151"/>
      <c r="M5" s="2151"/>
      <c r="N5" s="2151"/>
      <c r="O5" s="2151"/>
      <c r="P5" s="2151"/>
      <c r="Q5" s="2151"/>
      <c r="R5" s="2151"/>
      <c r="S5" s="2151"/>
    </row>
    <row r="6" spans="1:22" s="667" customFormat="1" ht="14.25" customHeight="1">
      <c r="A6" s="2151"/>
      <c r="B6" s="2151"/>
      <c r="C6" s="2151"/>
      <c r="D6" s="2151"/>
      <c r="E6" s="2151"/>
      <c r="F6" s="2151"/>
      <c r="G6" s="2151"/>
      <c r="H6" s="2151"/>
      <c r="I6" s="2151"/>
      <c r="J6" s="2151"/>
      <c r="K6" s="2151"/>
      <c r="L6" s="2151"/>
      <c r="M6" s="2151"/>
      <c r="N6" s="2151"/>
      <c r="O6" s="2151"/>
      <c r="P6" s="2151"/>
      <c r="Q6" s="2151"/>
      <c r="R6" s="2151"/>
      <c r="S6" s="2151"/>
      <c r="U6" s="667">
        <v>9</v>
      </c>
    </row>
    <row r="7" spans="1:22" ht="38.25" customHeight="1">
      <c r="A7" s="2153" t="s">
        <v>1194</v>
      </c>
      <c r="B7" s="2156" t="s">
        <v>1237</v>
      </c>
      <c r="C7" s="2159" t="s">
        <v>723</v>
      </c>
      <c r="D7" s="2162" t="s">
        <v>381</v>
      </c>
      <c r="E7" s="2165" t="s">
        <v>316</v>
      </c>
      <c r="F7" s="2166"/>
      <c r="G7" s="2144"/>
      <c r="H7" s="2135" t="s">
        <v>806</v>
      </c>
      <c r="I7" s="2136"/>
      <c r="J7" s="2139" t="s">
        <v>753</v>
      </c>
      <c r="K7" s="2140"/>
      <c r="L7" s="2143" t="s">
        <v>4632</v>
      </c>
      <c r="M7" s="2136"/>
      <c r="N7" s="2144" t="s">
        <v>1195</v>
      </c>
      <c r="O7" s="685"/>
      <c r="P7" s="681"/>
      <c r="R7" s="2147" t="s">
        <v>870</v>
      </c>
    </row>
    <row r="8" spans="1:22" ht="33" customHeight="1">
      <c r="A8" s="2154"/>
      <c r="B8" s="2157"/>
      <c r="C8" s="2160"/>
      <c r="D8" s="2163"/>
      <c r="E8" s="2167"/>
      <c r="F8" s="2168"/>
      <c r="G8" s="2145"/>
      <c r="H8" s="2137"/>
      <c r="I8" s="2138"/>
      <c r="J8" s="2141"/>
      <c r="K8" s="2142"/>
      <c r="L8" s="2137"/>
      <c r="M8" s="2138"/>
      <c r="N8" s="2145"/>
      <c r="O8" s="686"/>
      <c r="P8" s="687"/>
      <c r="Q8" s="688"/>
      <c r="R8" s="2148"/>
    </row>
    <row r="9" spans="1:22" ht="32.25" customHeight="1">
      <c r="A9" s="2155"/>
      <c r="B9" s="2158"/>
      <c r="C9" s="2161"/>
      <c r="D9" s="2164"/>
      <c r="E9" s="1407" t="s">
        <v>1196</v>
      </c>
      <c r="F9" s="1407" t="s">
        <v>428</v>
      </c>
      <c r="G9" s="1407" t="s">
        <v>1196</v>
      </c>
      <c r="H9" s="1408" t="s">
        <v>803</v>
      </c>
      <c r="I9" s="689" t="s">
        <v>12</v>
      </c>
      <c r="J9" s="809" t="s">
        <v>803</v>
      </c>
      <c r="K9" s="810" t="s">
        <v>12</v>
      </c>
      <c r="L9" s="690" t="s">
        <v>803</v>
      </c>
      <c r="M9" s="691" t="s">
        <v>12</v>
      </c>
      <c r="N9" s="2146"/>
      <c r="O9" s="686"/>
      <c r="P9" s="687" t="s">
        <v>1191</v>
      </c>
      <c r="Q9" s="688" t="s">
        <v>1190</v>
      </c>
      <c r="R9" s="2148"/>
    </row>
    <row r="10" spans="1:22" ht="28.5" customHeight="1" thickBot="1">
      <c r="A10" s="1227"/>
      <c r="B10" s="692"/>
      <c r="C10" s="693"/>
      <c r="D10" s="1228" t="s">
        <v>273</v>
      </c>
      <c r="E10" s="694">
        <v>2419948246.730001</v>
      </c>
      <c r="F10" s="694">
        <v>0</v>
      </c>
      <c r="G10" s="1350">
        <f>+G11+G18+G23+G27+G32+G38+G45+G49+G53+G59+G65+G69+G74+G79+G84+G89+G94+G100</f>
        <v>1440286254.7300005</v>
      </c>
      <c r="H10" s="1350">
        <f>+H53+H59+H11+H74+H45+H49+H79+H84+H89+H27+H65+H38+H18+H94+H100+H69+H32+H23</f>
        <v>1274035000.4100001</v>
      </c>
      <c r="I10" s="1350">
        <f t="shared" ref="I10:I32" si="0">+H10*100/G10</f>
        <v>88.457068601882469</v>
      </c>
      <c r="J10" s="1350">
        <f>+J53+J59+J11+J74+J45+J49+J79+J84+J89+J27+J65+J38+J18+J94+J100+J69+J32+J23</f>
        <v>94532214.569999993</v>
      </c>
      <c r="K10" s="1984">
        <f t="shared" ref="K10:K69" si="1">J10/G10*100</f>
        <v>6.5634323912728885</v>
      </c>
      <c r="L10" s="1350">
        <f t="shared" ref="L10:L69" si="2">H10+J10</f>
        <v>1368567214.98</v>
      </c>
      <c r="M10" s="1873">
        <f t="shared" ref="M10:M69" si="3">L10*100/G10</f>
        <v>95.020500993155338</v>
      </c>
      <c r="N10" s="1350">
        <f>G10-L10</f>
        <v>71719039.750000477</v>
      </c>
      <c r="O10" s="695"/>
      <c r="P10" s="687">
        <v>1708087739.8500001</v>
      </c>
      <c r="Q10" s="1874">
        <v>711860506.87999988</v>
      </c>
      <c r="R10" s="2149"/>
      <c r="S10" s="1875" t="s">
        <v>871</v>
      </c>
      <c r="T10" s="660"/>
      <c r="U10" s="660"/>
      <c r="V10" s="660"/>
    </row>
    <row r="11" spans="1:22" s="677" customFormat="1" ht="30" customHeight="1" thickTop="1">
      <c r="A11" s="1412">
        <v>1</v>
      </c>
      <c r="B11" s="1413"/>
      <c r="C11" s="1414"/>
      <c r="D11" s="1415" t="s">
        <v>1197</v>
      </c>
      <c r="E11" s="1416"/>
      <c r="F11" s="1416"/>
      <c r="G11" s="1387">
        <f>SUM(G12:G17)</f>
        <v>94632083.539999992</v>
      </c>
      <c r="H11" s="1387">
        <f>SUM(H12:H17)</f>
        <v>81065824.459999993</v>
      </c>
      <c r="I11" s="1387">
        <f t="shared" si="0"/>
        <v>85.664207557825051</v>
      </c>
      <c r="J11" s="1387">
        <f>SUM(J12:J17)</f>
        <v>9453227.75</v>
      </c>
      <c r="K11" s="1985">
        <f t="shared" si="1"/>
        <v>9.9894532555697335</v>
      </c>
      <c r="L11" s="1387">
        <f t="shared" si="2"/>
        <v>90519052.209999993</v>
      </c>
      <c r="M11" s="1876">
        <f t="shared" si="3"/>
        <v>95.653660813394794</v>
      </c>
      <c r="N11" s="1387">
        <f>SUM(N12:N17)</f>
        <v>4113031.3300000029</v>
      </c>
      <c r="O11" s="1877"/>
      <c r="P11" s="1878"/>
      <c r="Q11" s="1879"/>
      <c r="R11" s="1880"/>
      <c r="S11" s="1881"/>
    </row>
    <row r="12" spans="1:22" ht="28.5" customHeight="1">
      <c r="A12" s="1351"/>
      <c r="B12" s="1352">
        <v>1</v>
      </c>
      <c r="C12" s="1352">
        <v>1500400031</v>
      </c>
      <c r="D12" s="1353" t="s">
        <v>541</v>
      </c>
      <c r="E12" s="1191">
        <v>23381084</v>
      </c>
      <c r="F12" s="1191">
        <v>0</v>
      </c>
      <c r="G12" s="1354">
        <f>+[8]จังหวัด!G18</f>
        <v>13187800.640000001</v>
      </c>
      <c r="H12" s="1354">
        <f>+[8]จังหวัด!H18</f>
        <v>11096699.09</v>
      </c>
      <c r="I12" s="1355">
        <f t="shared" si="0"/>
        <v>84.14366726429374</v>
      </c>
      <c r="J12" s="1354">
        <f>[8]จังหวัด!J18</f>
        <v>1860500</v>
      </c>
      <c r="K12" s="1986">
        <f t="shared" si="1"/>
        <v>14.107735253116473</v>
      </c>
      <c r="L12" s="1354">
        <f t="shared" si="2"/>
        <v>12957199.09</v>
      </c>
      <c r="M12" s="1357">
        <f t="shared" si="3"/>
        <v>98.251402517410213</v>
      </c>
      <c r="N12" s="1355">
        <f t="shared" ref="N12:N17" si="4">+G12-H12-J12</f>
        <v>230601.55000000075</v>
      </c>
      <c r="O12" s="1196"/>
      <c r="P12" s="1193">
        <v>15356684</v>
      </c>
      <c r="Q12" s="1194">
        <v>10449004</v>
      </c>
      <c r="R12" s="696" t="s">
        <v>872</v>
      </c>
      <c r="S12" s="1195" t="s">
        <v>1199</v>
      </c>
    </row>
    <row r="13" spans="1:22" ht="28.5" customHeight="1">
      <c r="A13" s="1358"/>
      <c r="B13" s="1359">
        <v>2</v>
      </c>
      <c r="C13" s="1359">
        <v>1500400026</v>
      </c>
      <c r="D13" s="1360" t="s">
        <v>542</v>
      </c>
      <c r="E13" s="1191">
        <v>25805688</v>
      </c>
      <c r="F13" s="1191">
        <v>0</v>
      </c>
      <c r="G13" s="1354">
        <f>+[8]จังหวัด!G21</f>
        <v>11743974.689999999</v>
      </c>
      <c r="H13" s="1354">
        <f>[8]จังหวัด!H21</f>
        <v>10023160.16</v>
      </c>
      <c r="I13" s="1355">
        <f t="shared" si="0"/>
        <v>85.347256142630542</v>
      </c>
      <c r="J13" s="1354">
        <f>[8]จังหวัด!J21</f>
        <v>1397425</v>
      </c>
      <c r="K13" s="1987">
        <f t="shared" si="1"/>
        <v>11.899080480732882</v>
      </c>
      <c r="L13" s="1354">
        <f t="shared" si="2"/>
        <v>11420585.16</v>
      </c>
      <c r="M13" s="1357">
        <f t="shared" si="3"/>
        <v>97.246336623363419</v>
      </c>
      <c r="N13" s="1355">
        <f t="shared" si="4"/>
        <v>323389.52999999933</v>
      </c>
      <c r="O13" s="1192"/>
      <c r="P13" s="1193">
        <v>25611860.259999998</v>
      </c>
      <c r="Q13" s="1197">
        <v>15536326.789999999</v>
      </c>
      <c r="R13" s="697" t="s">
        <v>874</v>
      </c>
      <c r="S13" s="1198" t="s">
        <v>1198</v>
      </c>
    </row>
    <row r="14" spans="1:22" ht="28.5" customHeight="1">
      <c r="A14" s="1351"/>
      <c r="B14" s="1352">
        <v>3</v>
      </c>
      <c r="C14" s="1359">
        <v>1500400030</v>
      </c>
      <c r="D14" s="1360" t="s">
        <v>783</v>
      </c>
      <c r="E14" s="1191">
        <v>44313638.82</v>
      </c>
      <c r="F14" s="1191">
        <v>0</v>
      </c>
      <c r="G14" s="1354">
        <f>[8]จังหวัด!G19</f>
        <v>17565020.5</v>
      </c>
      <c r="H14" s="1354">
        <f>[8]จังหวัด!H19</f>
        <v>16114476.52</v>
      </c>
      <c r="I14" s="1355">
        <f t="shared" si="0"/>
        <v>91.74186002230968</v>
      </c>
      <c r="J14" s="1354">
        <f>[8]จังหวัด!J19</f>
        <v>811847.75</v>
      </c>
      <c r="K14" s="1987">
        <f t="shared" si="1"/>
        <v>4.6219573156774851</v>
      </c>
      <c r="L14" s="1354">
        <f t="shared" si="2"/>
        <v>16926324.27</v>
      </c>
      <c r="M14" s="1357">
        <f t="shared" si="3"/>
        <v>96.363817337987172</v>
      </c>
      <c r="N14" s="1355">
        <f t="shared" si="4"/>
        <v>638696.23000000045</v>
      </c>
      <c r="O14" s="1199"/>
      <c r="P14" s="1193">
        <v>15135480.470000001</v>
      </c>
      <c r="Q14" s="1197">
        <v>6791280.2999999989</v>
      </c>
      <c r="R14" s="697" t="s">
        <v>872</v>
      </c>
      <c r="S14" s="1198" t="s">
        <v>873</v>
      </c>
    </row>
    <row r="15" spans="1:22" ht="28.5" customHeight="1">
      <c r="A15" s="1358"/>
      <c r="B15" s="1359">
        <v>4</v>
      </c>
      <c r="C15" s="1359">
        <v>1500400027</v>
      </c>
      <c r="D15" s="1360" t="s">
        <v>784</v>
      </c>
      <c r="E15" s="1191">
        <v>21926760.77</v>
      </c>
      <c r="F15" s="1191">
        <v>0</v>
      </c>
      <c r="G15" s="1354">
        <f>[8]จังหวัด!G20</f>
        <v>9806277.5199999996</v>
      </c>
      <c r="H15" s="1354">
        <f>[8]จังหวัด!H20</f>
        <v>7730754.04</v>
      </c>
      <c r="I15" s="1355">
        <f t="shared" si="0"/>
        <v>78.834746663380173</v>
      </c>
      <c r="J15" s="1354">
        <f>[8]จังหวัด!J20</f>
        <v>1622255</v>
      </c>
      <c r="K15" s="1987">
        <f t="shared" si="1"/>
        <v>16.543025594486746</v>
      </c>
      <c r="L15" s="1354">
        <f t="shared" si="2"/>
        <v>9353009.0399999991</v>
      </c>
      <c r="M15" s="1357">
        <f t="shared" si="3"/>
        <v>95.377772257866908</v>
      </c>
      <c r="N15" s="1355">
        <f t="shared" si="4"/>
        <v>453268.47999999952</v>
      </c>
      <c r="O15" s="1199"/>
      <c r="P15" s="1193">
        <v>23733563.620000001</v>
      </c>
      <c r="Q15" s="1197">
        <v>-4320005.43</v>
      </c>
      <c r="R15" s="697" t="s">
        <v>874</v>
      </c>
      <c r="S15" s="1198" t="s">
        <v>873</v>
      </c>
    </row>
    <row r="16" spans="1:22" ht="28.5" customHeight="1">
      <c r="A16" s="1351"/>
      <c r="B16" s="1352">
        <v>5</v>
      </c>
      <c r="C16" s="1359">
        <v>1500400029</v>
      </c>
      <c r="D16" s="1360" t="s">
        <v>339</v>
      </c>
      <c r="E16" s="1191">
        <v>55721351.640000001</v>
      </c>
      <c r="F16" s="1191">
        <v>0</v>
      </c>
      <c r="G16" s="1354">
        <f>[8]จังหวัด!G17</f>
        <v>23208398.760000002</v>
      </c>
      <c r="H16" s="1354">
        <f>[8]จังหวัด!H17</f>
        <v>20898166.399999999</v>
      </c>
      <c r="I16" s="1355">
        <f t="shared" si="0"/>
        <v>90.045705505621868</v>
      </c>
      <c r="J16" s="1356">
        <f>[8]จังหวัด!J17</f>
        <v>1180500</v>
      </c>
      <c r="K16" s="1987">
        <f t="shared" si="1"/>
        <v>5.0865206695543694</v>
      </c>
      <c r="L16" s="1354">
        <f t="shared" si="2"/>
        <v>22078666.399999999</v>
      </c>
      <c r="M16" s="1357">
        <f t="shared" si="3"/>
        <v>95.132226175176243</v>
      </c>
      <c r="N16" s="1355">
        <f t="shared" si="4"/>
        <v>1129732.3600000031</v>
      </c>
      <c r="O16" s="1199"/>
      <c r="P16" s="1193">
        <v>9693294</v>
      </c>
      <c r="Q16" s="1197">
        <v>34620344.82</v>
      </c>
      <c r="R16" s="697" t="s">
        <v>872</v>
      </c>
      <c r="S16" s="1198" t="s">
        <v>1200</v>
      </c>
    </row>
    <row r="17" spans="1:22" ht="28.5" customHeight="1">
      <c r="A17" s="1362"/>
      <c r="B17" s="1359">
        <v>6</v>
      </c>
      <c r="C17" s="1363">
        <v>1500400028</v>
      </c>
      <c r="D17" s="1364" t="s">
        <v>785</v>
      </c>
      <c r="E17" s="1200">
        <v>41148187.049999997</v>
      </c>
      <c r="F17" s="1200">
        <v>0</v>
      </c>
      <c r="G17" s="1365">
        <f>[8]จังหวัด!G22</f>
        <v>19120611.43</v>
      </c>
      <c r="H17" s="1365">
        <f>[8]จังหวัด!H22</f>
        <v>15202568.25</v>
      </c>
      <c r="I17" s="1366">
        <f t="shared" si="0"/>
        <v>79.508797643088755</v>
      </c>
      <c r="J17" s="1365">
        <f>[8]จังหวัด!J22</f>
        <v>2580700</v>
      </c>
      <c r="K17" s="1988">
        <f t="shared" si="1"/>
        <v>13.496953324154237</v>
      </c>
      <c r="L17" s="1365">
        <f t="shared" si="2"/>
        <v>17783268.25</v>
      </c>
      <c r="M17" s="1357">
        <f t="shared" si="3"/>
        <v>93.005750967243003</v>
      </c>
      <c r="N17" s="1366">
        <f t="shared" si="4"/>
        <v>1337343.1799999997</v>
      </c>
      <c r="O17" s="1199"/>
      <c r="P17" s="1193">
        <v>21773425.68</v>
      </c>
      <c r="Q17" s="1197">
        <v>1607658.3200000003</v>
      </c>
      <c r="R17" s="697" t="s">
        <v>872</v>
      </c>
      <c r="S17" s="1198" t="s">
        <v>873</v>
      </c>
    </row>
    <row r="18" spans="1:22" s="677" customFormat="1" ht="30.75" customHeight="1">
      <c r="A18" s="1397">
        <v>2</v>
      </c>
      <c r="B18" s="1417"/>
      <c r="C18" s="1418"/>
      <c r="D18" s="1401" t="s">
        <v>1201</v>
      </c>
      <c r="E18" s="1250"/>
      <c r="F18" s="1250"/>
      <c r="G18" s="1419">
        <f>SUM(G19:G22)</f>
        <v>50480041.120000005</v>
      </c>
      <c r="H18" s="1419">
        <f>SUM(H19:H22)</f>
        <v>44730998.310000002</v>
      </c>
      <c r="I18" s="1419">
        <f t="shared" si="0"/>
        <v>88.611255691465246</v>
      </c>
      <c r="J18" s="1419">
        <f>SUM(J19:J22)</f>
        <v>3434792</v>
      </c>
      <c r="K18" s="1985">
        <f t="shared" si="1"/>
        <v>6.8042575318726275</v>
      </c>
      <c r="L18" s="1392">
        <f t="shared" si="2"/>
        <v>48165790.310000002</v>
      </c>
      <c r="M18" s="1393">
        <f t="shared" si="3"/>
        <v>95.415513223337868</v>
      </c>
      <c r="N18" s="1419">
        <f>SUM(N19:N22)</f>
        <v>2314250.8100000005</v>
      </c>
      <c r="O18" s="1420"/>
      <c r="P18" s="1250"/>
      <c r="Q18" s="1231"/>
      <c r="R18" s="1421"/>
      <c r="S18" s="1422"/>
      <c r="T18" s="1423"/>
      <c r="U18" s="1423"/>
      <c r="V18" s="1424"/>
    </row>
    <row r="19" spans="1:22" ht="28.5" customHeight="1">
      <c r="A19" s="1351"/>
      <c r="B19" s="1352">
        <v>1</v>
      </c>
      <c r="C19" s="1352">
        <v>1500400078</v>
      </c>
      <c r="D19" s="1353" t="s">
        <v>540</v>
      </c>
      <c r="E19" s="1191">
        <v>19668678.350000001</v>
      </c>
      <c r="F19" s="1191">
        <v>0</v>
      </c>
      <c r="G19" s="1354">
        <f>[8]จังหวัด!G14</f>
        <v>14405539.220000001</v>
      </c>
      <c r="H19" s="1354">
        <f>[8]จังหวัด!H14</f>
        <v>13348533.26</v>
      </c>
      <c r="I19" s="1355">
        <f>+H19*100/G19</f>
        <v>92.662503333908518</v>
      </c>
      <c r="J19" s="1354">
        <f>[8]จังหวัด!J14</f>
        <v>608992</v>
      </c>
      <c r="K19" s="1986">
        <f>J19/G19*100</f>
        <v>4.2274849327021577</v>
      </c>
      <c r="L19" s="1354">
        <f>H19+J19</f>
        <v>13957525.26</v>
      </c>
      <c r="M19" s="1357">
        <f>L19*100/G19</f>
        <v>96.889988266610672</v>
      </c>
      <c r="N19" s="1355">
        <f>+G19-H19-J19</f>
        <v>448013.96000000089</v>
      </c>
      <c r="O19" s="1196"/>
      <c r="P19" s="1193">
        <v>17476248</v>
      </c>
      <c r="Q19" s="1194">
        <v>21163150.890000001</v>
      </c>
      <c r="R19" s="696" t="s">
        <v>876</v>
      </c>
      <c r="S19" s="1195" t="s">
        <v>875</v>
      </c>
    </row>
    <row r="20" spans="1:22" ht="28.5" customHeight="1">
      <c r="A20" s="1351"/>
      <c r="B20" s="1352">
        <v>2</v>
      </c>
      <c r="C20" s="1359">
        <v>1500400058.5</v>
      </c>
      <c r="D20" s="1360" t="s">
        <v>782</v>
      </c>
      <c r="E20" s="1191">
        <v>29476021.98</v>
      </c>
      <c r="F20" s="1191">
        <v>0</v>
      </c>
      <c r="G20" s="1354">
        <f>[8]จังหวัด!G16</f>
        <v>12830437.449999999</v>
      </c>
      <c r="H20" s="1354">
        <f>[8]จังหวัด!H16</f>
        <v>11354041.91</v>
      </c>
      <c r="I20" s="1355">
        <f>+H20*100/G20</f>
        <v>88.493022582016494</v>
      </c>
      <c r="J20" s="1354">
        <f>[8]จังหวัด!J16</f>
        <v>956000</v>
      </c>
      <c r="K20" s="1987">
        <f>J20/G20*100</f>
        <v>7.4510319989128675</v>
      </c>
      <c r="L20" s="1354">
        <f>H20+J20</f>
        <v>12310041.91</v>
      </c>
      <c r="M20" s="1357">
        <f>L20*100/G20</f>
        <v>95.944054580929361</v>
      </c>
      <c r="N20" s="1355">
        <f>+G20-H20-J20</f>
        <v>520395.53999999911</v>
      </c>
      <c r="O20" s="1199"/>
      <c r="P20" s="1193">
        <v>21102436.629999999</v>
      </c>
      <c r="Q20" s="1197">
        <v>-167391.024999999</v>
      </c>
      <c r="R20" s="697" t="s">
        <v>872</v>
      </c>
      <c r="S20" s="1198" t="s">
        <v>1199</v>
      </c>
    </row>
    <row r="21" spans="1:22" ht="28.5" customHeight="1">
      <c r="A21" s="1351"/>
      <c r="B21" s="1352">
        <v>3</v>
      </c>
      <c r="C21" s="1359">
        <v>1500400032</v>
      </c>
      <c r="D21" s="1360" t="s">
        <v>574</v>
      </c>
      <c r="E21" s="1191">
        <v>33858194</v>
      </c>
      <c r="F21" s="1191">
        <v>0</v>
      </c>
      <c r="G21" s="1354">
        <f>[8]จังหวัด!G70</f>
        <v>12554357.32</v>
      </c>
      <c r="H21" s="1354">
        <f>[8]จังหวัด!H70</f>
        <v>11029828.82</v>
      </c>
      <c r="I21" s="1354">
        <f>+H21*100/G21</f>
        <v>87.8565787069696</v>
      </c>
      <c r="J21" s="1354">
        <f>[8]จังหวัด!J70</f>
        <v>844800</v>
      </c>
      <c r="K21" s="1987">
        <f>J21/G21*100</f>
        <v>6.7291377683999203</v>
      </c>
      <c r="L21" s="1354">
        <f>H21+J21</f>
        <v>11874628.82</v>
      </c>
      <c r="M21" s="1357">
        <f>L21*100/G21</f>
        <v>94.585716475369523</v>
      </c>
      <c r="N21" s="1354">
        <f>+G21-H21-J21</f>
        <v>679728.5</v>
      </c>
      <c r="O21" s="1199"/>
      <c r="P21" s="1193">
        <v>10670346.84</v>
      </c>
      <c r="Q21" s="1197">
        <v>45051004.799999997</v>
      </c>
      <c r="R21" s="697" t="s">
        <v>874</v>
      </c>
      <c r="S21" s="1198" t="s">
        <v>1199</v>
      </c>
    </row>
    <row r="22" spans="1:22" ht="28.5" customHeight="1">
      <c r="A22" s="1369"/>
      <c r="B22" s="1370">
        <v>4</v>
      </c>
      <c r="C22" s="1370">
        <v>1500400025</v>
      </c>
      <c r="D22" s="1371" t="s">
        <v>781</v>
      </c>
      <c r="E22" s="1200">
        <v>19413558.190000001</v>
      </c>
      <c r="F22" s="1200">
        <v>0</v>
      </c>
      <c r="G22" s="1365">
        <f>[8]จังหวัด!G15</f>
        <v>10689707.130000001</v>
      </c>
      <c r="H22" s="1365">
        <f>[8]จังหวัด!H15</f>
        <v>8998594.3200000003</v>
      </c>
      <c r="I22" s="1366">
        <f>+H22*100/G22</f>
        <v>84.179989316508056</v>
      </c>
      <c r="J22" s="1365">
        <f>[8]จังหวัด!J15</f>
        <v>1025000</v>
      </c>
      <c r="K22" s="1988">
        <f>J22/G22*100</f>
        <v>9.5886630712585283</v>
      </c>
      <c r="L22" s="1365">
        <f>H22+J22</f>
        <v>10023594.32</v>
      </c>
      <c r="M22" s="1368">
        <f>L22*100/G22</f>
        <v>93.768652387766579</v>
      </c>
      <c r="N22" s="1366">
        <f>+G22-H22-J22</f>
        <v>666112.81000000052</v>
      </c>
      <c r="O22" s="1196"/>
      <c r="P22" s="1201">
        <v>17699486.050000001</v>
      </c>
      <c r="Q22" s="1202">
        <v>11776535.93</v>
      </c>
      <c r="R22" s="698" t="s">
        <v>874</v>
      </c>
      <c r="S22" s="1203" t="s">
        <v>875</v>
      </c>
    </row>
    <row r="23" spans="1:22" s="677" customFormat="1" ht="30.75" customHeight="1">
      <c r="A23" s="1397">
        <v>3</v>
      </c>
      <c r="B23" s="1398"/>
      <c r="C23" s="1399"/>
      <c r="D23" s="1401" t="s">
        <v>1202</v>
      </c>
      <c r="E23" s="1229"/>
      <c r="F23" s="1229"/>
      <c r="G23" s="1392">
        <f>SUM(G24:G26)</f>
        <v>51866570.580000006</v>
      </c>
      <c r="H23" s="1392">
        <f t="shared" ref="H23:N23" si="5">SUM(H24:H26)</f>
        <v>45889310.159999996</v>
      </c>
      <c r="I23" s="1392">
        <f t="shared" si="0"/>
        <v>88.475697634990993</v>
      </c>
      <c r="J23" s="1392">
        <f t="shared" si="5"/>
        <v>3638733.63</v>
      </c>
      <c r="K23" s="1985">
        <f t="shared" si="1"/>
        <v>7.0155662680406961</v>
      </c>
      <c r="L23" s="1392">
        <f t="shared" si="2"/>
        <v>49528043.789999999</v>
      </c>
      <c r="M23" s="1393">
        <f t="shared" si="3"/>
        <v>95.491263903031694</v>
      </c>
      <c r="N23" s="1392">
        <f t="shared" si="5"/>
        <v>2338526.7900000075</v>
      </c>
      <c r="O23" s="1425"/>
      <c r="P23" s="1230"/>
      <c r="Q23" s="1231"/>
      <c r="R23" s="1232"/>
      <c r="S23" s="1426"/>
    </row>
    <row r="24" spans="1:22" ht="28.5" customHeight="1">
      <c r="A24" s="1351"/>
      <c r="B24" s="1352">
        <v>1</v>
      </c>
      <c r="C24" s="1352">
        <v>1500400079</v>
      </c>
      <c r="D24" s="1353" t="s">
        <v>796</v>
      </c>
      <c r="E24" s="1191">
        <v>38639398.890000001</v>
      </c>
      <c r="F24" s="1191">
        <v>0</v>
      </c>
      <c r="G24" s="1354">
        <f>[8]จังหวัด!G67</f>
        <v>14664569.970000001</v>
      </c>
      <c r="H24" s="1354">
        <f>[8]จังหวัด!H67</f>
        <v>12715372.09</v>
      </c>
      <c r="I24" s="1354">
        <f>+H24*100/G24</f>
        <v>86.708114291877862</v>
      </c>
      <c r="J24" s="1354">
        <f>[8]จังหวัด!J67</f>
        <v>1451333.63</v>
      </c>
      <c r="K24" s="1986">
        <f>J24/G24*100</f>
        <v>9.896871391176564</v>
      </c>
      <c r="L24" s="1354">
        <f>H24+J24</f>
        <v>14166705.719999999</v>
      </c>
      <c r="M24" s="1357">
        <f>L24*100/G24</f>
        <v>96.604985683054437</v>
      </c>
      <c r="N24" s="1354">
        <f>+G24-H24-J24</f>
        <v>497864.25000000093</v>
      </c>
      <c r="O24" s="1192"/>
      <c r="P24" s="1193">
        <v>19719750.550000001</v>
      </c>
      <c r="Q24" s="1194">
        <v>21298189.449999999</v>
      </c>
      <c r="R24" s="696" t="s">
        <v>876</v>
      </c>
      <c r="S24" s="1195" t="s">
        <v>877</v>
      </c>
    </row>
    <row r="25" spans="1:22" ht="28.5" customHeight="1">
      <c r="A25" s="1351"/>
      <c r="B25" s="1352">
        <v>2</v>
      </c>
      <c r="C25" s="1359">
        <v>1500400080</v>
      </c>
      <c r="D25" s="1360" t="s">
        <v>798</v>
      </c>
      <c r="E25" s="1191">
        <v>41017940</v>
      </c>
      <c r="F25" s="1191">
        <v>0</v>
      </c>
      <c r="G25" s="1354">
        <f>[8]จังหวัด!G69</f>
        <v>17793573.690000001</v>
      </c>
      <c r="H25" s="1354">
        <f>[8]จังหวัด!H69</f>
        <v>16298638.51</v>
      </c>
      <c r="I25" s="1354">
        <f>+H25*100/G25</f>
        <v>91.598454554184599</v>
      </c>
      <c r="J25" s="1354">
        <f>[8]จังหวัด!J69</f>
        <v>775000</v>
      </c>
      <c r="K25" s="1987">
        <f>J25/G25*100</f>
        <v>4.3555050463839677</v>
      </c>
      <c r="L25" s="1354">
        <f>H25+J25</f>
        <v>17073638.509999998</v>
      </c>
      <c r="M25" s="1357">
        <f>L25*100/G25</f>
        <v>95.953959600568567</v>
      </c>
      <c r="N25" s="1354">
        <f>G25-L25</f>
        <v>719935.18000000343</v>
      </c>
      <c r="O25" s="1204"/>
      <c r="P25" s="1193">
        <v>18863260</v>
      </c>
      <c r="Q25" s="1197">
        <v>22819007.619999997</v>
      </c>
      <c r="R25" s="697" t="s">
        <v>876</v>
      </c>
      <c r="S25" s="1198" t="s">
        <v>1203</v>
      </c>
    </row>
    <row r="26" spans="1:22" ht="28.5" customHeight="1">
      <c r="A26" s="1369"/>
      <c r="B26" s="1370">
        <v>3</v>
      </c>
      <c r="C26" s="1363">
        <v>1500400077</v>
      </c>
      <c r="D26" s="1364" t="s">
        <v>797</v>
      </c>
      <c r="E26" s="1200">
        <v>41682267.619999997</v>
      </c>
      <c r="F26" s="1200">
        <v>0</v>
      </c>
      <c r="G26" s="1365">
        <f>[8]จังหวัด!G68</f>
        <v>19408426.920000002</v>
      </c>
      <c r="H26" s="1365">
        <f>[8]จังหวัด!H68</f>
        <v>16875299.559999999</v>
      </c>
      <c r="I26" s="1367">
        <f>+H26*100/G26</f>
        <v>86.948311831549489</v>
      </c>
      <c r="J26" s="1365">
        <f>[8]จังหวัด!J68</f>
        <v>1412400</v>
      </c>
      <c r="K26" s="1988">
        <f>J26/G26*100</f>
        <v>7.2772512982211328</v>
      </c>
      <c r="L26" s="1365">
        <f>H26+J26</f>
        <v>18287699.559999999</v>
      </c>
      <c r="M26" s="1368">
        <f>L26*100/G26</f>
        <v>94.22556312977062</v>
      </c>
      <c r="N26" s="1367">
        <f>G26-L26</f>
        <v>1120727.3600000031</v>
      </c>
      <c r="O26" s="1196"/>
      <c r="P26" s="1201">
        <v>17060956.890000001</v>
      </c>
      <c r="Q26" s="1205">
        <v>16797237.109999999</v>
      </c>
      <c r="R26" s="699" t="s">
        <v>876</v>
      </c>
      <c r="S26" s="1203" t="s">
        <v>1203</v>
      </c>
    </row>
    <row r="27" spans="1:22" s="677" customFormat="1" ht="30.75" customHeight="1">
      <c r="A27" s="1397">
        <v>4</v>
      </c>
      <c r="B27" s="1398"/>
      <c r="C27" s="1399"/>
      <c r="D27" s="1401" t="s">
        <v>1204</v>
      </c>
      <c r="E27" s="1229"/>
      <c r="F27" s="1229"/>
      <c r="G27" s="1392">
        <f>SUM(G28:G31)</f>
        <v>43295939.889999993</v>
      </c>
      <c r="H27" s="1392">
        <f t="shared" ref="H27:N27" si="6">SUM(H28:H31)</f>
        <v>36292580.120000005</v>
      </c>
      <c r="I27" s="1392">
        <f t="shared" si="0"/>
        <v>83.824442227624331</v>
      </c>
      <c r="J27" s="1392">
        <f t="shared" si="6"/>
        <v>4315735</v>
      </c>
      <c r="K27" s="1985">
        <f t="shared" si="1"/>
        <v>9.9679900955257938</v>
      </c>
      <c r="L27" s="1392">
        <f t="shared" si="2"/>
        <v>40608315.120000005</v>
      </c>
      <c r="M27" s="1393">
        <f t="shared" si="3"/>
        <v>93.792432323150138</v>
      </c>
      <c r="N27" s="1392">
        <f t="shared" si="6"/>
        <v>2687624.7699999986</v>
      </c>
      <c r="O27" s="1427"/>
      <c r="P27" s="1230"/>
      <c r="Q27" s="1231"/>
      <c r="R27" s="1232"/>
      <c r="S27" s="1426"/>
    </row>
    <row r="28" spans="1:22" ht="27.75" customHeight="1">
      <c r="A28" s="1351"/>
      <c r="B28" s="1352">
        <v>1</v>
      </c>
      <c r="C28" s="1352">
        <v>1500400082</v>
      </c>
      <c r="D28" s="1353" t="s">
        <v>575</v>
      </c>
      <c r="E28" s="1191">
        <v>17133053.559999999</v>
      </c>
      <c r="F28" s="1191">
        <v>0</v>
      </c>
      <c r="G28" s="1354">
        <f>[8]จังหวัด!G72</f>
        <v>7011892.04</v>
      </c>
      <c r="H28" s="1354">
        <f>[8]จังหวัด!H72</f>
        <v>5725047.1699999999</v>
      </c>
      <c r="I28" s="1355">
        <f>+H28*100/G28</f>
        <v>81.647679932048703</v>
      </c>
      <c r="J28" s="1354">
        <f>[8]จังหวัด!J72</f>
        <v>1051340</v>
      </c>
      <c r="K28" s="1986">
        <f>J28/G28*100</f>
        <v>14.993670666954536</v>
      </c>
      <c r="L28" s="1354">
        <f>H28+J28</f>
        <v>6776387.1699999999</v>
      </c>
      <c r="M28" s="1357">
        <f>L28*100/G28</f>
        <v>96.641350599003232</v>
      </c>
      <c r="N28" s="1355">
        <f>G28-L28</f>
        <v>235504.87000000011</v>
      </c>
      <c r="O28" s="1196"/>
      <c r="P28" s="1193">
        <v>12387031.210000001</v>
      </c>
      <c r="Q28" s="1194">
        <v>2783237</v>
      </c>
      <c r="R28" s="696" t="s">
        <v>879</v>
      </c>
      <c r="S28" s="1195" t="s">
        <v>875</v>
      </c>
    </row>
    <row r="29" spans="1:22" ht="27.75" customHeight="1">
      <c r="A29" s="1351"/>
      <c r="B29" s="1352">
        <v>2</v>
      </c>
      <c r="C29" s="1359">
        <v>1500400081</v>
      </c>
      <c r="D29" s="1360" t="s">
        <v>799</v>
      </c>
      <c r="E29" s="1191">
        <v>29568550</v>
      </c>
      <c r="F29" s="1191">
        <v>0</v>
      </c>
      <c r="G29" s="1354">
        <f>[8]จังหวัด!G73</f>
        <v>14495301.789999999</v>
      </c>
      <c r="H29" s="1354">
        <f>[8]จังหวัด!H73</f>
        <v>12584165.07</v>
      </c>
      <c r="I29" s="1355">
        <f>+H29*100/G29</f>
        <v>86.815474781501607</v>
      </c>
      <c r="J29" s="1354">
        <f>[8]จังหวัด!J73</f>
        <v>990700</v>
      </c>
      <c r="K29" s="1987">
        <f>J29/G29*100</f>
        <v>6.8346283116606985</v>
      </c>
      <c r="L29" s="1354">
        <f>H29+J29</f>
        <v>13574865.07</v>
      </c>
      <c r="M29" s="1357">
        <f>L29*100/G29</f>
        <v>93.650103093162301</v>
      </c>
      <c r="N29" s="1355">
        <f>G29-L29</f>
        <v>920436.71999999881</v>
      </c>
      <c r="O29" s="1192"/>
      <c r="P29" s="1193">
        <v>13004358</v>
      </c>
      <c r="Q29" s="1197">
        <v>16564192</v>
      </c>
      <c r="R29" s="697" t="s">
        <v>879</v>
      </c>
      <c r="S29" s="1198" t="s">
        <v>875</v>
      </c>
    </row>
    <row r="30" spans="1:22" ht="27.75" customHeight="1">
      <c r="A30" s="1358"/>
      <c r="B30" s="1359">
        <v>3</v>
      </c>
      <c r="C30" s="1359">
        <v>1500400083</v>
      </c>
      <c r="D30" s="1360" t="s">
        <v>343</v>
      </c>
      <c r="E30" s="1191">
        <v>22977467.66</v>
      </c>
      <c r="F30" s="1191">
        <v>0</v>
      </c>
      <c r="G30" s="1354">
        <f>[8]จังหวัด!G74</f>
        <v>13243930.66</v>
      </c>
      <c r="H30" s="1354">
        <f>[8]จังหวัด!H74</f>
        <v>11373237.720000001</v>
      </c>
      <c r="I30" s="1355">
        <f>+H30*100/G30</f>
        <v>85.87509261393248</v>
      </c>
      <c r="J30" s="1354">
        <f>[8]จังหวัด!J74</f>
        <v>959895</v>
      </c>
      <c r="K30" s="1987">
        <f>J30/G30*100</f>
        <v>7.2478105227409886</v>
      </c>
      <c r="L30" s="1354">
        <f>H30+J30</f>
        <v>12333132.720000001</v>
      </c>
      <c r="M30" s="1357">
        <f>L30*100/G30</f>
        <v>93.122903136673472</v>
      </c>
      <c r="N30" s="1355">
        <f>G30-L30</f>
        <v>910797.93999999948</v>
      </c>
      <c r="O30" s="1196"/>
      <c r="P30" s="1193">
        <v>16071806</v>
      </c>
      <c r="Q30" s="1197">
        <v>1061247.5599999987</v>
      </c>
      <c r="R30" s="697" t="s">
        <v>879</v>
      </c>
      <c r="S30" s="1198" t="s">
        <v>877</v>
      </c>
    </row>
    <row r="31" spans="1:22" ht="27.75" customHeight="1">
      <c r="A31" s="1372"/>
      <c r="B31" s="1373">
        <v>4</v>
      </c>
      <c r="C31" s="1374">
        <v>1500400084</v>
      </c>
      <c r="D31" s="1375" t="s">
        <v>344</v>
      </c>
      <c r="E31" s="1206">
        <v>15170268.210000001</v>
      </c>
      <c r="F31" s="1206">
        <v>0</v>
      </c>
      <c r="G31" s="1376">
        <f>[8]จังหวัด!G71</f>
        <v>8544815.4000000004</v>
      </c>
      <c r="H31" s="1376">
        <f>[8]จังหวัด!H71</f>
        <v>6610130.1600000001</v>
      </c>
      <c r="I31" s="1377">
        <f>+H31*100/G31</f>
        <v>77.358372891238815</v>
      </c>
      <c r="J31" s="1376">
        <f>[8]จังหวัด!J71</f>
        <v>1313800</v>
      </c>
      <c r="K31" s="1988">
        <f>J31/G31*100</f>
        <v>15.375405301324591</v>
      </c>
      <c r="L31" s="1376">
        <f>H31+J31</f>
        <v>7923930.1600000001</v>
      </c>
      <c r="M31" s="1378">
        <f>L31*100/G31</f>
        <v>92.733778192563406</v>
      </c>
      <c r="N31" s="1377">
        <f>+G31-H31-J31</f>
        <v>620885.24000000022</v>
      </c>
      <c r="O31" s="1207"/>
      <c r="P31" s="1208">
        <v>8385218.21</v>
      </c>
      <c r="Q31" s="1209">
        <v>14592249.449999999</v>
      </c>
      <c r="R31" s="700" t="s">
        <v>879</v>
      </c>
      <c r="S31" s="1210" t="s">
        <v>875</v>
      </c>
    </row>
    <row r="32" spans="1:22" s="677" customFormat="1" ht="30.75" customHeight="1">
      <c r="A32" s="1389">
        <v>5</v>
      </c>
      <c r="B32" s="1390"/>
      <c r="C32" s="1402"/>
      <c r="D32" s="1403" t="s">
        <v>1205</v>
      </c>
      <c r="E32" s="1233"/>
      <c r="F32" s="1233"/>
      <c r="G32" s="1386">
        <f>SUM(G33:G37)</f>
        <v>111262777.34999999</v>
      </c>
      <c r="H32" s="1386">
        <f t="shared" ref="H32:N32" si="7">SUM(H33:H37)</f>
        <v>96620058.689999998</v>
      </c>
      <c r="I32" s="1386">
        <f t="shared" si="0"/>
        <v>86.839517214334577</v>
      </c>
      <c r="J32" s="1386">
        <f t="shared" si="7"/>
        <v>6650504</v>
      </c>
      <c r="K32" s="1985">
        <f t="shared" si="1"/>
        <v>5.9772946158619336</v>
      </c>
      <c r="L32" s="1386">
        <f t="shared" si="2"/>
        <v>103270562.69</v>
      </c>
      <c r="M32" s="1388">
        <f t="shared" si="3"/>
        <v>92.816811830196514</v>
      </c>
      <c r="N32" s="1386">
        <f t="shared" si="7"/>
        <v>7992214.6600000039</v>
      </c>
      <c r="O32" s="1234"/>
      <c r="P32" s="1235"/>
      <c r="Q32" s="1236"/>
      <c r="R32" s="1237"/>
      <c r="S32" s="1238"/>
    </row>
    <row r="33" spans="1:19" ht="28.5" customHeight="1">
      <c r="A33" s="1351"/>
      <c r="B33" s="1352">
        <v>1</v>
      </c>
      <c r="C33" s="1352">
        <v>1500400096</v>
      </c>
      <c r="D33" s="1353" t="s">
        <v>580</v>
      </c>
      <c r="E33" s="1191">
        <v>13021213.109999999</v>
      </c>
      <c r="F33" s="1191">
        <v>0</v>
      </c>
      <c r="G33" s="1354">
        <f>[8]จังหวัด!G81</f>
        <v>12590083.82</v>
      </c>
      <c r="H33" s="1354">
        <f>[8]จังหวัด!H81</f>
        <v>10916460.859999999</v>
      </c>
      <c r="I33" s="1354">
        <f>H33/G33*100</f>
        <v>86.706816380830105</v>
      </c>
      <c r="J33" s="1354">
        <f>[8]จังหวัด!J81</f>
        <v>1150700</v>
      </c>
      <c r="K33" s="1986">
        <f>J33/G33*100</f>
        <v>9.1397326376179748</v>
      </c>
      <c r="L33" s="1354">
        <f>H33+J33</f>
        <v>12067160.859999999</v>
      </c>
      <c r="M33" s="1357">
        <f>L33*100/G33</f>
        <v>95.846549018448073</v>
      </c>
      <c r="N33" s="1354">
        <f>G33-L33</f>
        <v>522922.96000000089</v>
      </c>
      <c r="O33" s="1204"/>
      <c r="P33" s="1193">
        <v>41915538.969999999</v>
      </c>
      <c r="Q33" s="1194">
        <v>173882098</v>
      </c>
      <c r="R33" s="696" t="s">
        <v>880</v>
      </c>
      <c r="S33" s="1195" t="s">
        <v>877</v>
      </c>
    </row>
    <row r="34" spans="1:19" ht="28.5" customHeight="1">
      <c r="A34" s="1358"/>
      <c r="B34" s="1359">
        <v>2</v>
      </c>
      <c r="C34" s="1359">
        <v>1500400089</v>
      </c>
      <c r="D34" s="1360" t="s">
        <v>576</v>
      </c>
      <c r="E34" s="1191">
        <v>215797636.97</v>
      </c>
      <c r="F34" s="1191">
        <v>0</v>
      </c>
      <c r="G34" s="1354">
        <f>[8]จังหวัด!G75</f>
        <v>34036070.810000002</v>
      </c>
      <c r="H34" s="1354">
        <f>[8]จังหวัด!H75</f>
        <v>30442696.52</v>
      </c>
      <c r="I34" s="1354">
        <f>H34/G34*100</f>
        <v>89.442452655421533</v>
      </c>
      <c r="J34" s="1354">
        <f>[8]จังหวัด!J75</f>
        <v>1984799</v>
      </c>
      <c r="K34" s="1987">
        <f>J34/G34*100</f>
        <v>5.8314574883798107</v>
      </c>
      <c r="L34" s="1354">
        <f>H34+J34</f>
        <v>32427495.52</v>
      </c>
      <c r="M34" s="1357">
        <f>L34*100/G34</f>
        <v>95.273910143801345</v>
      </c>
      <c r="N34" s="1355">
        <f>G34-L34</f>
        <v>1608575.2900000028</v>
      </c>
      <c r="O34" s="1196"/>
      <c r="P34" s="1193">
        <v>19504116</v>
      </c>
      <c r="Q34" s="1197">
        <v>505314.8200000003</v>
      </c>
      <c r="R34" s="697" t="s">
        <v>881</v>
      </c>
      <c r="S34" s="1198" t="s">
        <v>1199</v>
      </c>
    </row>
    <row r="35" spans="1:19" ht="28.5" customHeight="1">
      <c r="A35" s="1351"/>
      <c r="B35" s="1352">
        <v>3</v>
      </c>
      <c r="C35" s="1359">
        <v>1500400091</v>
      </c>
      <c r="D35" s="1360" t="s">
        <v>581</v>
      </c>
      <c r="E35" s="1191">
        <v>20009430.82</v>
      </c>
      <c r="F35" s="1191">
        <v>0</v>
      </c>
      <c r="G35" s="1354">
        <f>[8]จังหวัด!G82</f>
        <v>24234443.32</v>
      </c>
      <c r="H35" s="1354">
        <f>[8]จังหวัด!H82</f>
        <v>21129130.850000001</v>
      </c>
      <c r="I35" s="1355">
        <f>+H35*100/G35</f>
        <v>87.18636764626126</v>
      </c>
      <c r="J35" s="1354">
        <f>[8]จังหวัด!J82</f>
        <v>1150700</v>
      </c>
      <c r="K35" s="1987">
        <f>J35/G35*100</f>
        <v>4.7482006696244587</v>
      </c>
      <c r="L35" s="1354">
        <f>H35+J35</f>
        <v>22279830.850000001</v>
      </c>
      <c r="M35" s="1357">
        <f>L35*100/G35</f>
        <v>91.934568315885699</v>
      </c>
      <c r="N35" s="1354">
        <f>G35-L35</f>
        <v>1954612.4699999988</v>
      </c>
      <c r="O35" s="1192"/>
      <c r="P35" s="1193">
        <v>15399082.469999999</v>
      </c>
      <c r="Q35" s="1197">
        <v>38518675.539999999</v>
      </c>
      <c r="R35" s="697" t="s">
        <v>880</v>
      </c>
      <c r="S35" s="1198" t="s">
        <v>1200</v>
      </c>
    </row>
    <row r="36" spans="1:19" ht="28.5" customHeight="1">
      <c r="A36" s="1358"/>
      <c r="B36" s="1359">
        <v>4</v>
      </c>
      <c r="C36" s="1359">
        <v>1500400085</v>
      </c>
      <c r="D36" s="1360" t="s">
        <v>583</v>
      </c>
      <c r="E36" s="1191">
        <v>16490784.24</v>
      </c>
      <c r="F36" s="1191">
        <v>0</v>
      </c>
      <c r="G36" s="1354">
        <f>[8]จังหวัด!G85</f>
        <v>16172192.08</v>
      </c>
      <c r="H36" s="1354">
        <f>[8]จังหวัด!H85</f>
        <v>13495240.99</v>
      </c>
      <c r="I36" s="1354">
        <f>H36/G36*100</f>
        <v>83.447197035765114</v>
      </c>
      <c r="J36" s="1361">
        <f>[8]จังหวัด!J85</f>
        <v>1180355</v>
      </c>
      <c r="K36" s="1987">
        <f>J36/G36*100</f>
        <v>7.2986704224205585</v>
      </c>
      <c r="L36" s="1361">
        <f>H36+J36</f>
        <v>14675595.99</v>
      </c>
      <c r="M36" s="1357">
        <f>L36*100/G36</f>
        <v>90.745867458185671</v>
      </c>
      <c r="N36" s="1361">
        <f>G36-L36</f>
        <v>1496596.0899999999</v>
      </c>
      <c r="O36" s="1935"/>
      <c r="P36" s="1193">
        <v>13540641.120000001</v>
      </c>
      <c r="Q36" s="1197">
        <v>-519428.01000000164</v>
      </c>
      <c r="R36" s="697" t="s">
        <v>880</v>
      </c>
      <c r="S36" s="1198" t="s">
        <v>877</v>
      </c>
    </row>
    <row r="37" spans="1:19" ht="28.5" customHeight="1">
      <c r="A37" s="1379"/>
      <c r="B37" s="1374">
        <v>5</v>
      </c>
      <c r="C37" s="1374">
        <v>1500400095</v>
      </c>
      <c r="D37" s="1375" t="s">
        <v>801</v>
      </c>
      <c r="E37" s="1211">
        <v>53917758.009999998</v>
      </c>
      <c r="F37" s="1211">
        <v>0</v>
      </c>
      <c r="G37" s="1380">
        <f>[8]จังหวัด!G79</f>
        <v>24229987.32</v>
      </c>
      <c r="H37" s="1380">
        <f>[8]จังหวัด!H79</f>
        <v>20636529.469999999</v>
      </c>
      <c r="I37" s="1380">
        <f>H37/G37*100</f>
        <v>85.169377917775975</v>
      </c>
      <c r="J37" s="1380">
        <f>[8]จังหวัด!J79</f>
        <v>1183950</v>
      </c>
      <c r="K37" s="1989">
        <f>J37/G37*100</f>
        <v>4.8863005348035813</v>
      </c>
      <c r="L37" s="1380">
        <f>H37+J37</f>
        <v>21820479.469999999</v>
      </c>
      <c r="M37" s="1381">
        <f>L37*100/G37</f>
        <v>90.055678452579556</v>
      </c>
      <c r="N37" s="1380">
        <f>G37-L37</f>
        <v>2409507.8500000015</v>
      </c>
      <c r="O37" s="1992"/>
      <c r="P37" s="1212">
        <v>25637588</v>
      </c>
      <c r="Q37" s="1209">
        <v>-9146803.7599999998</v>
      </c>
      <c r="R37" s="700" t="s">
        <v>880</v>
      </c>
      <c r="S37" s="704" t="s">
        <v>875</v>
      </c>
    </row>
    <row r="38" spans="1:19" s="677" customFormat="1" ht="30" customHeight="1">
      <c r="A38" s="1397">
        <v>6</v>
      </c>
      <c r="B38" s="1398"/>
      <c r="C38" s="1399"/>
      <c r="D38" s="1401" t="s">
        <v>1206</v>
      </c>
      <c r="E38" s="1229"/>
      <c r="F38" s="1229"/>
      <c r="G38" s="1392">
        <f>SUM(G39:G44)</f>
        <v>71137583.069999993</v>
      </c>
      <c r="H38" s="1392">
        <f>SUM(H39:H44)</f>
        <v>58311792.899999999</v>
      </c>
      <c r="I38" s="1392">
        <f t="shared" ref="I38:I74" si="8">+H38*100/G38</f>
        <v>81.970444290496474</v>
      </c>
      <c r="J38" s="1392">
        <f>SUM(J39:J44)</f>
        <v>10080680</v>
      </c>
      <c r="K38" s="1985">
        <f t="shared" si="1"/>
        <v>14.170681045039899</v>
      </c>
      <c r="L38" s="1392">
        <f t="shared" si="2"/>
        <v>68392472.900000006</v>
      </c>
      <c r="M38" s="1393">
        <f t="shared" si="3"/>
        <v>96.141125335536387</v>
      </c>
      <c r="N38" s="1392">
        <f>SUM(N39:N44)</f>
        <v>2745110.17</v>
      </c>
      <c r="O38" s="1229"/>
      <c r="P38" s="1230"/>
      <c r="Q38" s="1231"/>
      <c r="R38" s="1232"/>
      <c r="S38" s="1250"/>
    </row>
    <row r="39" spans="1:19" ht="30" customHeight="1">
      <c r="A39" s="1351"/>
      <c r="B39" s="1352">
        <v>1</v>
      </c>
      <c r="C39" s="1352">
        <v>1500400088</v>
      </c>
      <c r="D39" s="1353" t="s">
        <v>378</v>
      </c>
      <c r="E39" s="1191">
        <v>14519180.029999999</v>
      </c>
      <c r="F39" s="1191">
        <v>0</v>
      </c>
      <c r="G39" s="1354">
        <f>[8]จังหวัด!G84</f>
        <v>15492178.789999999</v>
      </c>
      <c r="H39" s="1354">
        <f>[8]จังหวัด!H84</f>
        <v>13900739.789999999</v>
      </c>
      <c r="I39" s="1355">
        <f t="shared" si="8"/>
        <v>89.72746815298018</v>
      </c>
      <c r="J39" s="1354">
        <f>[8]จังหวัด!J84</f>
        <v>1582100</v>
      </c>
      <c r="K39" s="1986">
        <f t="shared" si="1"/>
        <v>10.212249816153845</v>
      </c>
      <c r="L39" s="1354">
        <f t="shared" si="2"/>
        <v>15482839.789999999</v>
      </c>
      <c r="M39" s="1357">
        <f t="shared" si="3"/>
        <v>99.939717969134023</v>
      </c>
      <c r="N39" s="1355">
        <f t="shared" ref="N39:N44" si="9">+G39-H39-J39</f>
        <v>9339</v>
      </c>
      <c r="O39" s="1192"/>
      <c r="P39" s="1193">
        <v>6262390</v>
      </c>
      <c r="Q39" s="1194">
        <v>2772818.4000000004</v>
      </c>
      <c r="R39" s="696" t="s">
        <v>882</v>
      </c>
      <c r="S39" s="1195" t="s">
        <v>877</v>
      </c>
    </row>
    <row r="40" spans="1:19" ht="30" customHeight="1">
      <c r="A40" s="1351"/>
      <c r="B40" s="1352">
        <v>2</v>
      </c>
      <c r="C40" s="1359">
        <v>1500400094</v>
      </c>
      <c r="D40" s="1360" t="s">
        <v>579</v>
      </c>
      <c r="E40" s="1191">
        <v>6555990</v>
      </c>
      <c r="F40" s="1191">
        <v>0</v>
      </c>
      <c r="G40" s="1354">
        <f>[8]จังหวัด!G80</f>
        <v>9230532.6799999997</v>
      </c>
      <c r="H40" s="1354">
        <f>[8]จังหวัด!H80</f>
        <v>7419647.6799999997</v>
      </c>
      <c r="I40" s="1355">
        <f t="shared" si="8"/>
        <v>80.381576418404492</v>
      </c>
      <c r="J40" s="1354">
        <f>[8]จังหวัด!J80</f>
        <v>1578700</v>
      </c>
      <c r="K40" s="1987">
        <f t="shared" si="1"/>
        <v>17.103021621066404</v>
      </c>
      <c r="L40" s="1354">
        <f t="shared" si="2"/>
        <v>8998347.6799999997</v>
      </c>
      <c r="M40" s="1357">
        <f t="shared" si="3"/>
        <v>97.484598039470896</v>
      </c>
      <c r="N40" s="1355">
        <f t="shared" si="9"/>
        <v>232185</v>
      </c>
      <c r="O40" s="1204"/>
      <c r="P40" s="1193">
        <v>7940662</v>
      </c>
      <c r="Q40" s="1197">
        <v>6578518.0299999993</v>
      </c>
      <c r="R40" s="697" t="s">
        <v>882</v>
      </c>
      <c r="S40" s="1198" t="s">
        <v>877</v>
      </c>
    </row>
    <row r="41" spans="1:19" ht="30" customHeight="1">
      <c r="A41" s="1358"/>
      <c r="B41" s="1359">
        <v>3</v>
      </c>
      <c r="C41" s="1359">
        <v>1500400098</v>
      </c>
      <c r="D41" s="1360" t="s">
        <v>582</v>
      </c>
      <c r="E41" s="1191">
        <v>75026930</v>
      </c>
      <c r="F41" s="1191">
        <v>0</v>
      </c>
      <c r="G41" s="1354">
        <f>[8]จังหวัด!G83</f>
        <v>11748337.07</v>
      </c>
      <c r="H41" s="1354">
        <f>[8]จังหวัด!H83</f>
        <v>9705758.4800000004</v>
      </c>
      <c r="I41" s="1355">
        <f t="shared" si="8"/>
        <v>82.613891839928286</v>
      </c>
      <c r="J41" s="1354">
        <f>[8]จังหวัด!J83</f>
        <v>1720820</v>
      </c>
      <c r="K41" s="1987">
        <f t="shared" si="1"/>
        <v>14.64734957591747</v>
      </c>
      <c r="L41" s="1354">
        <f t="shared" si="2"/>
        <v>11426578.48</v>
      </c>
      <c r="M41" s="1357">
        <f t="shared" si="3"/>
        <v>97.26124141584576</v>
      </c>
      <c r="N41" s="1355">
        <f t="shared" si="9"/>
        <v>321758.58999999985</v>
      </c>
      <c r="O41" s="1196"/>
      <c r="P41" s="1193">
        <v>20138823.68</v>
      </c>
      <c r="Q41" s="1197">
        <v>-12797543.68</v>
      </c>
      <c r="R41" s="697" t="s">
        <v>882</v>
      </c>
      <c r="S41" s="1198" t="s">
        <v>877</v>
      </c>
    </row>
    <row r="42" spans="1:19" ht="30" customHeight="1">
      <c r="A42" s="1351"/>
      <c r="B42" s="1352">
        <v>4</v>
      </c>
      <c r="C42" s="1359">
        <v>1500400086</v>
      </c>
      <c r="D42" s="1360" t="s">
        <v>800</v>
      </c>
      <c r="E42" s="1191">
        <v>9035208.4000000004</v>
      </c>
      <c r="F42" s="1191">
        <v>0</v>
      </c>
      <c r="G42" s="1354">
        <f>[8]จังหวัด!G76</f>
        <v>13070325.449999999</v>
      </c>
      <c r="H42" s="1354">
        <f>[8]จังหวัด!H76</f>
        <v>10662173.1</v>
      </c>
      <c r="I42" s="1355">
        <f t="shared" si="8"/>
        <v>81.575421673987478</v>
      </c>
      <c r="J42" s="1354">
        <f>[8]จังหวัด!J76</f>
        <v>1949700</v>
      </c>
      <c r="K42" s="1987">
        <f t="shared" si="1"/>
        <v>14.916996577158681</v>
      </c>
      <c r="L42" s="1354">
        <f t="shared" si="2"/>
        <v>12611873.1</v>
      </c>
      <c r="M42" s="1357">
        <f t="shared" si="3"/>
        <v>96.492418251146148</v>
      </c>
      <c r="N42" s="1355">
        <f t="shared" si="9"/>
        <v>458452.34999999963</v>
      </c>
      <c r="O42" s="1196"/>
      <c r="P42" s="1193">
        <v>11247940.390000001</v>
      </c>
      <c r="Q42" s="1197">
        <v>-973941.91999999993</v>
      </c>
      <c r="R42" s="697" t="s">
        <v>882</v>
      </c>
      <c r="S42" s="1198" t="s">
        <v>877</v>
      </c>
    </row>
    <row r="43" spans="1:19" ht="30" customHeight="1">
      <c r="A43" s="1358"/>
      <c r="B43" s="1359">
        <v>5</v>
      </c>
      <c r="C43" s="1359">
        <v>1500400087</v>
      </c>
      <c r="D43" s="1360" t="s">
        <v>578</v>
      </c>
      <c r="E43" s="1191">
        <v>7341280</v>
      </c>
      <c r="F43" s="1191">
        <v>0</v>
      </c>
      <c r="G43" s="1354">
        <f>[8]จังหวัด!G78</f>
        <v>9811169.8499999996</v>
      </c>
      <c r="H43" s="1354">
        <f>[8]จังหวัด!H78</f>
        <v>7302211.5999999996</v>
      </c>
      <c r="I43" s="1355">
        <f t="shared" si="8"/>
        <v>74.427532207079267</v>
      </c>
      <c r="J43" s="1354">
        <f>[8]จังหวัด!J78</f>
        <v>1764760</v>
      </c>
      <c r="K43" s="1987">
        <f t="shared" si="1"/>
        <v>17.987253579143779</v>
      </c>
      <c r="L43" s="1354">
        <f t="shared" si="2"/>
        <v>9066971.5999999996</v>
      </c>
      <c r="M43" s="1357">
        <f t="shared" si="3"/>
        <v>92.414785786223035</v>
      </c>
      <c r="N43" s="1355">
        <f t="shared" si="9"/>
        <v>744198.25</v>
      </c>
      <c r="O43" s="1935"/>
      <c r="P43" s="1193">
        <v>12546904</v>
      </c>
      <c r="Q43" s="1197">
        <v>62480026</v>
      </c>
      <c r="R43" s="697" t="s">
        <v>881</v>
      </c>
      <c r="S43" s="1198" t="s">
        <v>877</v>
      </c>
    </row>
    <row r="44" spans="1:19" ht="30" customHeight="1">
      <c r="A44" s="1362"/>
      <c r="B44" s="1363">
        <v>6</v>
      </c>
      <c r="C44" s="1363">
        <v>1500400090</v>
      </c>
      <c r="D44" s="1364" t="s">
        <v>577</v>
      </c>
      <c r="E44" s="1213">
        <v>10273998.470000001</v>
      </c>
      <c r="F44" s="1213">
        <v>0</v>
      </c>
      <c r="G44" s="1367">
        <f>[8]จังหวัด!G77</f>
        <v>11785039.23</v>
      </c>
      <c r="H44" s="1367">
        <f>[8]จังหวัด!H77</f>
        <v>9321262.25</v>
      </c>
      <c r="I44" s="1382">
        <f t="shared" si="8"/>
        <v>79.09402818339197</v>
      </c>
      <c r="J44" s="1367">
        <f>[8]จังหวัด!J77</f>
        <v>1484600</v>
      </c>
      <c r="K44" s="1988">
        <f t="shared" si="1"/>
        <v>12.597327603465262</v>
      </c>
      <c r="L44" s="1365">
        <f t="shared" si="2"/>
        <v>10805862.25</v>
      </c>
      <c r="M44" s="1368">
        <f t="shared" si="3"/>
        <v>91.69135578685723</v>
      </c>
      <c r="N44" s="1382">
        <f t="shared" si="9"/>
        <v>979176.98000000045</v>
      </c>
      <c r="O44" s="1990"/>
      <c r="P44" s="1212">
        <v>14997532.050000001</v>
      </c>
      <c r="Q44" s="1209">
        <v>-8441542.0500000007</v>
      </c>
      <c r="R44" s="700" t="s">
        <v>882</v>
      </c>
      <c r="S44" s="1210" t="s">
        <v>1200</v>
      </c>
    </row>
    <row r="45" spans="1:19" s="677" customFormat="1" ht="30.75" customHeight="1">
      <c r="A45" s="1397">
        <v>7</v>
      </c>
      <c r="B45" s="1398"/>
      <c r="C45" s="1399"/>
      <c r="D45" s="1401" t="s">
        <v>1207</v>
      </c>
      <c r="E45" s="1229"/>
      <c r="F45" s="1229"/>
      <c r="G45" s="1392">
        <f>SUM(G46:G48)</f>
        <v>55974769.509999998</v>
      </c>
      <c r="H45" s="1392">
        <f t="shared" ref="H45:N45" si="10">SUM(H46:H48)</f>
        <v>50493464.810000002</v>
      </c>
      <c r="I45" s="1392">
        <f t="shared" si="8"/>
        <v>90.207543955994765</v>
      </c>
      <c r="J45" s="1392">
        <f t="shared" si="10"/>
        <v>3472302.5</v>
      </c>
      <c r="K45" s="1985">
        <f t="shared" si="1"/>
        <v>6.2033350568413983</v>
      </c>
      <c r="L45" s="1392">
        <f t="shared" si="2"/>
        <v>53965767.310000002</v>
      </c>
      <c r="M45" s="1393">
        <f t="shared" si="3"/>
        <v>96.410879012836162</v>
      </c>
      <c r="N45" s="1392">
        <f t="shared" si="10"/>
        <v>2009002.2000000011</v>
      </c>
      <c r="O45" s="1245"/>
      <c r="P45" s="1241"/>
      <c r="Q45" s="1246"/>
      <c r="R45" s="1247"/>
      <c r="S45" s="1248"/>
    </row>
    <row r="46" spans="1:19" ht="30" customHeight="1">
      <c r="A46" s="1351"/>
      <c r="B46" s="1352">
        <v>1</v>
      </c>
      <c r="C46" s="1352">
        <v>1500400097</v>
      </c>
      <c r="D46" s="1371" t="s">
        <v>584</v>
      </c>
      <c r="E46" s="1191">
        <v>48546641.780000001</v>
      </c>
      <c r="F46" s="1191">
        <v>0</v>
      </c>
      <c r="G46" s="1354">
        <f>[8]จังหวัด!G87</f>
        <v>15899376.82</v>
      </c>
      <c r="H46" s="1354">
        <f>[8]จังหวัด!H87</f>
        <v>14162550.85</v>
      </c>
      <c r="I46" s="1355">
        <f>+H46*100/G46</f>
        <v>89.076138079731351</v>
      </c>
      <c r="J46" s="1354">
        <f>[8]จังหวัด!J87</f>
        <v>1519690</v>
      </c>
      <c r="K46" s="1986">
        <f>J46/G46*100</f>
        <v>9.5581733624198737</v>
      </c>
      <c r="L46" s="1354">
        <f>H46+J46</f>
        <v>15682240.85</v>
      </c>
      <c r="M46" s="1357">
        <f>L46*100/G46</f>
        <v>98.63431144215123</v>
      </c>
      <c r="N46" s="1355">
        <f>+G46-H46-J46</f>
        <v>217135.97000000067</v>
      </c>
      <c r="O46" s="1196"/>
      <c r="P46" s="1193">
        <v>16882980.82</v>
      </c>
      <c r="Q46" s="1197">
        <v>15024959.18</v>
      </c>
      <c r="R46" s="697" t="s">
        <v>881</v>
      </c>
      <c r="S46" s="1198" t="s">
        <v>875</v>
      </c>
    </row>
    <row r="47" spans="1:19" ht="30" customHeight="1">
      <c r="A47" s="1358"/>
      <c r="B47" s="1359">
        <v>2</v>
      </c>
      <c r="C47" s="1359">
        <v>1500400093</v>
      </c>
      <c r="D47" s="1360" t="s">
        <v>802</v>
      </c>
      <c r="E47" s="1191">
        <v>50133792</v>
      </c>
      <c r="F47" s="1191">
        <v>0</v>
      </c>
      <c r="G47" s="1354">
        <f>[8]จังหวัด!G86</f>
        <v>19817025.98</v>
      </c>
      <c r="H47" s="1354">
        <f>[8]จังหวัด!H86</f>
        <v>18106827.260000002</v>
      </c>
      <c r="I47" s="1355">
        <f>+H47*100/G47</f>
        <v>91.370053600747227</v>
      </c>
      <c r="J47" s="1354">
        <f>[8]จังหวัด!J86</f>
        <v>1124712.5</v>
      </c>
      <c r="K47" s="1987">
        <f>J47/G47*100</f>
        <v>5.6754858228227443</v>
      </c>
      <c r="L47" s="1354">
        <f>H47+J47</f>
        <v>19231539.760000002</v>
      </c>
      <c r="M47" s="1357">
        <f>L47*100/G47</f>
        <v>97.045539423569963</v>
      </c>
      <c r="N47" s="1355">
        <f>+G47-H47-J47</f>
        <v>585486.21999999881</v>
      </c>
      <c r="O47" s="1199"/>
      <c r="P47" s="1193">
        <v>30571304</v>
      </c>
      <c r="Q47" s="1197">
        <v>19562488</v>
      </c>
      <c r="R47" s="697" t="s">
        <v>881</v>
      </c>
      <c r="S47" s="1198" t="s">
        <v>1208</v>
      </c>
    </row>
    <row r="48" spans="1:19" ht="30" customHeight="1">
      <c r="A48" s="1369"/>
      <c r="B48" s="1370">
        <v>3</v>
      </c>
      <c r="C48" s="1363">
        <v>1500400092</v>
      </c>
      <c r="D48" s="1364" t="s">
        <v>585</v>
      </c>
      <c r="E48" s="1200">
        <v>31907940</v>
      </c>
      <c r="F48" s="1200">
        <v>0</v>
      </c>
      <c r="G48" s="1365">
        <f>[8]จังหวัด!G88</f>
        <v>20258366.710000001</v>
      </c>
      <c r="H48" s="1365">
        <f>[8]จังหวัด!H88</f>
        <v>18224086.699999999</v>
      </c>
      <c r="I48" s="1366">
        <f>+H48*100/G48</f>
        <v>89.958321719016794</v>
      </c>
      <c r="J48" s="1365">
        <f>[8]จังหวัด!J88</f>
        <v>827900</v>
      </c>
      <c r="K48" s="1988">
        <f>J48/G48*100</f>
        <v>4.0867065536499023</v>
      </c>
      <c r="L48" s="1365">
        <f>H48+J48</f>
        <v>19051986.699999999</v>
      </c>
      <c r="M48" s="1368">
        <f>L48*100/G48</f>
        <v>94.045028272666698</v>
      </c>
      <c r="N48" s="1366">
        <f>G48-L48</f>
        <v>1206380.0100000016</v>
      </c>
      <c r="O48" s="1199"/>
      <c r="P48" s="1193">
        <v>20298595.780000001</v>
      </c>
      <c r="Q48" s="1197">
        <v>28248046</v>
      </c>
      <c r="R48" s="697" t="s">
        <v>881</v>
      </c>
      <c r="S48" s="1198" t="s">
        <v>875</v>
      </c>
    </row>
    <row r="49" spans="1:19" s="677" customFormat="1" ht="31.5" customHeight="1">
      <c r="A49" s="1397">
        <v>8</v>
      </c>
      <c r="B49" s="1398"/>
      <c r="C49" s="1399"/>
      <c r="D49" s="1401" t="s">
        <v>1209</v>
      </c>
      <c r="E49" s="1229"/>
      <c r="F49" s="1229"/>
      <c r="G49" s="1392">
        <f>SUM(G50:G52)</f>
        <v>46189707.030000001</v>
      </c>
      <c r="H49" s="1392">
        <f t="shared" ref="H49:N49" si="11">SUM(H50:H52)</f>
        <v>40895651.530000001</v>
      </c>
      <c r="I49" s="1392">
        <f t="shared" si="8"/>
        <v>88.538451875086508</v>
      </c>
      <c r="J49" s="1392">
        <f t="shared" si="11"/>
        <v>2654750</v>
      </c>
      <c r="K49" s="1985">
        <f t="shared" si="1"/>
        <v>5.7474926140487357</v>
      </c>
      <c r="L49" s="1392">
        <f t="shared" si="2"/>
        <v>43550401.530000001</v>
      </c>
      <c r="M49" s="1393">
        <f t="shared" si="3"/>
        <v>94.285944489135247</v>
      </c>
      <c r="N49" s="1392">
        <f t="shared" si="11"/>
        <v>2639305.5000000019</v>
      </c>
      <c r="O49" s="1249"/>
      <c r="P49" s="1428"/>
      <c r="Q49" s="1429"/>
      <c r="R49" s="1430"/>
      <c r="S49" s="1431"/>
    </row>
    <row r="50" spans="1:19" ht="29.25" customHeight="1">
      <c r="A50" s="1351"/>
      <c r="B50" s="1352">
        <v>1</v>
      </c>
      <c r="C50" s="1352">
        <v>1500400024</v>
      </c>
      <c r="D50" s="1353" t="s">
        <v>543</v>
      </c>
      <c r="E50" s="1191">
        <v>17701211.190000001</v>
      </c>
      <c r="F50" s="1191">
        <v>0</v>
      </c>
      <c r="G50" s="1354">
        <f>[8]จังหวัด!G24</f>
        <v>12878653.68</v>
      </c>
      <c r="H50" s="1354">
        <f>[8]จังหวัด!H24</f>
        <v>11165968.130000001</v>
      </c>
      <c r="I50" s="1355">
        <f>+H50*100/G50</f>
        <v>86.701361861607268</v>
      </c>
      <c r="J50" s="1354">
        <f>[8]จังหวัด!J24</f>
        <v>1131800</v>
      </c>
      <c r="K50" s="1986">
        <f>J50/G50*100</f>
        <v>8.7881856917826529</v>
      </c>
      <c r="L50" s="1354">
        <f>H50+J50</f>
        <v>12297768.130000001</v>
      </c>
      <c r="M50" s="1357">
        <f>L50*100/G50</f>
        <v>95.489547553389912</v>
      </c>
      <c r="N50" s="1355">
        <f>G50-L50</f>
        <v>580885.54999999888</v>
      </c>
      <c r="O50" s="2633"/>
      <c r="P50" s="1214">
        <v>21658793.68</v>
      </c>
      <c r="Q50" s="1215">
        <v>-9311169.2799999993</v>
      </c>
      <c r="R50" s="702" t="s">
        <v>883</v>
      </c>
      <c r="S50" s="1216" t="s">
        <v>1198</v>
      </c>
    </row>
    <row r="51" spans="1:19" ht="29.25" customHeight="1">
      <c r="A51" s="1358"/>
      <c r="B51" s="1359">
        <v>2</v>
      </c>
      <c r="C51" s="1359">
        <v>1500400035</v>
      </c>
      <c r="D51" s="1360" t="s">
        <v>545</v>
      </c>
      <c r="E51" s="1200">
        <v>29825904.449999999</v>
      </c>
      <c r="F51" s="1200">
        <v>0</v>
      </c>
      <c r="G51" s="1354">
        <f>[8]จังหวัด!G27</f>
        <v>15455747.34</v>
      </c>
      <c r="H51" s="1354">
        <f>[8]จังหวัด!H27</f>
        <v>13515663.529999999</v>
      </c>
      <c r="I51" s="1355">
        <f>+H51*100/G51</f>
        <v>87.447492720206441</v>
      </c>
      <c r="J51" s="1354">
        <f>[8]จังหวัด!J27</f>
        <v>1075950</v>
      </c>
      <c r="K51" s="1987">
        <f>J51/G51*100</f>
        <v>6.961488023393116</v>
      </c>
      <c r="L51" s="1354">
        <f>H51+J51</f>
        <v>14591613.529999999</v>
      </c>
      <c r="M51" s="1357">
        <f>L51*100/G51</f>
        <v>94.408980743599557</v>
      </c>
      <c r="N51" s="1355">
        <f>G51-L51</f>
        <v>864133.81000000052</v>
      </c>
      <c r="O51" s="1200"/>
      <c r="P51" s="1193">
        <v>8532695.1899999995</v>
      </c>
      <c r="Q51" s="1197">
        <v>9168516.0000000019</v>
      </c>
      <c r="R51" s="697" t="s">
        <v>883</v>
      </c>
      <c r="S51" s="703" t="s">
        <v>1198</v>
      </c>
    </row>
    <row r="52" spans="1:19" ht="29.25" customHeight="1">
      <c r="A52" s="1362"/>
      <c r="B52" s="1363">
        <v>3</v>
      </c>
      <c r="C52" s="1363">
        <v>1500400034</v>
      </c>
      <c r="D52" s="1364" t="s">
        <v>786</v>
      </c>
      <c r="E52" s="1200">
        <v>26269883.68</v>
      </c>
      <c r="F52" s="1200">
        <v>0</v>
      </c>
      <c r="G52" s="1365">
        <f>[8]จังหวัด!G23</f>
        <v>17855306.010000002</v>
      </c>
      <c r="H52" s="1365">
        <f>[8]จังหวัด!H23</f>
        <v>16214019.869999999</v>
      </c>
      <c r="I52" s="1366">
        <f>+H52*100/G52</f>
        <v>90.807852080043958</v>
      </c>
      <c r="J52" s="1365">
        <f>[8]จังหวัด!J23</f>
        <v>447000</v>
      </c>
      <c r="K52" s="1988">
        <f>J52/G52*100</f>
        <v>2.5034575142518096</v>
      </c>
      <c r="L52" s="1365">
        <f>H52+J52</f>
        <v>16661019.869999999</v>
      </c>
      <c r="M52" s="1368">
        <f>L52*100/G52</f>
        <v>93.311309594295764</v>
      </c>
      <c r="N52" s="1366">
        <f>+G52-H52-J52</f>
        <v>1194286.1400000025</v>
      </c>
      <c r="O52" s="2634"/>
      <c r="P52" s="1208">
        <v>22008917.210000001</v>
      </c>
      <c r="Q52" s="1209">
        <v>7383317.7899999991</v>
      </c>
      <c r="R52" s="700" t="s">
        <v>884</v>
      </c>
      <c r="S52" s="704" t="s">
        <v>1199</v>
      </c>
    </row>
    <row r="53" spans="1:19" s="677" customFormat="1" ht="33" customHeight="1">
      <c r="A53" s="1397">
        <v>9</v>
      </c>
      <c r="B53" s="1398"/>
      <c r="C53" s="1399"/>
      <c r="D53" s="1401" t="s">
        <v>1210</v>
      </c>
      <c r="E53" s="1229"/>
      <c r="F53" s="1229"/>
      <c r="G53" s="1392">
        <f>SUM(G54:G58)</f>
        <v>61361104.460000001</v>
      </c>
      <c r="H53" s="1392">
        <f t="shared" ref="H53:N53" si="12">SUM(H54:H58)</f>
        <v>55080125.68999999</v>
      </c>
      <c r="I53" s="1392">
        <f t="shared" si="8"/>
        <v>89.763908545527485</v>
      </c>
      <c r="J53" s="1392">
        <f t="shared" si="12"/>
        <v>3218050</v>
      </c>
      <c r="K53" s="1985">
        <f t="shared" si="1"/>
        <v>5.2444460188909705</v>
      </c>
      <c r="L53" s="1392">
        <f t="shared" si="2"/>
        <v>58298175.68999999</v>
      </c>
      <c r="M53" s="1393">
        <f t="shared" si="3"/>
        <v>95.008354564418454</v>
      </c>
      <c r="N53" s="1392">
        <f t="shared" si="12"/>
        <v>3062928.7699999986</v>
      </c>
      <c r="O53" s="1249"/>
      <c r="P53" s="1241"/>
      <c r="Q53" s="1246"/>
      <c r="R53" s="1247"/>
      <c r="S53" s="1248"/>
    </row>
    <row r="54" spans="1:19" ht="30" customHeight="1">
      <c r="A54" s="1351"/>
      <c r="B54" s="1352">
        <v>1</v>
      </c>
      <c r="C54" s="1352">
        <v>1500400037</v>
      </c>
      <c r="D54" s="1353" t="s">
        <v>547</v>
      </c>
      <c r="E54" s="1191">
        <v>30975926.920000002</v>
      </c>
      <c r="F54" s="1191">
        <v>0</v>
      </c>
      <c r="G54" s="1354">
        <f>[8]จังหวัด!G30</f>
        <v>13993154.869999999</v>
      </c>
      <c r="H54" s="1354">
        <f>[8]จังหวัด!H30</f>
        <v>13031832.42</v>
      </c>
      <c r="I54" s="1355">
        <f>+H54*100/G54</f>
        <v>93.130052093820652</v>
      </c>
      <c r="J54" s="1354">
        <f>[8]จังหวัด!J30</f>
        <v>570050</v>
      </c>
      <c r="K54" s="1986">
        <f>J54/G54*100</f>
        <v>4.0737775383457899</v>
      </c>
      <c r="L54" s="1354">
        <f>H54+J54</f>
        <v>13601882.42</v>
      </c>
      <c r="M54" s="1357">
        <f>L54*100/G54</f>
        <v>97.203829632166432</v>
      </c>
      <c r="N54" s="1355">
        <f>+G54-H54-J54</f>
        <v>391272.44999999925</v>
      </c>
      <c r="O54" s="1204"/>
      <c r="P54" s="1193">
        <v>13224909</v>
      </c>
      <c r="Q54" s="1197">
        <v>16600995.449999999</v>
      </c>
      <c r="R54" s="697" t="s">
        <v>884</v>
      </c>
      <c r="S54" s="1198" t="s">
        <v>875</v>
      </c>
    </row>
    <row r="55" spans="1:19" ht="30" customHeight="1">
      <c r="A55" s="1351"/>
      <c r="B55" s="1352">
        <v>2</v>
      </c>
      <c r="C55" s="1359">
        <v>1500400038</v>
      </c>
      <c r="D55" s="1360" t="s">
        <v>787</v>
      </c>
      <c r="E55" s="1191">
        <v>23184322.82</v>
      </c>
      <c r="F55" s="1191">
        <v>0</v>
      </c>
      <c r="G55" s="1354">
        <f>[8]จังหวัด!G25</f>
        <v>14361094.289999999</v>
      </c>
      <c r="H55" s="1354">
        <f>[8]จังหวัด!H25</f>
        <v>13288895.91</v>
      </c>
      <c r="I55" s="1355">
        <f>+H55*100/G55</f>
        <v>92.534006404048199</v>
      </c>
      <c r="J55" s="1354">
        <f>[8]จังหวัด!J25</f>
        <v>427600</v>
      </c>
      <c r="K55" s="1987">
        <f>J55/G55*100</f>
        <v>2.9774889807509233</v>
      </c>
      <c r="L55" s="1354">
        <f>H55+J55</f>
        <v>13716495.91</v>
      </c>
      <c r="M55" s="1357">
        <f>L55*100/G55</f>
        <v>95.511495384799133</v>
      </c>
      <c r="N55" s="1355">
        <f>+G55-H55-J55</f>
        <v>644598.37999999896</v>
      </c>
      <c r="O55" s="1204"/>
      <c r="P55" s="1193">
        <v>12712147.98</v>
      </c>
      <c r="Q55" s="1197">
        <v>13557735.699999999</v>
      </c>
      <c r="R55" s="697" t="s">
        <v>883</v>
      </c>
      <c r="S55" s="1198" t="s">
        <v>1198</v>
      </c>
    </row>
    <row r="56" spans="1:19" ht="30" customHeight="1">
      <c r="A56" s="1358"/>
      <c r="B56" s="1359">
        <v>3</v>
      </c>
      <c r="C56" s="1359">
        <v>1500400033</v>
      </c>
      <c r="D56" s="1364" t="s">
        <v>544</v>
      </c>
      <c r="E56" s="1200">
        <v>12347624.4</v>
      </c>
      <c r="F56" s="1200">
        <v>0</v>
      </c>
      <c r="G56" s="1365">
        <f>[8]จังหวัด!G26</f>
        <v>9774520.4499999993</v>
      </c>
      <c r="H56" s="1365">
        <f>[8]จังหวัด!H26</f>
        <v>8394547.2699999996</v>
      </c>
      <c r="I56" s="1366">
        <f>+H56*100/G56</f>
        <v>85.881934698903834</v>
      </c>
      <c r="J56" s="1365">
        <f>[8]จังหวัด!J26</f>
        <v>813500</v>
      </c>
      <c r="K56" s="1987">
        <f>J56/G56*100</f>
        <v>8.3226589392423858</v>
      </c>
      <c r="L56" s="1354">
        <f>H56+J56</f>
        <v>9208047.2699999996</v>
      </c>
      <c r="M56" s="1357">
        <f>L56*100/G56</f>
        <v>94.204593638146221</v>
      </c>
      <c r="N56" s="1366">
        <f>+G56-H56-J56</f>
        <v>566473.1799999997</v>
      </c>
      <c r="O56" s="1196"/>
      <c r="P56" s="1201">
        <v>19101223.100000001</v>
      </c>
      <c r="Q56" s="1205">
        <v>11874703.82</v>
      </c>
      <c r="R56" s="699" t="s">
        <v>884</v>
      </c>
      <c r="S56" s="1203" t="s">
        <v>875</v>
      </c>
    </row>
    <row r="57" spans="1:19" ht="30" customHeight="1">
      <c r="A57" s="1369"/>
      <c r="B57" s="1370">
        <v>4</v>
      </c>
      <c r="C57" s="1363">
        <v>1500400036</v>
      </c>
      <c r="D57" s="1360" t="s">
        <v>788</v>
      </c>
      <c r="E57" s="1217">
        <v>29392235</v>
      </c>
      <c r="F57" s="1217">
        <v>0</v>
      </c>
      <c r="G57" s="1361">
        <f>[8]จังหวัด!G28</f>
        <v>14387331.24</v>
      </c>
      <c r="H57" s="1361">
        <f>[8]จังหวัด!H28</f>
        <v>12092239.539999999</v>
      </c>
      <c r="I57" s="1383">
        <f>+H57*100/G57</f>
        <v>84.047828873091262</v>
      </c>
      <c r="J57" s="1361">
        <f>[8]จังหวัด!J28</f>
        <v>1406900</v>
      </c>
      <c r="K57" s="1987">
        <f>J57/G57*100</f>
        <v>9.7787419816157648</v>
      </c>
      <c r="L57" s="1354">
        <f>H57+J57</f>
        <v>13499139.539999999</v>
      </c>
      <c r="M57" s="1357">
        <f>L57*100/G57</f>
        <v>93.826570854707029</v>
      </c>
      <c r="N57" s="1383">
        <f>+G57-H57-J57</f>
        <v>888191.70000000112</v>
      </c>
      <c r="O57" s="1991"/>
      <c r="P57" s="1218">
        <v>13982420.82</v>
      </c>
      <c r="Q57" s="1197">
        <v>9201902</v>
      </c>
      <c r="R57" s="697" t="s">
        <v>883</v>
      </c>
      <c r="S57" s="703" t="s">
        <v>873</v>
      </c>
    </row>
    <row r="58" spans="1:19" ht="30" customHeight="1">
      <c r="A58" s="1379"/>
      <c r="B58" s="1374">
        <v>5</v>
      </c>
      <c r="C58" s="1374">
        <v>1500400040</v>
      </c>
      <c r="D58" s="1375" t="s">
        <v>546</v>
      </c>
      <c r="E58" s="1211">
        <v>23058876.350000001</v>
      </c>
      <c r="F58" s="1211">
        <v>0</v>
      </c>
      <c r="G58" s="1380">
        <f>[8]จังหวัด!G29</f>
        <v>8845003.6099999994</v>
      </c>
      <c r="H58" s="1380">
        <f>[8]จังหวัด!H29</f>
        <v>8272610.5499999998</v>
      </c>
      <c r="I58" s="1384">
        <f>+H58*100/G58</f>
        <v>93.528628305443959</v>
      </c>
      <c r="J58" s="1380">
        <f>[8]จังหวัด!J29</f>
        <v>0</v>
      </c>
      <c r="K58" s="1988">
        <f>J58/G58*100</f>
        <v>0</v>
      </c>
      <c r="L58" s="1380">
        <f>H58+J58</f>
        <v>8272610.5499999998</v>
      </c>
      <c r="M58" s="1381">
        <f>L58*100/G58</f>
        <v>93.528628305443959</v>
      </c>
      <c r="N58" s="1384">
        <f>+G58-H58-J58</f>
        <v>572393.05999999959</v>
      </c>
      <c r="O58" s="2635"/>
      <c r="P58" s="1212">
        <v>15114672.77</v>
      </c>
      <c r="Q58" s="1209">
        <v>4554005.5800000019</v>
      </c>
      <c r="R58" s="700" t="s">
        <v>884</v>
      </c>
      <c r="S58" s="704" t="s">
        <v>885</v>
      </c>
    </row>
    <row r="59" spans="1:19" s="677" customFormat="1" ht="30" customHeight="1">
      <c r="A59" s="1397">
        <v>10</v>
      </c>
      <c r="B59" s="1398"/>
      <c r="C59" s="1399"/>
      <c r="D59" s="1432" t="s">
        <v>1211</v>
      </c>
      <c r="E59" s="1229"/>
      <c r="F59" s="1229"/>
      <c r="G59" s="1392">
        <f>SUM(G60:G64)</f>
        <v>102822993.92000002</v>
      </c>
      <c r="H59" s="1392">
        <f t="shared" ref="H59:N59" si="13">SUM(H60:H64)</f>
        <v>90168075.179999992</v>
      </c>
      <c r="I59" s="1392">
        <f t="shared" si="8"/>
        <v>87.692520653652622</v>
      </c>
      <c r="J59" s="1392">
        <f t="shared" si="13"/>
        <v>8120414.3599999994</v>
      </c>
      <c r="K59" s="1985">
        <f t="shared" si="1"/>
        <v>7.8974692823260657</v>
      </c>
      <c r="L59" s="1392">
        <f t="shared" si="2"/>
        <v>98288489.539999992</v>
      </c>
      <c r="M59" s="1393">
        <f t="shared" si="3"/>
        <v>95.589989935978693</v>
      </c>
      <c r="N59" s="1392">
        <f t="shared" si="13"/>
        <v>4534504.3800000055</v>
      </c>
      <c r="O59" s="1433"/>
      <c r="P59" s="1230"/>
      <c r="Q59" s="1231"/>
      <c r="R59" s="1232"/>
      <c r="S59" s="1250"/>
    </row>
    <row r="60" spans="1:19" ht="31.5" customHeight="1">
      <c r="A60" s="1351"/>
      <c r="B60" s="1352">
        <v>1</v>
      </c>
      <c r="C60" s="1352">
        <v>1500400051</v>
      </c>
      <c r="D60" s="1353" t="s">
        <v>586</v>
      </c>
      <c r="E60" s="1191">
        <v>12482539</v>
      </c>
      <c r="F60" s="1191">
        <v>0</v>
      </c>
      <c r="G60" s="1354">
        <f>[8]จังหวัด!G89</f>
        <v>19126134.870000001</v>
      </c>
      <c r="H60" s="1354">
        <f>[8]จังหวัด!H89</f>
        <v>14922438.369999999</v>
      </c>
      <c r="I60" s="1355">
        <f>+H60*100/G60</f>
        <v>78.021191795559048</v>
      </c>
      <c r="J60" s="1354">
        <f>[8]จังหวัด!J89</f>
        <v>3750700</v>
      </c>
      <c r="K60" s="1986">
        <f>J60/G60*100</f>
        <v>19.610339598112432</v>
      </c>
      <c r="L60" s="1354">
        <f>H60+J60</f>
        <v>18673138.369999997</v>
      </c>
      <c r="M60" s="1357">
        <f>L60*100/G60</f>
        <v>97.63153139367148</v>
      </c>
      <c r="N60" s="1355">
        <f>+G60-H60-J60</f>
        <v>452996.50000000186</v>
      </c>
      <c r="O60" s="1196"/>
      <c r="P60" s="1193">
        <v>11890837</v>
      </c>
      <c r="Q60" s="1194">
        <v>20219787</v>
      </c>
      <c r="R60" s="696" t="s">
        <v>886</v>
      </c>
      <c r="S60" s="1195" t="s">
        <v>1212</v>
      </c>
    </row>
    <row r="61" spans="1:19" ht="31.5" customHeight="1">
      <c r="A61" s="1351"/>
      <c r="B61" s="1352">
        <v>2</v>
      </c>
      <c r="C61" s="1359">
        <v>1500400124</v>
      </c>
      <c r="D61" s="1360" t="s">
        <v>555</v>
      </c>
      <c r="E61" s="1191">
        <v>19854432.050000001</v>
      </c>
      <c r="F61" s="1191">
        <v>0</v>
      </c>
      <c r="G61" s="1354">
        <f>[8]จังหวัด!G42</f>
        <v>23279209.91</v>
      </c>
      <c r="H61" s="1354">
        <f>[8]จังหวัด!H42</f>
        <v>22121302.93</v>
      </c>
      <c r="I61" s="1355">
        <f>+H61*100/G61</f>
        <v>95.026003955990788</v>
      </c>
      <c r="J61" s="1354">
        <f>[8]จังหวัด!J42</f>
        <v>549033.85</v>
      </c>
      <c r="K61" s="1987">
        <f>J61/G61*100</f>
        <v>2.3584728696662194</v>
      </c>
      <c r="L61" s="1354">
        <f>H61+J61</f>
        <v>22670336.780000001</v>
      </c>
      <c r="M61" s="1357">
        <f>L61*100/G61</f>
        <v>97.384476825657003</v>
      </c>
      <c r="N61" s="1355">
        <f>+G61-H61-J61</f>
        <v>608873.13000000047</v>
      </c>
      <c r="O61" s="1196"/>
      <c r="P61" s="1193">
        <v>19539370.84</v>
      </c>
      <c r="Q61" s="1197">
        <v>2121075.1900000013</v>
      </c>
      <c r="R61" s="697" t="s">
        <v>886</v>
      </c>
      <c r="S61" s="1198" t="s">
        <v>1212</v>
      </c>
    </row>
    <row r="62" spans="1:19" ht="31.5" customHeight="1">
      <c r="A62" s="1358"/>
      <c r="B62" s="1359">
        <v>3</v>
      </c>
      <c r="C62" s="1359">
        <v>1500400049</v>
      </c>
      <c r="D62" s="1360" t="s">
        <v>791</v>
      </c>
      <c r="E62" s="1191">
        <v>21660446.030000001</v>
      </c>
      <c r="F62" s="1191">
        <v>0</v>
      </c>
      <c r="G62" s="1354">
        <f>[8]จังหวัด!G39</f>
        <v>14767463.130000001</v>
      </c>
      <c r="H62" s="1354">
        <f>[8]จังหวัด!H39</f>
        <v>12455861.82</v>
      </c>
      <c r="I62" s="1355">
        <f>+H62*100/G62</f>
        <v>84.346659343919413</v>
      </c>
      <c r="J62" s="1354">
        <f>[8]จังหวัด!J39</f>
        <v>1814140.51</v>
      </c>
      <c r="K62" s="1987">
        <f>J62/G62*100</f>
        <v>12.284713318935504</v>
      </c>
      <c r="L62" s="1354">
        <f>H62+J62</f>
        <v>14270002.33</v>
      </c>
      <c r="M62" s="1357">
        <f>L62*100/G62</f>
        <v>96.631372662854915</v>
      </c>
      <c r="N62" s="1355">
        <f>+G62-H62-J62</f>
        <v>497460.80000000051</v>
      </c>
      <c r="O62" s="1196"/>
      <c r="P62" s="1193">
        <v>28163172.890000001</v>
      </c>
      <c r="Q62" s="1197">
        <v>-15680633.890000001</v>
      </c>
      <c r="R62" s="697" t="s">
        <v>886</v>
      </c>
      <c r="S62" s="1198" t="s">
        <v>1203</v>
      </c>
    </row>
    <row r="63" spans="1:19" ht="31.5" customHeight="1">
      <c r="A63" s="1351"/>
      <c r="B63" s="1352">
        <v>4</v>
      </c>
      <c r="C63" s="1359">
        <v>1500400052</v>
      </c>
      <c r="D63" s="1360" t="s">
        <v>556</v>
      </c>
      <c r="E63" s="1191">
        <v>15195039.189999999</v>
      </c>
      <c r="F63" s="1191">
        <v>0</v>
      </c>
      <c r="G63" s="1354">
        <f>[8]จังหวัด!G43</f>
        <v>15522587.66</v>
      </c>
      <c r="H63" s="1354">
        <f>[8]จังหวัด!H43</f>
        <v>13798541.789999999</v>
      </c>
      <c r="I63" s="1355">
        <f>+H63*100/G63</f>
        <v>88.893308849254069</v>
      </c>
      <c r="J63" s="1354">
        <f>[8]จังหวัด!J43</f>
        <v>950900</v>
      </c>
      <c r="K63" s="1987">
        <f>J63/G63*100</f>
        <v>6.1259116123426036</v>
      </c>
      <c r="L63" s="1354">
        <f>H63+J63</f>
        <v>14749441.789999999</v>
      </c>
      <c r="M63" s="1357">
        <f>L63*100/G63</f>
        <v>95.019220461596674</v>
      </c>
      <c r="N63" s="1355">
        <f>+G63-H63-J63</f>
        <v>773145.87000000104</v>
      </c>
      <c r="O63" s="1196"/>
      <c r="P63" s="1193">
        <v>14257284.26</v>
      </c>
      <c r="Q63" s="1197">
        <v>937754.9299999997</v>
      </c>
      <c r="R63" s="697" t="s">
        <v>886</v>
      </c>
      <c r="S63" s="1198" t="s">
        <v>1212</v>
      </c>
    </row>
    <row r="64" spans="1:19" ht="31.5" customHeight="1">
      <c r="A64" s="1379"/>
      <c r="B64" s="1374">
        <v>5</v>
      </c>
      <c r="C64" s="1374">
        <v>1500400053</v>
      </c>
      <c r="D64" s="1375" t="s">
        <v>792</v>
      </c>
      <c r="E64" s="1206">
        <v>32110624</v>
      </c>
      <c r="F64" s="1206">
        <v>0</v>
      </c>
      <c r="G64" s="1376">
        <f>[8]จังหวัด!G41</f>
        <v>30127598.350000001</v>
      </c>
      <c r="H64" s="1376">
        <f>[8]จังหวัด!H41</f>
        <v>26869930.27</v>
      </c>
      <c r="I64" s="1377">
        <f>+H64*100/G64</f>
        <v>89.187096687379992</v>
      </c>
      <c r="J64" s="1376">
        <f>[8]จังหวัด!J41</f>
        <v>1055640</v>
      </c>
      <c r="K64" s="1988">
        <f>J64/G64*100</f>
        <v>3.5038969510160105</v>
      </c>
      <c r="L64" s="1376">
        <f>H64+J64</f>
        <v>27925570.27</v>
      </c>
      <c r="M64" s="1368">
        <f>L64*100/G64</f>
        <v>92.690993638395994</v>
      </c>
      <c r="N64" s="1377">
        <f>+G64-H64-J64</f>
        <v>2202028.0800000019</v>
      </c>
      <c r="O64" s="1993"/>
      <c r="P64" s="1208">
        <v>41076736</v>
      </c>
      <c r="Q64" s="1209">
        <v>-21222303.949999999</v>
      </c>
      <c r="R64" s="700" t="s">
        <v>886</v>
      </c>
      <c r="S64" s="1210" t="s">
        <v>1208</v>
      </c>
    </row>
    <row r="65" spans="1:19" s="677" customFormat="1" ht="34.5" customHeight="1">
      <c r="A65" s="1389">
        <v>11</v>
      </c>
      <c r="B65" s="1390"/>
      <c r="C65" s="1402"/>
      <c r="D65" s="1434" t="s">
        <v>1213</v>
      </c>
      <c r="E65" s="1233"/>
      <c r="F65" s="1233"/>
      <c r="G65" s="1386">
        <f>SUM(G66:G68)</f>
        <v>67328235.780000001</v>
      </c>
      <c r="H65" s="1386">
        <f>SUM(H66:H68)</f>
        <v>61467955.489999995</v>
      </c>
      <c r="I65" s="1386">
        <f t="shared" ref="I65" si="14">+H65*100/G65</f>
        <v>91.295954480154634</v>
      </c>
      <c r="J65" s="1386">
        <f>SUM(J66:J68)</f>
        <v>3704118</v>
      </c>
      <c r="K65" s="1985">
        <f t="shared" ref="K65" si="15">J65/G65*100</f>
        <v>5.5015818505975416</v>
      </c>
      <c r="L65" s="1386">
        <f t="shared" ref="L65" si="16">H65+J65</f>
        <v>65172073.489999995</v>
      </c>
      <c r="M65" s="1393">
        <f t="shared" ref="M65" si="17">L65*100/G65</f>
        <v>96.79753633075218</v>
      </c>
      <c r="N65" s="1386">
        <f>SUM(N66:N68)</f>
        <v>2156162.2899999991</v>
      </c>
      <c r="O65" s="1435"/>
      <c r="P65" s="1235"/>
      <c r="Q65" s="1236"/>
      <c r="R65" s="1237"/>
      <c r="S65" s="1238"/>
    </row>
    <row r="66" spans="1:19" ht="29.25" customHeight="1">
      <c r="A66" s="1351"/>
      <c r="B66" s="1352">
        <v>1</v>
      </c>
      <c r="C66" s="1352">
        <v>1500400059</v>
      </c>
      <c r="D66" s="1353" t="s">
        <v>561</v>
      </c>
      <c r="E66" s="1191">
        <v>13307555.189999999</v>
      </c>
      <c r="F66" s="1191">
        <v>0</v>
      </c>
      <c r="G66" s="1354">
        <f>[8]จังหวัด!G49</f>
        <v>11761027.449999999</v>
      </c>
      <c r="H66" s="1354">
        <f>[8]จังหวัด!H49</f>
        <v>10280308.789999999</v>
      </c>
      <c r="I66" s="1355">
        <f>+H66*100/G66</f>
        <v>87.409954901516699</v>
      </c>
      <c r="J66" s="1354">
        <f>[8]จังหวัด!J49</f>
        <v>1274000</v>
      </c>
      <c r="K66" s="1986">
        <f>J66/G66*100</f>
        <v>10.832386927215277</v>
      </c>
      <c r="L66" s="1354">
        <f>H66+J66</f>
        <v>11554308.789999999</v>
      </c>
      <c r="M66" s="1357">
        <f>L66*100/G66</f>
        <v>98.242341828731981</v>
      </c>
      <c r="N66" s="1355">
        <f>+G66-H66-J66</f>
        <v>206718.66000000015</v>
      </c>
      <c r="O66" s="1204"/>
      <c r="P66" s="1193">
        <v>12301398.629999999</v>
      </c>
      <c r="Q66" s="1194">
        <v>8725263.0800000019</v>
      </c>
      <c r="R66" s="696" t="s">
        <v>887</v>
      </c>
      <c r="S66" s="1195" t="s">
        <v>875</v>
      </c>
    </row>
    <row r="67" spans="1:19" ht="29.25" customHeight="1">
      <c r="A67" s="1358"/>
      <c r="B67" s="1359">
        <v>2</v>
      </c>
      <c r="C67" s="1359">
        <v>1500400058</v>
      </c>
      <c r="D67" s="1360" t="s">
        <v>560</v>
      </c>
      <c r="E67" s="1191">
        <v>29344194</v>
      </c>
      <c r="F67" s="1191">
        <v>0</v>
      </c>
      <c r="G67" s="1354">
        <f>[8]จังหวัด!G47</f>
        <v>34233293.759999998</v>
      </c>
      <c r="H67" s="1354">
        <f>[8]จังหวัด!H47</f>
        <v>32412613.960000001</v>
      </c>
      <c r="I67" s="1355">
        <f>+H67*100/G67</f>
        <v>94.681552371897737</v>
      </c>
      <c r="J67" s="1354">
        <f>[8]จังหวัด!J47</f>
        <v>781350</v>
      </c>
      <c r="K67" s="1987">
        <f>J67/G67*100</f>
        <v>2.282427175946975</v>
      </c>
      <c r="L67" s="1354">
        <f>H67+J67</f>
        <v>33193963.960000001</v>
      </c>
      <c r="M67" s="1357">
        <f>L67*100/G67</f>
        <v>96.963979547844716</v>
      </c>
      <c r="N67" s="1355">
        <f>+G67-H67-J67</f>
        <v>1039329.799999997</v>
      </c>
      <c r="O67" s="1196"/>
      <c r="P67" s="1193">
        <v>18738581.289999999</v>
      </c>
      <c r="Q67" s="1197">
        <v>-5431026.0999999996</v>
      </c>
      <c r="R67" s="697" t="s">
        <v>887</v>
      </c>
      <c r="S67" s="1198" t="s">
        <v>888</v>
      </c>
    </row>
    <row r="68" spans="1:19" ht="29.25" customHeight="1">
      <c r="A68" s="1372"/>
      <c r="B68" s="1373">
        <v>3</v>
      </c>
      <c r="C68" s="1374">
        <v>1500400057</v>
      </c>
      <c r="D68" s="1375" t="s">
        <v>793</v>
      </c>
      <c r="E68" s="1206">
        <v>21026661.710000001</v>
      </c>
      <c r="F68" s="1206">
        <v>0</v>
      </c>
      <c r="G68" s="1376">
        <f>[8]จังหวัด!G48</f>
        <v>21333914.57</v>
      </c>
      <c r="H68" s="1376">
        <f>[8]จังหวัด!H48</f>
        <v>18775032.739999998</v>
      </c>
      <c r="I68" s="1377">
        <f>+H68*100/G68</f>
        <v>88.005568215791342</v>
      </c>
      <c r="J68" s="1376">
        <f>[8]จังหวัด!J48</f>
        <v>1648768</v>
      </c>
      <c r="K68" s="1989">
        <f>J68/G68*100</f>
        <v>7.7283894364071219</v>
      </c>
      <c r="L68" s="1376">
        <f>H68+J68</f>
        <v>20423800.739999998</v>
      </c>
      <c r="M68" s="1378">
        <f>L68*100/G68</f>
        <v>95.733957652198455</v>
      </c>
      <c r="N68" s="1377">
        <f>+G68-H68-J68</f>
        <v>910113.83000000194</v>
      </c>
      <c r="O68" s="2634"/>
      <c r="P68" s="1208">
        <v>36052114</v>
      </c>
      <c r="Q68" s="1209">
        <v>-6707920</v>
      </c>
      <c r="R68" s="700" t="s">
        <v>887</v>
      </c>
      <c r="S68" s="704" t="s">
        <v>888</v>
      </c>
    </row>
    <row r="69" spans="1:19" s="677" customFormat="1" ht="45.75" customHeight="1">
      <c r="A69" s="1397">
        <v>12</v>
      </c>
      <c r="B69" s="1398"/>
      <c r="C69" s="1398"/>
      <c r="D69" s="1391" t="s">
        <v>1214</v>
      </c>
      <c r="E69" s="1229"/>
      <c r="F69" s="1229"/>
      <c r="G69" s="1392">
        <f>SUM(G70:G73)</f>
        <v>126257887.97</v>
      </c>
      <c r="H69" s="1392">
        <f t="shared" ref="H69:N69" si="18">SUM(H70:H73)</f>
        <v>114815699.83000001</v>
      </c>
      <c r="I69" s="1392">
        <f t="shared" si="8"/>
        <v>90.937446900174081</v>
      </c>
      <c r="J69" s="1392">
        <f t="shared" si="18"/>
        <v>5088003</v>
      </c>
      <c r="K69" s="1985">
        <f t="shared" si="1"/>
        <v>4.0298496052848236</v>
      </c>
      <c r="L69" s="1392">
        <f t="shared" si="2"/>
        <v>119903702.83000001</v>
      </c>
      <c r="M69" s="1393">
        <f t="shared" si="3"/>
        <v>94.967296505458904</v>
      </c>
      <c r="N69" s="1392">
        <f t="shared" si="18"/>
        <v>6354185.1399999931</v>
      </c>
      <c r="O69" s="1433"/>
      <c r="P69" s="1230"/>
      <c r="Q69" s="1231"/>
      <c r="R69" s="1232"/>
      <c r="S69" s="1250"/>
    </row>
    <row r="70" spans="1:19" ht="27" customHeight="1">
      <c r="A70" s="1351"/>
      <c r="B70" s="1352">
        <v>1</v>
      </c>
      <c r="C70" s="1352">
        <v>1500400054</v>
      </c>
      <c r="D70" s="1353" t="s">
        <v>559</v>
      </c>
      <c r="E70" s="1191">
        <v>29211721</v>
      </c>
      <c r="F70" s="1191">
        <v>0</v>
      </c>
      <c r="G70" s="1354">
        <f>[8]จังหวัด!G46</f>
        <v>25157145.690000001</v>
      </c>
      <c r="H70" s="1354">
        <f>[8]จังหวัด!H46</f>
        <v>23950289.690000001</v>
      </c>
      <c r="I70" s="1355">
        <f>+H70*100/G70</f>
        <v>95.202730807097367</v>
      </c>
      <c r="J70" s="1354">
        <f>[8]จังหวัด!J46</f>
        <v>307000</v>
      </c>
      <c r="K70" s="1986">
        <f>J70/G70*100</f>
        <v>1.2203292209021666</v>
      </c>
      <c r="L70" s="1354">
        <f>H70+J70</f>
        <v>24257289.690000001</v>
      </c>
      <c r="M70" s="1357">
        <f>L70*100/G70</f>
        <v>96.42306002799954</v>
      </c>
      <c r="N70" s="1355">
        <f>+G70-H70-J70</f>
        <v>899856</v>
      </c>
      <c r="O70" s="1192"/>
      <c r="P70" s="1193">
        <v>52361476.200000003</v>
      </c>
      <c r="Q70" s="1194">
        <v>-18690298.200000003</v>
      </c>
      <c r="R70" s="696" t="s">
        <v>889</v>
      </c>
      <c r="S70" s="1195" t="s">
        <v>888</v>
      </c>
    </row>
    <row r="71" spans="1:19" ht="27" customHeight="1">
      <c r="A71" s="1351"/>
      <c r="B71" s="1352">
        <v>2</v>
      </c>
      <c r="C71" s="1359">
        <v>1500400056</v>
      </c>
      <c r="D71" s="1360" t="s">
        <v>557</v>
      </c>
      <c r="E71" s="1191">
        <v>25511315.239999998</v>
      </c>
      <c r="F71" s="1191">
        <v>0</v>
      </c>
      <c r="G71" s="1354">
        <f>[8]จังหวัด!G44</f>
        <v>24734479.16</v>
      </c>
      <c r="H71" s="1354">
        <f>[8]จังหวัด!H44</f>
        <v>23163488.170000002</v>
      </c>
      <c r="I71" s="1355">
        <f>+H71*100/G71</f>
        <v>93.648578650725867</v>
      </c>
      <c r="J71" s="1354">
        <f>[8]จังหวัด!J44</f>
        <v>658000</v>
      </c>
      <c r="K71" s="1987">
        <f>J71/G71*100</f>
        <v>2.6602541163029687</v>
      </c>
      <c r="L71" s="1354">
        <f>H71+J71</f>
        <v>23821488.170000002</v>
      </c>
      <c r="M71" s="1357">
        <f>L71*100/G71</f>
        <v>96.308832767028846</v>
      </c>
      <c r="N71" s="1355">
        <f>+G71-H71-J71</f>
        <v>912990.98999999836</v>
      </c>
      <c r="O71" s="1204"/>
      <c r="P71" s="1193">
        <v>24927907.240000002</v>
      </c>
      <c r="Q71" s="1197">
        <v>583407.99999999627</v>
      </c>
      <c r="R71" s="697" t="s">
        <v>889</v>
      </c>
      <c r="S71" s="1198" t="s">
        <v>1203</v>
      </c>
    </row>
    <row r="72" spans="1:19" ht="27" customHeight="1">
      <c r="A72" s="1358"/>
      <c r="B72" s="1359">
        <v>3</v>
      </c>
      <c r="C72" s="1359">
        <v>1500400050</v>
      </c>
      <c r="D72" s="1360" t="s">
        <v>558</v>
      </c>
      <c r="E72" s="1191">
        <v>33671178</v>
      </c>
      <c r="F72" s="1191">
        <v>0</v>
      </c>
      <c r="G72" s="1354">
        <f>[8]จังหวัด!G45</f>
        <v>34174235.039999999</v>
      </c>
      <c r="H72" s="1354">
        <f>[8]จังหวัด!H45</f>
        <v>29508816.510000002</v>
      </c>
      <c r="I72" s="1355">
        <f>+H72*100/G72</f>
        <v>86.348140566894159</v>
      </c>
      <c r="J72" s="1354">
        <f>[8]จังหวัด!J45</f>
        <v>3079000</v>
      </c>
      <c r="K72" s="1987">
        <f>J72/G72*100</f>
        <v>9.0097115455433467</v>
      </c>
      <c r="L72" s="1354">
        <f>H72+J72</f>
        <v>32587816.510000002</v>
      </c>
      <c r="M72" s="1357">
        <f>L72*100/G72</f>
        <v>95.357852112437513</v>
      </c>
      <c r="N72" s="1355">
        <f>+G72-H72-J72</f>
        <v>1586418.5299999975</v>
      </c>
      <c r="O72" s="1204"/>
      <c r="P72" s="1193">
        <v>33984222</v>
      </c>
      <c r="Q72" s="1197">
        <v>6114874</v>
      </c>
      <c r="R72" s="697" t="s">
        <v>889</v>
      </c>
      <c r="S72" s="1198" t="s">
        <v>888</v>
      </c>
    </row>
    <row r="73" spans="1:19" ht="27" customHeight="1">
      <c r="A73" s="1372"/>
      <c r="B73" s="1373">
        <v>4</v>
      </c>
      <c r="C73" s="1374">
        <v>1500400055</v>
      </c>
      <c r="D73" s="1375" t="s">
        <v>554</v>
      </c>
      <c r="E73" s="1206">
        <v>40099096</v>
      </c>
      <c r="F73" s="1206">
        <v>0</v>
      </c>
      <c r="G73" s="1376">
        <f>[8]จังหวัด!G40</f>
        <v>42192028.079999998</v>
      </c>
      <c r="H73" s="1376">
        <f>[8]จังหวัด!H40</f>
        <v>38193105.460000001</v>
      </c>
      <c r="I73" s="1377">
        <f>+H73*100/G73</f>
        <v>90.522089593755311</v>
      </c>
      <c r="J73" s="1376">
        <f>[8]จังหวัด!J40</f>
        <v>1044003</v>
      </c>
      <c r="K73" s="1989">
        <f>J73/G73*100</f>
        <v>2.4744081939376641</v>
      </c>
      <c r="L73" s="1376">
        <f>H73+J73</f>
        <v>39237108.460000001</v>
      </c>
      <c r="M73" s="1357">
        <f>L73*100/G73</f>
        <v>92.996497787692988</v>
      </c>
      <c r="N73" s="1377">
        <f>+G73-H73-J73</f>
        <v>2954919.6199999973</v>
      </c>
      <c r="O73" s="2634"/>
      <c r="P73" s="1208">
        <v>31041440</v>
      </c>
      <c r="Q73" s="1209">
        <v>-1829719</v>
      </c>
      <c r="R73" s="700" t="s">
        <v>889</v>
      </c>
      <c r="S73" s="704" t="s">
        <v>1215</v>
      </c>
    </row>
    <row r="74" spans="1:19" s="677" customFormat="1" ht="30" customHeight="1">
      <c r="A74" s="1389">
        <v>13</v>
      </c>
      <c r="B74" s="1390"/>
      <c r="C74" s="1385"/>
      <c r="D74" s="1391" t="s">
        <v>1216</v>
      </c>
      <c r="E74" s="1233"/>
      <c r="F74" s="1233"/>
      <c r="G74" s="1386">
        <f>SUM(G75:G78)</f>
        <v>143705553.68000001</v>
      </c>
      <c r="H74" s="1386">
        <f t="shared" ref="H74:N74" si="19">SUM(H75:H78)</f>
        <v>129653127.20999999</v>
      </c>
      <c r="I74" s="1386">
        <f t="shared" si="8"/>
        <v>90.221375506967803</v>
      </c>
      <c r="J74" s="1386">
        <f t="shared" si="19"/>
        <v>6744705</v>
      </c>
      <c r="K74" s="1985">
        <f t="shared" ref="K74:K103" si="20">J74/G74*100</f>
        <v>4.6934198625468184</v>
      </c>
      <c r="L74" s="1392">
        <f t="shared" ref="L74:L103" si="21">H74+J74</f>
        <v>136397832.20999998</v>
      </c>
      <c r="M74" s="1393">
        <f t="shared" ref="M74:M103" si="22">L74*100/G74</f>
        <v>94.914795369514607</v>
      </c>
      <c r="N74" s="1386">
        <f t="shared" si="19"/>
        <v>7307721.4700000025</v>
      </c>
      <c r="O74" s="1240"/>
      <c r="P74" s="1241"/>
      <c r="Q74" s="1242"/>
      <c r="R74" s="1243"/>
      <c r="S74" s="1244"/>
    </row>
    <row r="75" spans="1:19" ht="24.75" customHeight="1">
      <c r="A75" s="1351"/>
      <c r="B75" s="1352">
        <v>1</v>
      </c>
      <c r="C75" s="1352">
        <v>1500400041</v>
      </c>
      <c r="D75" s="1394" t="s">
        <v>549</v>
      </c>
      <c r="E75" s="1191">
        <v>35710286.100000001</v>
      </c>
      <c r="F75" s="1191">
        <v>0</v>
      </c>
      <c r="G75" s="1354">
        <f>[8]จังหวัด!G32</f>
        <v>34064751.310000002</v>
      </c>
      <c r="H75" s="1354">
        <f>[8]จังหวัด!H32</f>
        <v>32483203.969999999</v>
      </c>
      <c r="I75" s="1355">
        <f>+H75*100/G75</f>
        <v>95.357232097168648</v>
      </c>
      <c r="J75" s="1354">
        <f>[8]จังหวัด!J32</f>
        <v>1314955</v>
      </c>
      <c r="K75" s="1986">
        <f>J75/G75*100</f>
        <v>3.8601632169085693</v>
      </c>
      <c r="L75" s="1354">
        <f>H75+J75</f>
        <v>33798158.969999999</v>
      </c>
      <c r="M75" s="1357">
        <f>L75*100/G75</f>
        <v>99.217395314077223</v>
      </c>
      <c r="N75" s="1355">
        <f>+G75-H75-J75</f>
        <v>266592.34000000358</v>
      </c>
      <c r="O75" s="1196"/>
      <c r="P75" s="1193">
        <v>69296581.359999999</v>
      </c>
      <c r="Q75" s="1197">
        <v>-33586295.259999998</v>
      </c>
      <c r="R75" s="697" t="s">
        <v>890</v>
      </c>
      <c r="S75" s="1198" t="s">
        <v>1199</v>
      </c>
    </row>
    <row r="76" spans="1:19" ht="24.75" customHeight="1">
      <c r="A76" s="1351"/>
      <c r="B76" s="1352">
        <v>2</v>
      </c>
      <c r="C76" s="1359">
        <v>1500400047</v>
      </c>
      <c r="D76" s="1395" t="s">
        <v>790</v>
      </c>
      <c r="E76" s="1191">
        <v>25548715.239999998</v>
      </c>
      <c r="F76" s="1191">
        <v>0</v>
      </c>
      <c r="G76" s="1354">
        <f>[8]จังหวัด!G37</f>
        <v>26635742.829999998</v>
      </c>
      <c r="H76" s="1354">
        <f>[8]จังหวัด!H37</f>
        <v>25149300.789999999</v>
      </c>
      <c r="I76" s="1355">
        <f>+H76*100/G76</f>
        <v>94.419370807538328</v>
      </c>
      <c r="J76" s="1354">
        <f>[8]จังหวัด!J37</f>
        <v>694000</v>
      </c>
      <c r="K76" s="1987">
        <f>J76/G76*100</f>
        <v>2.6055214770220094</v>
      </c>
      <c r="L76" s="1354">
        <f>H76+J76</f>
        <v>25843300.789999999</v>
      </c>
      <c r="M76" s="1357">
        <f>L76*100/G76</f>
        <v>97.024892284560337</v>
      </c>
      <c r="N76" s="1355">
        <f>+G76-H76-J76</f>
        <v>792442.03999999911</v>
      </c>
      <c r="O76" s="1199"/>
      <c r="P76" s="1193">
        <v>36583220.399999999</v>
      </c>
      <c r="Q76" s="1197">
        <v>17645009.310000002</v>
      </c>
      <c r="R76" s="697" t="s">
        <v>890</v>
      </c>
      <c r="S76" s="1198" t="s">
        <v>885</v>
      </c>
    </row>
    <row r="77" spans="1:19" ht="24.75" customHeight="1">
      <c r="A77" s="1358"/>
      <c r="B77" s="1359">
        <v>3</v>
      </c>
      <c r="C77" s="1359">
        <v>1500400042</v>
      </c>
      <c r="D77" s="1395" t="s">
        <v>550</v>
      </c>
      <c r="E77" s="1191">
        <v>46886950.450000003</v>
      </c>
      <c r="F77" s="1191">
        <v>0</v>
      </c>
      <c r="G77" s="1354">
        <f>[8]จังหวัด!G33</f>
        <v>28328537.34</v>
      </c>
      <c r="H77" s="1354">
        <f>[8]จังหวัด!H33</f>
        <v>25810199.75</v>
      </c>
      <c r="I77" s="1355">
        <f>+H77*100/G77</f>
        <v>91.110244910371364</v>
      </c>
      <c r="J77" s="1354">
        <f>[8]จังหวัด!J33</f>
        <v>1419750</v>
      </c>
      <c r="K77" s="1987">
        <f>J77/G77*100</f>
        <v>5.0117306903639802</v>
      </c>
      <c r="L77" s="1354">
        <f>H77+J77</f>
        <v>27229949.75</v>
      </c>
      <c r="M77" s="1357">
        <f>L77*100/G77</f>
        <v>96.12197560073534</v>
      </c>
      <c r="N77" s="1355">
        <f>+G77-H77-J77</f>
        <v>1098587.5899999999</v>
      </c>
      <c r="O77" s="1199"/>
      <c r="P77" s="1193">
        <v>59237349.240000002</v>
      </c>
      <c r="Q77" s="1197">
        <v>-33688634</v>
      </c>
      <c r="R77" s="697" t="s">
        <v>890</v>
      </c>
      <c r="S77" s="1198" t="s">
        <v>875</v>
      </c>
    </row>
    <row r="78" spans="1:19" ht="24.75" customHeight="1">
      <c r="A78" s="1369"/>
      <c r="B78" s="1370">
        <v>4</v>
      </c>
      <c r="C78" s="1363">
        <v>1500400043</v>
      </c>
      <c r="D78" s="1396" t="s">
        <v>548</v>
      </c>
      <c r="E78" s="1200">
        <v>54228229.710000001</v>
      </c>
      <c r="F78" s="1200">
        <v>0</v>
      </c>
      <c r="G78" s="1365">
        <f>[8]จังหวัด!G31</f>
        <v>54676522.200000003</v>
      </c>
      <c r="H78" s="1365">
        <f>[8]จังหวัด!H31</f>
        <v>46210422.700000003</v>
      </c>
      <c r="I78" s="1366">
        <f>+H78*100/G78</f>
        <v>84.516024137321594</v>
      </c>
      <c r="J78" s="1365">
        <f>[8]จังหวัด!J31</f>
        <v>3316000</v>
      </c>
      <c r="K78" s="1988">
        <f>J78/G78*100</f>
        <v>6.0647602784070269</v>
      </c>
      <c r="L78" s="1365">
        <f>H78+J78</f>
        <v>49526422.700000003</v>
      </c>
      <c r="M78" s="1368">
        <f>L78*100/G78</f>
        <v>90.580784415728615</v>
      </c>
      <c r="N78" s="1366">
        <f>G78-L78</f>
        <v>5150099.5</v>
      </c>
      <c r="O78" s="1192"/>
      <c r="P78" s="1201">
        <v>23278619.240000002</v>
      </c>
      <c r="Q78" s="1205">
        <v>23608331.210000001</v>
      </c>
      <c r="R78" s="699" t="s">
        <v>890</v>
      </c>
      <c r="S78" s="1203" t="s">
        <v>875</v>
      </c>
    </row>
    <row r="79" spans="1:19" s="677" customFormat="1" ht="30" customHeight="1">
      <c r="A79" s="1397">
        <v>14</v>
      </c>
      <c r="B79" s="1398"/>
      <c r="C79" s="1399"/>
      <c r="D79" s="1391" t="s">
        <v>1217</v>
      </c>
      <c r="E79" s="1229"/>
      <c r="F79" s="1229"/>
      <c r="G79" s="1392">
        <f>SUM(G80:G83)</f>
        <v>105321720.69999999</v>
      </c>
      <c r="H79" s="1392">
        <f>SUM(H80:H83)</f>
        <v>94528111</v>
      </c>
      <c r="I79" s="1392">
        <f t="shared" ref="I79:I100" si="23">+H79*100/G79</f>
        <v>89.751772352120341</v>
      </c>
      <c r="J79" s="1392">
        <f>SUM(J80:J83)</f>
        <v>7282301.0199999996</v>
      </c>
      <c r="K79" s="1985">
        <f t="shared" ref="K79:K100" si="24">J79/G79*100</f>
        <v>6.9143391995493673</v>
      </c>
      <c r="L79" s="1392">
        <f t="shared" ref="L79:L94" si="25">H79+J79</f>
        <v>101810412.02</v>
      </c>
      <c r="M79" s="1393">
        <f t="shared" ref="M79:M100" si="26">L79*100/G79</f>
        <v>96.666111551669715</v>
      </c>
      <c r="N79" s="1392">
        <f>SUM(N80:N83)</f>
        <v>3511308.6799999983</v>
      </c>
      <c r="O79" s="1229"/>
      <c r="P79" s="1230"/>
      <c r="Q79" s="1231"/>
      <c r="R79" s="1232"/>
      <c r="S79" s="1250"/>
    </row>
    <row r="80" spans="1:19" ht="24.75" customHeight="1">
      <c r="A80" s="1351"/>
      <c r="B80" s="1352">
        <v>1</v>
      </c>
      <c r="C80" s="1352">
        <v>1500400046</v>
      </c>
      <c r="D80" s="1394" t="s">
        <v>789</v>
      </c>
      <c r="E80" s="1191">
        <v>38660640.759999998</v>
      </c>
      <c r="F80" s="1191">
        <v>0</v>
      </c>
      <c r="G80" s="1354">
        <f>[8]จังหวัด!G35</f>
        <v>37237958.600000001</v>
      </c>
      <c r="H80" s="1354">
        <f>[8]จังหวัด!H35</f>
        <v>35978895.039999999</v>
      </c>
      <c r="I80" s="1355">
        <f>+H80*100/G80</f>
        <v>96.61887061660785</v>
      </c>
      <c r="J80" s="1354">
        <f>[8]จังหวัด!J35</f>
        <v>359953.38</v>
      </c>
      <c r="K80" s="1986">
        <f>J80/G80*100</f>
        <v>0.96663027065076546</v>
      </c>
      <c r="L80" s="1354">
        <f>H80+J80</f>
        <v>36338848.420000002</v>
      </c>
      <c r="M80" s="1357">
        <f>L80*100/G80</f>
        <v>97.585500887258618</v>
      </c>
      <c r="N80" s="1355">
        <f>G80-L80</f>
        <v>899110.1799999997</v>
      </c>
      <c r="O80" s="1204"/>
      <c r="P80" s="1193">
        <v>29907448.5</v>
      </c>
      <c r="Q80" s="1194">
        <v>7162670.950000003</v>
      </c>
      <c r="R80" s="696" t="s">
        <v>891</v>
      </c>
      <c r="S80" s="1195" t="s">
        <v>885</v>
      </c>
    </row>
    <row r="81" spans="1:19" ht="24.75" customHeight="1">
      <c r="A81" s="1351"/>
      <c r="B81" s="1352">
        <v>2</v>
      </c>
      <c r="C81" s="1359">
        <v>1500400048</v>
      </c>
      <c r="D81" s="1395" t="s">
        <v>553</v>
      </c>
      <c r="E81" s="1191">
        <v>12420674</v>
      </c>
      <c r="F81" s="1191">
        <v>0</v>
      </c>
      <c r="G81" s="1354">
        <f>[8]จังหวัด!G38</f>
        <v>12973830.08</v>
      </c>
      <c r="H81" s="1354">
        <f>[8]จังหวัด!H38</f>
        <v>11828715.66</v>
      </c>
      <c r="I81" s="1355">
        <f>+H81*100/G81</f>
        <v>91.173659490382349</v>
      </c>
      <c r="J81" s="1354">
        <f>[8]จังหวัด!J38</f>
        <v>702500</v>
      </c>
      <c r="K81" s="1987">
        <f>J81/G81*100</f>
        <v>5.4147464215902534</v>
      </c>
      <c r="L81" s="1354">
        <f>H81+J81</f>
        <v>12531215.66</v>
      </c>
      <c r="M81" s="1357">
        <f>L81*100/G81</f>
        <v>96.5884059119726</v>
      </c>
      <c r="N81" s="1355">
        <f>+G81-H81-J81</f>
        <v>442614.41999999993</v>
      </c>
      <c r="O81" s="1204"/>
      <c r="P81" s="1193">
        <v>37641194.450000003</v>
      </c>
      <c r="Q81" s="1197">
        <v>-13724190.450000003</v>
      </c>
      <c r="R81" s="697" t="s">
        <v>891</v>
      </c>
      <c r="S81" s="1198" t="s">
        <v>1208</v>
      </c>
    </row>
    <row r="82" spans="1:19" ht="24.75" customHeight="1">
      <c r="A82" s="1358"/>
      <c r="B82" s="1359">
        <v>3</v>
      </c>
      <c r="C82" s="1359">
        <v>1500400045</v>
      </c>
      <c r="D82" s="1395" t="s">
        <v>551</v>
      </c>
      <c r="E82" s="1191">
        <v>37070119.450000003</v>
      </c>
      <c r="F82" s="1191">
        <v>0</v>
      </c>
      <c r="G82" s="1354">
        <f>[8]จังหวัด!G34</f>
        <v>36565484.640000001</v>
      </c>
      <c r="H82" s="1354">
        <f>[8]จังหวัด!H34</f>
        <v>31250175.050000001</v>
      </c>
      <c r="I82" s="1355">
        <f>+H82*100/G82</f>
        <v>85.463587745845345</v>
      </c>
      <c r="J82" s="1354">
        <f>[8]จังหวัด!J34</f>
        <v>4061797.64</v>
      </c>
      <c r="K82" s="1987">
        <f>J82/G82*100</f>
        <v>11.10828334422426</v>
      </c>
      <c r="L82" s="1354">
        <f>H82+J82</f>
        <v>35311972.689999998</v>
      </c>
      <c r="M82" s="1357">
        <f>L82*100/G82</f>
        <v>96.571871090069592</v>
      </c>
      <c r="N82" s="1355">
        <f>+G82-H82-J82</f>
        <v>1253511.9499999997</v>
      </c>
      <c r="O82" s="1192"/>
      <c r="P82" s="1193">
        <v>55338352.149999999</v>
      </c>
      <c r="Q82" s="1197">
        <v>-42917678.149999999</v>
      </c>
      <c r="R82" s="697" t="s">
        <v>891</v>
      </c>
      <c r="S82" s="1198" t="s">
        <v>1203</v>
      </c>
    </row>
    <row r="83" spans="1:19" ht="24.75" customHeight="1">
      <c r="A83" s="1372"/>
      <c r="B83" s="1373">
        <v>4</v>
      </c>
      <c r="C83" s="1374">
        <v>1500400044</v>
      </c>
      <c r="D83" s="1400" t="s">
        <v>552</v>
      </c>
      <c r="E83" s="1206">
        <v>23917004</v>
      </c>
      <c r="F83" s="1206">
        <v>0</v>
      </c>
      <c r="G83" s="1376">
        <f>[8]จังหวัด!G36</f>
        <v>18544447.379999999</v>
      </c>
      <c r="H83" s="1376">
        <f>[8]จังหวัด!H36</f>
        <v>15470325.25</v>
      </c>
      <c r="I83" s="1377">
        <f>+H83*100/G83</f>
        <v>83.422950994401646</v>
      </c>
      <c r="J83" s="1376">
        <f>[8]จังหวัด!J36</f>
        <v>2158050</v>
      </c>
      <c r="K83" s="1987">
        <f>J83/G83*100</f>
        <v>11.637176108722633</v>
      </c>
      <c r="L83" s="1376">
        <f>H83+J83</f>
        <v>17628375.25</v>
      </c>
      <c r="M83" s="1378">
        <f>L83*100/G83</f>
        <v>95.060127103124287</v>
      </c>
      <c r="N83" s="1377">
        <f>G83-L83</f>
        <v>916072.12999999896</v>
      </c>
      <c r="O83" s="1207"/>
      <c r="P83" s="1208">
        <v>11959252</v>
      </c>
      <c r="Q83" s="1209">
        <v>26701388.759999998</v>
      </c>
      <c r="R83" s="700" t="s">
        <v>891</v>
      </c>
      <c r="S83" s="1210" t="s">
        <v>885</v>
      </c>
    </row>
    <row r="84" spans="1:19" s="677" customFormat="1" ht="30.75" customHeight="1">
      <c r="A84" s="1397">
        <v>15</v>
      </c>
      <c r="B84" s="1398"/>
      <c r="C84" s="1399"/>
      <c r="D84" s="1401" t="s">
        <v>1218</v>
      </c>
      <c r="E84" s="1229"/>
      <c r="F84" s="1229"/>
      <c r="G84" s="1392">
        <f>SUM(G85:G88)</f>
        <v>78157230.150000006</v>
      </c>
      <c r="H84" s="1392">
        <f t="shared" ref="H84:N84" si="27">SUM(H85:H88)</f>
        <v>70131758.680000007</v>
      </c>
      <c r="I84" s="1392">
        <f t="shared" si="23"/>
        <v>89.731632691438207</v>
      </c>
      <c r="J84" s="1392">
        <f t="shared" si="27"/>
        <v>3481972.31</v>
      </c>
      <c r="K84" s="1985">
        <f t="shared" si="24"/>
        <v>4.4550866289879645</v>
      </c>
      <c r="L84" s="1392">
        <f t="shared" si="25"/>
        <v>73613730.99000001</v>
      </c>
      <c r="M84" s="1393">
        <f t="shared" si="26"/>
        <v>94.186719320426178</v>
      </c>
      <c r="N84" s="1392">
        <f t="shared" si="27"/>
        <v>4543499.1599999946</v>
      </c>
      <c r="O84" s="1339"/>
      <c r="P84" s="1340"/>
      <c r="Q84" s="1341"/>
      <c r="R84" s="1342"/>
      <c r="S84" s="1343"/>
    </row>
    <row r="85" spans="1:19" ht="24.75" customHeight="1">
      <c r="A85" s="1351"/>
      <c r="B85" s="1352">
        <v>1</v>
      </c>
      <c r="C85" s="1352">
        <v>1500400062</v>
      </c>
      <c r="D85" s="1394" t="s">
        <v>358</v>
      </c>
      <c r="E85" s="1191">
        <v>33508132.449999999</v>
      </c>
      <c r="F85" s="1191">
        <v>0</v>
      </c>
      <c r="G85" s="1354">
        <f>[8]จังหวัด!G52</f>
        <v>18480353.82</v>
      </c>
      <c r="H85" s="1354">
        <f>[8]จังหวัด!H52</f>
        <v>17430101.190000001</v>
      </c>
      <c r="I85" s="1355">
        <f>+H85*100/G85</f>
        <v>94.316923581498841</v>
      </c>
      <c r="J85" s="1354">
        <f>[8]จังหวัด!J52</f>
        <v>544654.31000000006</v>
      </c>
      <c r="K85" s="1986">
        <f>J85/G85*100</f>
        <v>2.9472071547166951</v>
      </c>
      <c r="L85" s="1354">
        <f>H85+J85</f>
        <v>17974755.5</v>
      </c>
      <c r="M85" s="1357">
        <f>L85*100/G85</f>
        <v>97.26413073621552</v>
      </c>
      <c r="N85" s="1355">
        <f>G85-L85</f>
        <v>505598.3200000003</v>
      </c>
      <c r="O85" s="1196"/>
      <c r="P85" s="1193">
        <v>49929640.060000002</v>
      </c>
      <c r="Q85" s="1197">
        <v>-39709278.030000001</v>
      </c>
      <c r="R85" s="697" t="s">
        <v>892</v>
      </c>
      <c r="S85" s="1198" t="s">
        <v>1215</v>
      </c>
    </row>
    <row r="86" spans="1:19" ht="24.75" customHeight="1">
      <c r="A86" s="1351"/>
      <c r="B86" s="1352">
        <v>2</v>
      </c>
      <c r="C86" s="1359">
        <v>1500400068</v>
      </c>
      <c r="D86" s="1395" t="s">
        <v>357</v>
      </c>
      <c r="E86" s="1191">
        <v>25494724.399999999</v>
      </c>
      <c r="F86" s="1191">
        <v>0</v>
      </c>
      <c r="G86" s="1354">
        <f>[8]จังหวัด!G51</f>
        <v>12366631.449999999</v>
      </c>
      <c r="H86" s="1354">
        <f>[8]จังหวัด!H51</f>
        <v>11023138.470000001</v>
      </c>
      <c r="I86" s="1355">
        <f>+H86*100/G86</f>
        <v>89.136144426783261</v>
      </c>
      <c r="J86" s="1354">
        <f>[8]จังหวัด!J51</f>
        <v>668190</v>
      </c>
      <c r="K86" s="1987">
        <f>J86/G86*100</f>
        <v>5.4031690254665108</v>
      </c>
      <c r="L86" s="1354">
        <f>H86+J86</f>
        <v>11691328.470000001</v>
      </c>
      <c r="M86" s="1357">
        <f>L86*100/G86</f>
        <v>94.539313452249772</v>
      </c>
      <c r="N86" s="1355">
        <f>G86-L86</f>
        <v>675302.97999999858</v>
      </c>
      <c r="O86" s="1196"/>
      <c r="P86" s="1193">
        <v>25669440.399999999</v>
      </c>
      <c r="Q86" s="1197">
        <v>-174716</v>
      </c>
      <c r="R86" s="697" t="s">
        <v>892</v>
      </c>
      <c r="S86" s="1198" t="s">
        <v>888</v>
      </c>
    </row>
    <row r="87" spans="1:19" ht="24.75" customHeight="1">
      <c r="A87" s="1358"/>
      <c r="B87" s="1359">
        <v>3</v>
      </c>
      <c r="C87" s="1359">
        <v>1500400060</v>
      </c>
      <c r="D87" s="1395" t="s">
        <v>794</v>
      </c>
      <c r="E87" s="1191">
        <v>129124384.41</v>
      </c>
      <c r="F87" s="1191">
        <v>0</v>
      </c>
      <c r="G87" s="1354">
        <f>[8]จังหวัด!G50</f>
        <v>35649682.009999998</v>
      </c>
      <c r="H87" s="1354">
        <f>[8]จังหวัด!H50</f>
        <v>31970181.190000001</v>
      </c>
      <c r="I87" s="1355">
        <f>+H87*100/G87</f>
        <v>89.67872751580822</v>
      </c>
      <c r="J87" s="1354">
        <f>[8]จังหวัด!J50</f>
        <v>1164528</v>
      </c>
      <c r="K87" s="1987">
        <f>J87/G87*100</f>
        <v>3.2665873419946396</v>
      </c>
      <c r="L87" s="1354">
        <f>H87+J87</f>
        <v>33134709.190000001</v>
      </c>
      <c r="M87" s="1357">
        <f>L87*100/G87</f>
        <v>92.945314857802856</v>
      </c>
      <c r="N87" s="1355">
        <f>+G87-H87-J87</f>
        <v>2514972.8199999966</v>
      </c>
      <c r="O87" s="1199"/>
      <c r="P87" s="1193">
        <v>20457093.240000002</v>
      </c>
      <c r="Q87" s="1197">
        <v>108667291.16999999</v>
      </c>
      <c r="R87" s="697" t="s">
        <v>892</v>
      </c>
      <c r="S87" s="1198" t="s">
        <v>1215</v>
      </c>
    </row>
    <row r="88" spans="1:19" ht="24.75" customHeight="1">
      <c r="A88" s="1369"/>
      <c r="B88" s="1370">
        <v>4</v>
      </c>
      <c r="C88" s="1363">
        <v>1500400061</v>
      </c>
      <c r="D88" s="1396" t="s">
        <v>359</v>
      </c>
      <c r="E88" s="1200">
        <v>10220362.029999999</v>
      </c>
      <c r="F88" s="1200">
        <v>0</v>
      </c>
      <c r="G88" s="1365">
        <f>[8]จังหวัด!G58</f>
        <v>11660562.869999999</v>
      </c>
      <c r="H88" s="1365">
        <f>[8]จังหวัด!H58</f>
        <v>9708337.8300000001</v>
      </c>
      <c r="I88" s="1366">
        <f>+H88*100/G88</f>
        <v>83.25788333063548</v>
      </c>
      <c r="J88" s="1365">
        <f>[8]จังหวัด!J58</f>
        <v>1104600</v>
      </c>
      <c r="K88" s="1988">
        <f>J88/G88*100</f>
        <v>9.4729560855238546</v>
      </c>
      <c r="L88" s="1365">
        <f>H88+J88</f>
        <v>10812937.83</v>
      </c>
      <c r="M88" s="1368">
        <f>L88*100/G88</f>
        <v>92.730839416159341</v>
      </c>
      <c r="N88" s="1366">
        <f>+G88-H88-J88</f>
        <v>847625.03999999911</v>
      </c>
      <c r="O88" s="1192"/>
      <c r="P88" s="1193">
        <v>12723957.98</v>
      </c>
      <c r="Q88" s="1197">
        <v>20784174.469999999</v>
      </c>
      <c r="R88" s="697" t="s">
        <v>892</v>
      </c>
      <c r="S88" s="1198" t="s">
        <v>1215</v>
      </c>
    </row>
    <row r="89" spans="1:19" s="677" customFormat="1" ht="29.25" customHeight="1">
      <c r="A89" s="1397">
        <v>16</v>
      </c>
      <c r="B89" s="1398"/>
      <c r="C89" s="1399"/>
      <c r="D89" s="1401" t="s">
        <v>1235</v>
      </c>
      <c r="E89" s="1229"/>
      <c r="F89" s="1229"/>
      <c r="G89" s="1392">
        <f>SUM(G90:G93)</f>
        <v>78080606.900000006</v>
      </c>
      <c r="H89" s="1392">
        <f t="shared" ref="H89:N89" si="28">SUM(H90:H93)</f>
        <v>69921890.670000002</v>
      </c>
      <c r="I89" s="1392">
        <f t="shared" si="23"/>
        <v>89.550905719202333</v>
      </c>
      <c r="J89" s="1392">
        <f t="shared" si="28"/>
        <v>4890740</v>
      </c>
      <c r="K89" s="1985">
        <f t="shared" si="24"/>
        <v>6.2637064364314003</v>
      </c>
      <c r="L89" s="1392">
        <f t="shared" si="25"/>
        <v>74812630.670000002</v>
      </c>
      <c r="M89" s="1393">
        <f t="shared" si="26"/>
        <v>95.814612155633739</v>
      </c>
      <c r="N89" s="1392">
        <f t="shared" si="28"/>
        <v>3267976.2299999986</v>
      </c>
      <c r="O89" s="1245"/>
      <c r="P89" s="1241"/>
      <c r="Q89" s="1246"/>
      <c r="R89" s="1247"/>
      <c r="S89" s="1248"/>
    </row>
    <row r="90" spans="1:19" ht="24.75" customHeight="1">
      <c r="A90" s="1351"/>
      <c r="B90" s="1352">
        <v>1</v>
      </c>
      <c r="C90" s="1352">
        <v>1500400065</v>
      </c>
      <c r="D90" s="1394" t="s">
        <v>795</v>
      </c>
      <c r="E90" s="1191">
        <v>12102207.310000001</v>
      </c>
      <c r="F90" s="1191">
        <v>0</v>
      </c>
      <c r="G90" s="1354">
        <f>[8]จังหวัด!G54</f>
        <v>12831953.130000001</v>
      </c>
      <c r="H90" s="1354">
        <f>[8]จังหวัด!H54</f>
        <v>11967962.83</v>
      </c>
      <c r="I90" s="1355">
        <f>+H90*100/G90</f>
        <v>93.266883916680882</v>
      </c>
      <c r="J90" s="1354">
        <f>[8]จังหวัด!J54</f>
        <v>520500</v>
      </c>
      <c r="K90" s="1986">
        <f>J90/G90*100</f>
        <v>4.0562804019531198</v>
      </c>
      <c r="L90" s="1354">
        <f>H90+J90</f>
        <v>12488462.83</v>
      </c>
      <c r="M90" s="1357">
        <f>L90*100/G90</f>
        <v>97.323164318633999</v>
      </c>
      <c r="N90" s="1355">
        <f>+G90-H90-J90</f>
        <v>343490.30000000075</v>
      </c>
      <c r="O90" s="1199"/>
      <c r="P90" s="1193">
        <v>13929518.68</v>
      </c>
      <c r="Q90" s="1197">
        <v>15299304.32</v>
      </c>
      <c r="R90" s="697" t="s">
        <v>893</v>
      </c>
      <c r="S90" s="1198" t="s">
        <v>1215</v>
      </c>
    </row>
    <row r="91" spans="1:19" ht="24.75" customHeight="1">
      <c r="A91" s="1351"/>
      <c r="B91" s="1352">
        <v>2</v>
      </c>
      <c r="C91" s="1359">
        <v>1500400064</v>
      </c>
      <c r="D91" s="1395" t="s">
        <v>564</v>
      </c>
      <c r="E91" s="1191">
        <v>45092773.609999999</v>
      </c>
      <c r="F91" s="1191">
        <v>0</v>
      </c>
      <c r="G91" s="1354">
        <f>[8]จังหวัด!G56</f>
        <v>14440014.869999999</v>
      </c>
      <c r="H91" s="1354">
        <f>[8]จังหวัด!H56</f>
        <v>13372636.02</v>
      </c>
      <c r="I91" s="1355">
        <f>+H91*100/G91</f>
        <v>92.608187321070261</v>
      </c>
      <c r="J91" s="1354">
        <f>[8]จังหวัด!J56</f>
        <v>558115</v>
      </c>
      <c r="K91" s="1987">
        <f>J91/G91*100</f>
        <v>3.8650583467162316</v>
      </c>
      <c r="L91" s="1354">
        <f>H91+J91</f>
        <v>13930751.02</v>
      </c>
      <c r="M91" s="1357">
        <f>L91*100/G91</f>
        <v>96.4732456677865</v>
      </c>
      <c r="N91" s="1355">
        <f>+G91-H91-J91</f>
        <v>509263.84999999963</v>
      </c>
      <c r="O91" s="1196"/>
      <c r="P91" s="1193">
        <v>34516580</v>
      </c>
      <c r="Q91" s="1197">
        <v>35969773.239999995</v>
      </c>
      <c r="R91" s="697" t="s">
        <v>893</v>
      </c>
      <c r="S91" s="1198" t="s">
        <v>1215</v>
      </c>
    </row>
    <row r="92" spans="1:19" ht="24.75" customHeight="1">
      <c r="A92" s="1358"/>
      <c r="B92" s="1359">
        <v>3</v>
      </c>
      <c r="C92" s="1359">
        <v>1500400066</v>
      </c>
      <c r="D92" s="1395" t="s">
        <v>565</v>
      </c>
      <c r="E92" s="1191">
        <v>29228823</v>
      </c>
      <c r="F92" s="1191">
        <v>0</v>
      </c>
      <c r="G92" s="1354">
        <f>[8]จังหวัด!G57</f>
        <v>31231476.969999999</v>
      </c>
      <c r="H92" s="1354">
        <f>[8]จังหวัด!H57</f>
        <v>27728292.609999999</v>
      </c>
      <c r="I92" s="1355">
        <f>+H92*100/G92</f>
        <v>88.783161413195245</v>
      </c>
      <c r="J92" s="1354">
        <f>[8]จังหวัด!J57</f>
        <v>2349965</v>
      </c>
      <c r="K92" s="1987">
        <f>J92/G92*100</f>
        <v>7.5243479591352802</v>
      </c>
      <c r="L92" s="1354">
        <f>H92+J92</f>
        <v>30078257.609999999</v>
      </c>
      <c r="M92" s="1357">
        <f>L92*100/G92</f>
        <v>96.307509372330529</v>
      </c>
      <c r="N92" s="1355">
        <f>+G92-H92-J92</f>
        <v>1153219.3599999994</v>
      </c>
      <c r="O92" s="1196"/>
      <c r="P92" s="1193">
        <v>20940097.68</v>
      </c>
      <c r="Q92" s="1197">
        <v>-8837890.3699999992</v>
      </c>
      <c r="R92" s="697" t="s">
        <v>893</v>
      </c>
      <c r="S92" s="1198" t="s">
        <v>1215</v>
      </c>
    </row>
    <row r="93" spans="1:19" ht="24.75" customHeight="1">
      <c r="A93" s="1379"/>
      <c r="B93" s="1374">
        <v>4</v>
      </c>
      <c r="C93" s="1374">
        <v>1500400067</v>
      </c>
      <c r="D93" s="1400" t="s">
        <v>563</v>
      </c>
      <c r="E93" s="1211">
        <v>70486353.239999995</v>
      </c>
      <c r="F93" s="1211">
        <v>0</v>
      </c>
      <c r="G93" s="1380">
        <f>[8]จังหวัด!G55</f>
        <v>19577161.93</v>
      </c>
      <c r="H93" s="1380">
        <f>[8]จังหวัด!H55</f>
        <v>16852999.210000001</v>
      </c>
      <c r="I93" s="1384">
        <f>+H93*100/G93</f>
        <v>86.084996743958584</v>
      </c>
      <c r="J93" s="1380">
        <f>[8]จังหวัด!J55</f>
        <v>1462160</v>
      </c>
      <c r="K93" s="1988">
        <f>J93/G93*100</f>
        <v>7.4687025894156251</v>
      </c>
      <c r="L93" s="1380">
        <f>H93+J93</f>
        <v>18315159.210000001</v>
      </c>
      <c r="M93" s="1381">
        <f>L93*100/G93</f>
        <v>93.553699333374212</v>
      </c>
      <c r="N93" s="1384">
        <f>+G93-H93-J93</f>
        <v>1262002.7199999988</v>
      </c>
      <c r="O93" s="1199"/>
      <c r="P93" s="1193">
        <v>24146514.030000001</v>
      </c>
      <c r="Q93" s="1197">
        <v>20946259.579999998</v>
      </c>
      <c r="R93" s="697" t="s">
        <v>893</v>
      </c>
      <c r="S93" s="1198" t="s">
        <v>1215</v>
      </c>
    </row>
    <row r="94" spans="1:19" s="677" customFormat="1" ht="29.25" customHeight="1">
      <c r="A94" s="1389">
        <v>17</v>
      </c>
      <c r="B94" s="1390"/>
      <c r="C94" s="1402"/>
      <c r="D94" s="1403" t="s">
        <v>1219</v>
      </c>
      <c r="E94" s="1233"/>
      <c r="F94" s="1233"/>
      <c r="G94" s="1386">
        <f>SUM(G95:G99)</f>
        <v>83636574.449999988</v>
      </c>
      <c r="H94" s="1386">
        <f t="shared" ref="H94:N94" si="29">SUM(H95:H99)</f>
        <v>72930831.909999996</v>
      </c>
      <c r="I94" s="1386">
        <f t="shared" si="23"/>
        <v>87.199687923134462</v>
      </c>
      <c r="J94" s="1386">
        <f t="shared" si="29"/>
        <v>3678842</v>
      </c>
      <c r="K94" s="1985">
        <f t="shared" si="24"/>
        <v>4.3986043476700525</v>
      </c>
      <c r="L94" s="1386">
        <f t="shared" si="25"/>
        <v>76609673.909999996</v>
      </c>
      <c r="M94" s="1388">
        <f t="shared" si="26"/>
        <v>91.598292270804507</v>
      </c>
      <c r="N94" s="1386">
        <f t="shared" si="29"/>
        <v>7026900.5399999972</v>
      </c>
      <c r="O94" s="1234"/>
      <c r="P94" s="1235"/>
      <c r="Q94" s="1236"/>
      <c r="R94" s="1237"/>
      <c r="S94" s="1238"/>
    </row>
    <row r="95" spans="1:19" ht="24.75" customHeight="1">
      <c r="A95" s="1351"/>
      <c r="B95" s="1352">
        <v>1</v>
      </c>
      <c r="C95" s="1352">
        <v>1500400063</v>
      </c>
      <c r="D95" s="1394" t="s">
        <v>562</v>
      </c>
      <c r="E95" s="1191">
        <v>12311629.119999999</v>
      </c>
      <c r="F95" s="1191">
        <v>0</v>
      </c>
      <c r="G95" s="1354">
        <f>[8]จังหวัด!G53</f>
        <v>13472305.869999999</v>
      </c>
      <c r="H95" s="1354">
        <f>[8]จังหวัด!H53</f>
        <v>12702494.74</v>
      </c>
      <c r="I95" s="1355">
        <f>+H95*100/G95</f>
        <v>94.2859734819842</v>
      </c>
      <c r="J95" s="1354">
        <f>[8]จังหวัด!J53</f>
        <v>392700</v>
      </c>
      <c r="K95" s="1986">
        <f>J95/G95*100</f>
        <v>2.9148684997900811</v>
      </c>
      <c r="L95" s="1354">
        <f>H95+J95</f>
        <v>13095194.74</v>
      </c>
      <c r="M95" s="1357">
        <f>L95*100/G95</f>
        <v>97.200841981774275</v>
      </c>
      <c r="N95" s="1355">
        <f>+G95-H95-J95</f>
        <v>377111.12999999896</v>
      </c>
      <c r="O95" s="1204"/>
      <c r="P95" s="1193">
        <v>14847286.15</v>
      </c>
      <c r="Q95" s="1194">
        <v>40721588.670000002</v>
      </c>
      <c r="R95" s="696" t="s">
        <v>894</v>
      </c>
      <c r="S95" s="1195" t="s">
        <v>1220</v>
      </c>
    </row>
    <row r="96" spans="1:19" ht="24.75" customHeight="1">
      <c r="A96" s="1351"/>
      <c r="B96" s="1352">
        <v>2</v>
      </c>
      <c r="C96" s="1359">
        <v>1500400076</v>
      </c>
      <c r="D96" s="1395" t="s">
        <v>573</v>
      </c>
      <c r="E96" s="1191">
        <v>55568874.82</v>
      </c>
      <c r="F96" s="1191">
        <v>0</v>
      </c>
      <c r="G96" s="1354">
        <f>[8]จังหวัด!G66</f>
        <v>20255140.079999998</v>
      </c>
      <c r="H96" s="1354">
        <f>[8]จังหวัด!H66</f>
        <v>17956892.25</v>
      </c>
      <c r="I96" s="1355">
        <f>+H96*100/G96</f>
        <v>88.653508092648067</v>
      </c>
      <c r="J96" s="1354">
        <f>[8]จังหวัด!J66</f>
        <v>1671930</v>
      </c>
      <c r="K96" s="1987">
        <f>J96/G96*100</f>
        <v>8.2543492338069289</v>
      </c>
      <c r="L96" s="1354">
        <f>H96+J96</f>
        <v>19628822.25</v>
      </c>
      <c r="M96" s="1357">
        <f>L96*100/G96</f>
        <v>96.907857326454987</v>
      </c>
      <c r="N96" s="1355">
        <f>+G96-H96-J96</f>
        <v>626317.82999999821</v>
      </c>
      <c r="O96" s="1196"/>
      <c r="P96" s="1193">
        <v>35281979.200000003</v>
      </c>
      <c r="Q96" s="1197">
        <v>-19841799.200000003</v>
      </c>
      <c r="R96" s="697" t="s">
        <v>894</v>
      </c>
      <c r="S96" s="1198" t="s">
        <v>1215</v>
      </c>
    </row>
    <row r="97" spans="1:19" ht="24.75" customHeight="1">
      <c r="A97" s="1358"/>
      <c r="B97" s="1359">
        <v>3</v>
      </c>
      <c r="C97" s="1359">
        <v>1500400074</v>
      </c>
      <c r="D97" s="1395" t="s">
        <v>570</v>
      </c>
      <c r="E97" s="1191">
        <v>24334548.84</v>
      </c>
      <c r="F97" s="1191">
        <v>0</v>
      </c>
      <c r="G97" s="1354">
        <f>[8]จังหวัด!G63</f>
        <v>14261348.449999999</v>
      </c>
      <c r="H97" s="1354">
        <f>[8]จังหวัด!H63</f>
        <v>13272904.949999999</v>
      </c>
      <c r="I97" s="1355">
        <f>+H97*100/G97</f>
        <v>93.069074053793287</v>
      </c>
      <c r="J97" s="1354">
        <f>[8]จังหวัด!J63</f>
        <v>505000</v>
      </c>
      <c r="K97" s="1987">
        <f>J97/G97*100</f>
        <v>3.5410396272871383</v>
      </c>
      <c r="L97" s="1354">
        <f>H97+J97</f>
        <v>13777904.949999999</v>
      </c>
      <c r="M97" s="1357">
        <f>L97*100/G97</f>
        <v>96.610113681080421</v>
      </c>
      <c r="N97" s="1355">
        <f>G97-L97</f>
        <v>483443.5</v>
      </c>
      <c r="O97" s="1196"/>
      <c r="P97" s="1193">
        <v>27137754.100000001</v>
      </c>
      <c r="Q97" s="1197">
        <v>-14826124.980000002</v>
      </c>
      <c r="R97" s="697" t="s">
        <v>894</v>
      </c>
      <c r="S97" s="1198" t="s">
        <v>1203</v>
      </c>
    </row>
    <row r="98" spans="1:19" ht="24.75" customHeight="1">
      <c r="A98" s="1351"/>
      <c r="B98" s="1352">
        <v>4</v>
      </c>
      <c r="C98" s="1359">
        <v>1500400072</v>
      </c>
      <c r="D98" s="1395" t="s">
        <v>569</v>
      </c>
      <c r="E98" s="1191">
        <v>15440180</v>
      </c>
      <c r="F98" s="1191">
        <v>0</v>
      </c>
      <c r="G98" s="1354">
        <f>[8]จังหวัด!G62</f>
        <v>15152797.08</v>
      </c>
      <c r="H98" s="1354">
        <f>[8]จังหวัด!H62</f>
        <v>13136421.27</v>
      </c>
      <c r="I98" s="1355">
        <f>+H98*100/G98</f>
        <v>86.693045519223702</v>
      </c>
      <c r="J98" s="1354">
        <f>[8]จังหวัด!J62</f>
        <v>1101212</v>
      </c>
      <c r="K98" s="1987">
        <f>J98/G98*100</f>
        <v>7.2673843263794309</v>
      </c>
      <c r="L98" s="1354">
        <f>H98+J98</f>
        <v>14237633.27</v>
      </c>
      <c r="M98" s="1357">
        <f>L98*100/G98</f>
        <v>93.96042984560313</v>
      </c>
      <c r="N98" s="1355">
        <f>G98-L98</f>
        <v>915163.81000000052</v>
      </c>
      <c r="O98" s="1204"/>
      <c r="P98" s="1193">
        <v>25624992.82</v>
      </c>
      <c r="Q98" s="1197">
        <v>-6905196.3000000007</v>
      </c>
      <c r="R98" s="697" t="s">
        <v>894</v>
      </c>
      <c r="S98" s="1198" t="s">
        <v>1208</v>
      </c>
    </row>
    <row r="99" spans="1:19" ht="24.75" customHeight="1">
      <c r="A99" s="1379"/>
      <c r="B99" s="1374">
        <v>5</v>
      </c>
      <c r="C99" s="1374">
        <v>1500400073</v>
      </c>
      <c r="D99" s="1400" t="s">
        <v>571</v>
      </c>
      <c r="E99" s="1206">
        <v>18719796.52</v>
      </c>
      <c r="F99" s="1206">
        <v>0</v>
      </c>
      <c r="G99" s="1376">
        <f>[8]จังหวัด!G64</f>
        <v>20494982.969999999</v>
      </c>
      <c r="H99" s="1376">
        <f>[8]จังหวัด!H64</f>
        <v>15862118.699999999</v>
      </c>
      <c r="I99" s="1377">
        <f>+H99*100/G99</f>
        <v>77.395129936036241</v>
      </c>
      <c r="J99" s="1376">
        <f>[8]จังหวัด!J64</f>
        <v>8000</v>
      </c>
      <c r="K99" s="1988">
        <f>J99/G99*100</f>
        <v>3.9033943144574375E-2</v>
      </c>
      <c r="L99" s="1376">
        <f>H99+J99</f>
        <v>15870118.699999999</v>
      </c>
      <c r="M99" s="1378">
        <f>L99*100/G99</f>
        <v>77.434163879180829</v>
      </c>
      <c r="N99" s="1377">
        <f>+G99-H99-J99</f>
        <v>4624864.2699999996</v>
      </c>
      <c r="O99" s="1207"/>
      <c r="P99" s="1208">
        <v>12731506.82</v>
      </c>
      <c r="Q99" s="1209">
        <v>11603042.02</v>
      </c>
      <c r="R99" s="700" t="s">
        <v>894</v>
      </c>
      <c r="S99" s="1210" t="s">
        <v>1200</v>
      </c>
    </row>
    <row r="100" spans="1:19" s="677" customFormat="1" ht="29.25" customHeight="1">
      <c r="A100" s="1389">
        <v>18</v>
      </c>
      <c r="B100" s="1390"/>
      <c r="C100" s="1402"/>
      <c r="D100" s="1403" t="s">
        <v>1221</v>
      </c>
      <c r="E100" s="1233"/>
      <c r="F100" s="1233"/>
      <c r="G100" s="1386">
        <f>SUM(G101:G104)</f>
        <v>68774874.629999995</v>
      </c>
      <c r="H100" s="1386">
        <f t="shared" ref="H100:J100" si="30">SUM(H101:H104)</f>
        <v>61037743.769999996</v>
      </c>
      <c r="I100" s="1386">
        <f t="shared" si="23"/>
        <v>88.750061847986245</v>
      </c>
      <c r="J100" s="1386">
        <f t="shared" si="30"/>
        <v>4622344</v>
      </c>
      <c r="K100" s="1985">
        <f t="shared" si="24"/>
        <v>6.7209777187782853</v>
      </c>
      <c r="L100" s="1386">
        <f t="shared" ref="L100" si="31">H100+J100</f>
        <v>65660087.769999996</v>
      </c>
      <c r="M100" s="1388">
        <f t="shared" si="26"/>
        <v>95.471039566764532</v>
      </c>
      <c r="N100" s="1386">
        <f>SUM(N101:N104)</f>
        <v>3114786.8600000013</v>
      </c>
      <c r="O100" s="1245"/>
      <c r="P100" s="1241"/>
      <c r="Q100" s="1242"/>
      <c r="R100" s="1243"/>
      <c r="S100" s="1244"/>
    </row>
    <row r="101" spans="1:19" ht="24.75" customHeight="1">
      <c r="A101" s="1351"/>
      <c r="B101" s="1352">
        <v>1</v>
      </c>
      <c r="C101" s="1352">
        <v>1500400075</v>
      </c>
      <c r="D101" s="1394" t="s">
        <v>567</v>
      </c>
      <c r="E101" s="1191">
        <v>11092460</v>
      </c>
      <c r="F101" s="1191">
        <v>0</v>
      </c>
      <c r="G101" s="1354">
        <f>[8]จังหวัด!G60</f>
        <v>12353095.050000001</v>
      </c>
      <c r="H101" s="1354">
        <f>[8]จังหวัด!H60</f>
        <v>10898428.98</v>
      </c>
      <c r="I101" s="1355">
        <f>+H101*100/G101</f>
        <v>88.224278497719482</v>
      </c>
      <c r="J101" s="1354">
        <f>[8]จังหวัด!J60</f>
        <v>1053060</v>
      </c>
      <c r="K101" s="1986">
        <f>J101/G101*100</f>
        <v>8.5246652416877495</v>
      </c>
      <c r="L101" s="1354">
        <f>H101+J101</f>
        <v>11951488.98</v>
      </c>
      <c r="M101" s="1357">
        <f>L101*100/G101</f>
        <v>96.748943739407224</v>
      </c>
      <c r="N101" s="1355">
        <f>G101-L101</f>
        <v>401606.0700000003</v>
      </c>
      <c r="O101" s="1196"/>
      <c r="P101" s="1193">
        <v>18306569.84</v>
      </c>
      <c r="Q101" s="1197">
        <v>-7214109.8399999999</v>
      </c>
      <c r="R101" s="697" t="s">
        <v>895</v>
      </c>
      <c r="S101" s="1198" t="s">
        <v>1220</v>
      </c>
    </row>
    <row r="102" spans="1:19" ht="24.75" customHeight="1">
      <c r="A102" s="1358"/>
      <c r="B102" s="1359">
        <v>2</v>
      </c>
      <c r="C102" s="1359">
        <v>1500400070</v>
      </c>
      <c r="D102" s="1395" t="s">
        <v>566</v>
      </c>
      <c r="E102" s="1191">
        <v>23925874</v>
      </c>
      <c r="F102" s="1191">
        <v>0</v>
      </c>
      <c r="G102" s="1354">
        <f>[8]จังหวัด!G59</f>
        <v>22793703.129999999</v>
      </c>
      <c r="H102" s="1354">
        <f>[8]จังหวัด!H59</f>
        <v>20746012.559999999</v>
      </c>
      <c r="I102" s="1355">
        <f>+H102*100/G102</f>
        <v>91.016419937026697</v>
      </c>
      <c r="J102" s="1354">
        <f>[8]จังหวัด!J59</f>
        <v>1077500</v>
      </c>
      <c r="K102" s="1987">
        <f>J102/G102*100</f>
        <v>4.7271827392620782</v>
      </c>
      <c r="L102" s="1354">
        <f>H102+J102</f>
        <v>21823512.559999999</v>
      </c>
      <c r="M102" s="1357">
        <f>L102*100/G102</f>
        <v>95.743602676288788</v>
      </c>
      <c r="N102" s="1355">
        <f>G102-L102</f>
        <v>970190.5700000003</v>
      </c>
      <c r="O102" s="1204"/>
      <c r="P102" s="1193">
        <v>30436250</v>
      </c>
      <c r="Q102" s="1197">
        <v>1923043.6099999994</v>
      </c>
      <c r="R102" s="697" t="s">
        <v>895</v>
      </c>
      <c r="S102" s="1198" t="s">
        <v>1203</v>
      </c>
    </row>
    <row r="103" spans="1:19" ht="24.75" customHeight="1">
      <c r="A103" s="1351"/>
      <c r="B103" s="1352">
        <v>3</v>
      </c>
      <c r="C103" s="1359">
        <v>1500400069</v>
      </c>
      <c r="D103" s="1395" t="s">
        <v>572</v>
      </c>
      <c r="E103" s="1191">
        <v>32359293.609999999</v>
      </c>
      <c r="F103" s="1191">
        <v>0</v>
      </c>
      <c r="G103" s="1354">
        <f>[8]จังหวัด!G65</f>
        <v>16427362.34</v>
      </c>
      <c r="H103" s="1354">
        <f>[8]จังหวัด!H65</f>
        <v>14686642.529999999</v>
      </c>
      <c r="I103" s="1355">
        <f>+H103*100/G103</f>
        <v>89.403534335141472</v>
      </c>
      <c r="J103" s="1354">
        <f>[8]จังหวัด!J65</f>
        <v>902800</v>
      </c>
      <c r="K103" s="1987">
        <f>J103/G103*100</f>
        <v>5.4957088138350523</v>
      </c>
      <c r="L103" s="1354">
        <f>H103+J103</f>
        <v>15589442.529999999</v>
      </c>
      <c r="M103" s="1357">
        <f>L103*100/G103</f>
        <v>94.899243148976524</v>
      </c>
      <c r="N103" s="1355">
        <f>G103-L103</f>
        <v>837919.81000000052</v>
      </c>
      <c r="O103" s="1204"/>
      <c r="P103" s="1193">
        <v>19304766</v>
      </c>
      <c r="Q103" s="1197">
        <v>4621108</v>
      </c>
      <c r="R103" s="697" t="s">
        <v>895</v>
      </c>
      <c r="S103" s="1198" t="s">
        <v>1220</v>
      </c>
    </row>
    <row r="104" spans="1:19" ht="24.75" customHeight="1">
      <c r="A104" s="1379"/>
      <c r="B104" s="1374">
        <v>4</v>
      </c>
      <c r="C104" s="1374">
        <v>1500400071</v>
      </c>
      <c r="D104" s="1400" t="s">
        <v>568</v>
      </c>
      <c r="E104" s="1206">
        <v>16784530.870000001</v>
      </c>
      <c r="F104" s="1206">
        <v>0</v>
      </c>
      <c r="G104" s="1376">
        <f>[8]จังหวัด!G61</f>
        <v>17200714.109999999</v>
      </c>
      <c r="H104" s="1376">
        <f>[8]จังหวัด!H61</f>
        <v>14706659.699999999</v>
      </c>
      <c r="I104" s="1377">
        <f>+H104*100/G104</f>
        <v>85.500285662267771</v>
      </c>
      <c r="J104" s="1376">
        <f>[8]จังหวัด!J61</f>
        <v>1588984</v>
      </c>
      <c r="K104" s="1989">
        <f>J104/G104*100</f>
        <v>9.237895530605968</v>
      </c>
      <c r="L104" s="1380">
        <f>H104+J104</f>
        <v>16295643.699999999</v>
      </c>
      <c r="M104" s="1381">
        <f>L104*100/G104</f>
        <v>94.738181192873739</v>
      </c>
      <c r="N104" s="1377">
        <f>G104-L104</f>
        <v>905070.41000000015</v>
      </c>
      <c r="O104" s="2634"/>
      <c r="P104" s="1208">
        <v>12534044</v>
      </c>
      <c r="Q104" s="1209">
        <v>4250486.870000001</v>
      </c>
      <c r="R104" s="700" t="s">
        <v>895</v>
      </c>
      <c r="S104" s="704" t="s">
        <v>1220</v>
      </c>
    </row>
    <row r="105" spans="1:19" ht="27" customHeight="1">
      <c r="C105" s="679"/>
      <c r="E105" s="681"/>
      <c r="F105" s="681"/>
      <c r="G105" s="681"/>
      <c r="H105" s="681"/>
      <c r="I105" s="681"/>
      <c r="J105" s="681"/>
      <c r="K105" s="681"/>
      <c r="L105" s="681"/>
      <c r="M105" s="705"/>
      <c r="N105" s="681"/>
      <c r="O105" s="681"/>
      <c r="P105" s="681"/>
      <c r="R105" s="681"/>
    </row>
    <row r="106" spans="1:19" ht="29.25" customHeight="1">
      <c r="C106" s="679"/>
      <c r="E106" s="681"/>
      <c r="F106" s="681"/>
      <c r="G106" s="681"/>
      <c r="H106" s="681"/>
      <c r="I106" s="681"/>
      <c r="J106" s="681"/>
      <c r="K106" s="681"/>
      <c r="L106" s="681"/>
      <c r="M106" s="705"/>
      <c r="N106" s="681"/>
      <c r="O106" s="681"/>
      <c r="P106" s="681"/>
      <c r="R106" s="681"/>
    </row>
    <row r="107" spans="1:19" ht="29.25" customHeight="1">
      <c r="C107" s="679"/>
      <c r="E107" s="681"/>
      <c r="F107" s="681"/>
      <c r="G107" s="681"/>
      <c r="H107" s="681"/>
      <c r="I107" s="681"/>
      <c r="J107" s="681"/>
      <c r="K107" s="681"/>
      <c r="L107" s="681"/>
      <c r="M107" s="705"/>
      <c r="N107" s="681"/>
      <c r="O107" s="681"/>
      <c r="P107" s="681"/>
      <c r="R107" s="681"/>
    </row>
    <row r="108" spans="1:19" ht="29.25" customHeight="1">
      <c r="C108" s="679"/>
      <c r="E108" s="681"/>
      <c r="F108" s="681"/>
      <c r="G108" s="681"/>
      <c r="H108" s="681"/>
      <c r="I108" s="681"/>
      <c r="J108" s="681"/>
      <c r="K108" s="681"/>
      <c r="L108" s="681"/>
      <c r="M108" s="705"/>
      <c r="N108" s="681"/>
      <c r="O108" s="681"/>
      <c r="P108" s="681"/>
      <c r="R108" s="681"/>
    </row>
    <row r="109" spans="1:19" ht="29.25" customHeight="1">
      <c r="C109" s="679"/>
      <c r="E109" s="681"/>
      <c r="F109" s="681"/>
      <c r="G109" s="681"/>
      <c r="H109" s="681"/>
      <c r="I109" s="681"/>
      <c r="J109" s="681"/>
      <c r="K109" s="681"/>
      <c r="L109" s="681"/>
      <c r="M109" s="705"/>
      <c r="N109" s="681"/>
      <c r="O109" s="681"/>
      <c r="P109" s="681"/>
      <c r="R109" s="681"/>
    </row>
    <row r="110" spans="1:19">
      <c r="C110" s="701"/>
      <c r="I110" s="706"/>
      <c r="J110" s="706"/>
      <c r="K110" s="1994"/>
      <c r="L110" s="706"/>
      <c r="M110" s="707"/>
      <c r="N110" s="708"/>
      <c r="Q110" s="709"/>
    </row>
    <row r="111" spans="1:19">
      <c r="C111" s="701"/>
      <c r="I111" s="706"/>
      <c r="J111" s="706"/>
      <c r="K111" s="1994"/>
      <c r="L111" s="706"/>
      <c r="M111" s="707"/>
      <c r="N111" s="708"/>
      <c r="Q111" s="709"/>
    </row>
    <row r="112" spans="1:19">
      <c r="C112" s="701"/>
      <c r="I112" s="706"/>
      <c r="J112" s="706"/>
      <c r="K112" s="1994"/>
      <c r="L112" s="706"/>
      <c r="M112" s="707"/>
      <c r="N112" s="708"/>
      <c r="Q112" s="709"/>
    </row>
    <row r="113" spans="3:20">
      <c r="C113" s="701"/>
      <c r="I113" s="706"/>
      <c r="J113" s="706"/>
      <c r="K113" s="1994"/>
      <c r="L113" s="706"/>
      <c r="M113" s="707"/>
      <c r="N113" s="708"/>
      <c r="Q113" s="709"/>
    </row>
    <row r="114" spans="3:20">
      <c r="C114" s="701"/>
      <c r="I114" s="706"/>
      <c r="J114" s="706"/>
      <c r="K114" s="1994"/>
      <c r="L114" s="706"/>
      <c r="M114" s="707"/>
      <c r="N114" s="708"/>
      <c r="Q114" s="709"/>
    </row>
    <row r="115" spans="3:20">
      <c r="C115" s="701"/>
      <c r="I115" s="706"/>
      <c r="J115" s="706"/>
      <c r="K115" s="1994"/>
      <c r="L115" s="706"/>
      <c r="M115" s="707"/>
      <c r="N115" s="708"/>
      <c r="Q115" s="709"/>
    </row>
    <row r="116" spans="3:20">
      <c r="C116" s="701"/>
      <c r="I116" s="706"/>
      <c r="J116" s="706"/>
      <c r="K116" s="1994"/>
      <c r="L116" s="706"/>
      <c r="M116" s="707"/>
      <c r="N116" s="708"/>
      <c r="Q116" s="709"/>
    </row>
    <row r="117" spans="3:20">
      <c r="C117" s="701"/>
      <c r="I117" s="706"/>
      <c r="J117" s="706"/>
      <c r="K117" s="1994"/>
      <c r="L117" s="706"/>
      <c r="M117" s="707"/>
      <c r="N117" s="708"/>
      <c r="Q117" s="709"/>
    </row>
    <row r="118" spans="3:20">
      <c r="C118" s="701"/>
      <c r="I118" s="706"/>
      <c r="J118" s="706"/>
      <c r="K118" s="1994"/>
      <c r="L118" s="706"/>
      <c r="M118" s="707"/>
      <c r="N118" s="708"/>
      <c r="Q118" s="709"/>
    </row>
    <row r="119" spans="3:20">
      <c r="C119" s="701"/>
      <c r="I119" s="706"/>
      <c r="J119" s="706"/>
      <c r="K119" s="1994"/>
      <c r="L119" s="706"/>
      <c r="M119" s="707"/>
      <c r="N119" s="708"/>
      <c r="Q119" s="709"/>
    </row>
    <row r="120" spans="3:20" ht="24" customHeight="1">
      <c r="C120" s="701"/>
      <c r="I120" s="706"/>
      <c r="J120" s="706"/>
      <c r="K120" s="1994"/>
      <c r="L120" s="706"/>
      <c r="M120" s="707"/>
      <c r="N120" s="708"/>
      <c r="Q120" s="709"/>
    </row>
    <row r="121" spans="3:20" ht="24" customHeight="1">
      <c r="C121" s="701"/>
      <c r="I121" s="706"/>
      <c r="J121" s="706"/>
      <c r="K121" s="1994"/>
      <c r="L121" s="706"/>
      <c r="M121" s="707"/>
      <c r="N121" s="708"/>
      <c r="Q121" s="709"/>
    </row>
    <row r="122" spans="3:20" ht="24" customHeight="1">
      <c r="C122" s="701"/>
      <c r="I122" s="706"/>
      <c r="J122" s="706"/>
      <c r="K122" s="1994"/>
      <c r="L122" s="706"/>
      <c r="M122" s="707"/>
      <c r="N122" s="708"/>
      <c r="Q122" s="709"/>
    </row>
    <row r="123" spans="3:20" ht="24" customHeight="1">
      <c r="C123" s="701"/>
      <c r="I123" s="706"/>
      <c r="J123" s="706"/>
      <c r="K123" s="1994"/>
      <c r="L123" s="706"/>
      <c r="M123" s="707"/>
      <c r="N123" s="708"/>
      <c r="Q123" s="709"/>
    </row>
    <row r="124" spans="3:20" ht="24" customHeight="1">
      <c r="C124" s="701"/>
      <c r="I124" s="706"/>
      <c r="J124" s="706"/>
      <c r="K124" s="1994"/>
      <c r="L124" s="706"/>
      <c r="M124" s="707"/>
      <c r="N124" s="708"/>
      <c r="Q124" s="709"/>
    </row>
    <row r="125" spans="3:20" ht="24" customHeight="1">
      <c r="C125" s="701"/>
      <c r="I125" s="706"/>
      <c r="J125" s="706"/>
      <c r="K125" s="1994"/>
      <c r="L125" s="706"/>
      <c r="M125" s="707"/>
      <c r="N125" s="708"/>
      <c r="Q125" s="709"/>
    </row>
    <row r="126" spans="3:20" ht="24" customHeight="1">
      <c r="C126" s="710" t="s">
        <v>348</v>
      </c>
      <c r="D126" s="1239"/>
      <c r="E126" s="712"/>
      <c r="F126" s="712"/>
      <c r="G126" s="712"/>
      <c r="P126" s="713"/>
      <c r="Q126" s="711"/>
      <c r="R126" s="712"/>
      <c r="S126" s="712"/>
      <c r="T126" s="661"/>
    </row>
    <row r="127" spans="3:20" ht="24" customHeight="1">
      <c r="D127" s="1239"/>
      <c r="E127" s="712"/>
      <c r="F127" s="712"/>
      <c r="G127" s="712"/>
      <c r="P127" s="711"/>
      <c r="Q127" s="711"/>
      <c r="R127" s="712"/>
      <c r="S127" s="712"/>
      <c r="T127" s="661"/>
    </row>
    <row r="128" spans="3:20" ht="24" customHeight="1">
      <c r="D128" s="1239"/>
      <c r="E128" s="712"/>
      <c r="F128" s="712"/>
      <c r="G128" s="712"/>
      <c r="H128" s="714"/>
      <c r="I128" s="715"/>
      <c r="J128" s="715"/>
      <c r="K128" s="714"/>
      <c r="L128" s="715"/>
      <c r="M128" s="716"/>
      <c r="N128" s="717"/>
      <c r="O128" s="717"/>
      <c r="P128" s="718"/>
      <c r="Q128" s="719"/>
      <c r="R128" s="720"/>
      <c r="S128" s="720"/>
      <c r="T128" s="662"/>
    </row>
    <row r="129" spans="3:20" ht="24" customHeight="1">
      <c r="D129" s="1239"/>
      <c r="E129" s="712"/>
      <c r="F129" s="712"/>
      <c r="G129" s="712"/>
      <c r="H129" s="714"/>
      <c r="I129" s="715"/>
      <c r="J129" s="715"/>
      <c r="K129" s="714"/>
      <c r="L129" s="715"/>
      <c r="M129" s="716"/>
      <c r="N129" s="717"/>
      <c r="O129" s="717"/>
      <c r="P129" s="721"/>
      <c r="Q129" s="719"/>
      <c r="R129" s="720"/>
      <c r="S129" s="720"/>
      <c r="T129" s="662"/>
    </row>
    <row r="130" spans="3:20" ht="24" customHeight="1">
      <c r="D130" s="1239"/>
      <c r="E130" s="712"/>
      <c r="F130" s="712"/>
      <c r="G130" s="712"/>
      <c r="H130" s="714"/>
      <c r="I130" s="715"/>
      <c r="J130" s="715"/>
      <c r="K130" s="714"/>
      <c r="L130" s="715"/>
      <c r="M130" s="716"/>
      <c r="N130" s="717"/>
      <c r="O130" s="717"/>
      <c r="P130" s="721"/>
      <c r="Q130" s="719"/>
      <c r="R130" s="720"/>
      <c r="S130" s="720"/>
      <c r="T130" s="662"/>
    </row>
    <row r="131" spans="3:20" ht="24" customHeight="1">
      <c r="D131" s="1239"/>
      <c r="E131" s="712"/>
      <c r="F131" s="712"/>
      <c r="G131" s="712"/>
      <c r="H131" s="714"/>
      <c r="I131" s="715"/>
      <c r="J131" s="715"/>
      <c r="K131" s="714"/>
      <c r="L131" s="715"/>
      <c r="M131" s="716"/>
      <c r="N131" s="717"/>
      <c r="O131" s="717"/>
      <c r="P131" s="721"/>
      <c r="Q131" s="719"/>
      <c r="R131" s="720"/>
      <c r="S131" s="720"/>
      <c r="T131" s="662"/>
    </row>
    <row r="132" spans="3:20" ht="24" customHeight="1">
      <c r="H132" s="722"/>
      <c r="I132" s="723"/>
      <c r="J132" s="715"/>
      <c r="K132" s="714"/>
      <c r="L132" s="715"/>
      <c r="M132" s="716"/>
      <c r="N132" s="717"/>
      <c r="O132" s="717"/>
      <c r="P132" s="721"/>
      <c r="Q132" s="724"/>
      <c r="R132" s="725"/>
      <c r="S132" s="717"/>
      <c r="T132" s="664"/>
    </row>
    <row r="133" spans="3:20" ht="24" customHeight="1">
      <c r="D133" s="1239"/>
      <c r="H133" s="714"/>
      <c r="I133" s="715"/>
      <c r="J133" s="715"/>
      <c r="K133" s="714"/>
      <c r="L133" s="715"/>
      <c r="M133" s="716"/>
      <c r="N133" s="717"/>
      <c r="O133" s="717"/>
      <c r="P133" s="721"/>
      <c r="Q133" s="719"/>
      <c r="R133" s="725"/>
      <c r="S133" s="725"/>
      <c r="T133" s="662"/>
    </row>
    <row r="134" spans="3:20" ht="24" customHeight="1">
      <c r="D134" s="1239"/>
      <c r="H134" s="714"/>
      <c r="I134" s="723"/>
      <c r="J134" s="715"/>
      <c r="K134" s="714"/>
      <c r="L134" s="715"/>
      <c r="M134" s="716"/>
      <c r="N134" s="717"/>
      <c r="O134" s="717"/>
      <c r="P134" s="726">
        <v>1708087739.8500001</v>
      </c>
      <c r="Q134" s="727" t="s">
        <v>1222</v>
      </c>
      <c r="R134" s="725"/>
      <c r="S134" s="725"/>
      <c r="T134" s="664"/>
    </row>
    <row r="135" spans="3:20" ht="24" customHeight="1">
      <c r="H135" s="728"/>
      <c r="I135" s="729"/>
      <c r="J135" s="715"/>
      <c r="K135" s="714"/>
      <c r="L135" s="715"/>
      <c r="M135" s="716"/>
      <c r="N135" s="717"/>
      <c r="O135" s="730">
        <v>50490</v>
      </c>
      <c r="P135" s="721"/>
      <c r="Q135" s="727"/>
      <c r="R135" s="725"/>
      <c r="S135" s="725"/>
      <c r="T135" s="665"/>
    </row>
    <row r="136" spans="3:20" ht="24" customHeight="1">
      <c r="C136" s="679"/>
      <c r="E136" s="731"/>
      <c r="F136" s="731"/>
      <c r="G136" s="731"/>
      <c r="H136" s="732"/>
      <c r="I136" s="730"/>
      <c r="J136" s="715"/>
      <c r="K136" s="714"/>
      <c r="L136" s="715"/>
      <c r="M136" s="716"/>
      <c r="N136" s="717"/>
      <c r="O136" s="717"/>
      <c r="P136" s="733">
        <v>2419948246.73</v>
      </c>
      <c r="Q136" s="727" t="s">
        <v>1223</v>
      </c>
      <c r="R136" s="734"/>
      <c r="S136" s="734"/>
      <c r="T136" s="663"/>
    </row>
    <row r="137" spans="3:20">
      <c r="C137" s="679"/>
      <c r="I137" s="725"/>
      <c r="J137" s="725"/>
      <c r="K137" s="1996"/>
      <c r="L137" s="725"/>
      <c r="M137" s="735"/>
      <c r="N137" s="717"/>
      <c r="O137" s="717"/>
      <c r="P137" s="736">
        <v>711860506.88000011</v>
      </c>
      <c r="Q137" s="727" t="s">
        <v>1189</v>
      </c>
      <c r="R137" s="725"/>
      <c r="S137" s="725"/>
      <c r="T137" s="661"/>
    </row>
    <row r="138" spans="3:20">
      <c r="C138" s="679"/>
      <c r="N138" s="715"/>
      <c r="O138" s="715"/>
      <c r="P138" s="711"/>
      <c r="R138" s="682"/>
      <c r="S138" s="737"/>
      <c r="T138" s="661"/>
    </row>
    <row r="139" spans="3:20">
      <c r="C139" s="679"/>
      <c r="N139" s="715"/>
      <c r="O139" s="715"/>
      <c r="P139" s="715"/>
    </row>
    <row r="140" spans="3:20">
      <c r="C140" s="679"/>
      <c r="N140" s="715"/>
      <c r="O140" s="715"/>
      <c r="P140" s="715"/>
    </row>
  </sheetData>
  <autoFilter ref="A1:A140" xr:uid="{00000000-0009-0000-0000-000011000000}"/>
  <mergeCells count="15">
    <mergeCell ref="H7:I8"/>
    <mergeCell ref="J7:K8"/>
    <mergeCell ref="L7:M8"/>
    <mergeCell ref="N7:N9"/>
    <mergeCell ref="R7:R10"/>
    <mergeCell ref="A1:S1"/>
    <mergeCell ref="A2:S2"/>
    <mergeCell ref="A3:S3"/>
    <mergeCell ref="A4:S4"/>
    <mergeCell ref="A5:S6"/>
    <mergeCell ref="A7:A9"/>
    <mergeCell ref="B7:B9"/>
    <mergeCell ref="C7:C9"/>
    <mergeCell ref="D7:D9"/>
    <mergeCell ref="E7:G8"/>
  </mergeCells>
  <printOptions horizontalCentered="1"/>
  <pageMargins left="0.23622047244094491" right="0.23622047244094491" top="0.43307086614173229" bottom="0.23622047244094491" header="0.19685039370078741" footer="0"/>
  <pageSetup paperSize="9" scale="53" fitToWidth="3" fitToHeight="3" orientation="landscape" r:id="rId1"/>
  <headerFooter>
    <oddHeader>&amp;R&amp;P</oddHeader>
  </headerFooter>
  <rowBreaks count="3" manualBreakCount="3">
    <brk id="37" max="19" man="1"/>
    <brk id="68" max="19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42</vt:i4>
      </vt:variant>
      <vt:variant>
        <vt:lpstr>ช่วงที่มีชื่อ</vt:lpstr>
      </vt:variant>
      <vt:variant>
        <vt:i4>24</vt:i4>
      </vt:variant>
    </vt:vector>
  </HeadingPairs>
  <TitlesOfParts>
    <vt:vector size="66" baseType="lpstr">
      <vt:lpstr>โอนเปลี่ยนแปลง</vt:lpstr>
      <vt:lpstr>รายงานเสนอ (2)</vt:lpstr>
      <vt:lpstr>zfma46</vt:lpstr>
      <vt:lpstr>Sheet1</vt:lpstr>
      <vt:lpstr>ภาพรวม</vt:lpstr>
      <vt:lpstr>ส่วนกลาง</vt:lpstr>
      <vt:lpstr>จังหวัด</vt:lpstr>
      <vt:lpstr>ศพช. </vt:lpstr>
      <vt:lpstr>เรียงตามเขตตรวจราชการ</vt:lpstr>
      <vt:lpstr>งบลงทุน</vt:lpstr>
      <vt:lpstr>รายละเอียดงบลงทุน</vt:lpstr>
      <vt:lpstr>ลงทุน-ส่วนกลาง  </vt:lpstr>
      <vt:lpstr>สรุป-จังหวัด</vt:lpstr>
      <vt:lpstr>ลงทุน-ศพช. </vt:lpstr>
      <vt:lpstr>สรุปลงทุน-จังหวัด </vt:lpstr>
      <vt:lpstr>เบิกแทน </vt:lpstr>
      <vt:lpstr>งบกลาง</vt:lpstr>
      <vt:lpstr>งบรายจ่ายอื่น</vt:lpstr>
      <vt:lpstr>Sheet13 </vt:lpstr>
      <vt:lpstr>Sheet14 </vt:lpstr>
      <vt:lpstr>Sheet15 </vt:lpstr>
      <vt:lpstr>Sheet16</vt:lpstr>
      <vt:lpstr>Sheet17</vt:lpstr>
      <vt:lpstr>Sheet18 </vt:lpstr>
      <vt:lpstr>งบเพิ่มเติม61 OTOP นวัตวิถี</vt:lpstr>
      <vt:lpstr>Sheet6</vt:lpstr>
      <vt:lpstr>สรุปเงินกันงบเพิ่มเติม60</vt:lpstr>
      <vt:lpstr>ราละเอียดโครงการงบเพิ่มเติม</vt:lpstr>
      <vt:lpstr>ให้ ผอ.ทุกศุกร์</vt:lpstr>
      <vt:lpstr>รายละเอียด-งบเพิ่มเติม</vt:lpstr>
      <vt:lpstr>ทศนิยมงบเพิ่มเติม</vt:lpstr>
      <vt:lpstr>Sheet7</vt:lpstr>
      <vt:lpstr>Sheet13</vt:lpstr>
      <vt:lpstr>Sheet14</vt:lpstr>
      <vt:lpstr>Sheet15</vt:lpstr>
      <vt:lpstr>GF งบเพิ่มเติม</vt:lpstr>
      <vt:lpstr>แผนเป้า</vt:lpstr>
      <vt:lpstr>Sheet3</vt:lpstr>
      <vt:lpstr>Sheet5</vt:lpstr>
      <vt:lpstr>Sheet4</vt:lpstr>
      <vt:lpstr>Sheet2</vt:lpstr>
      <vt:lpstr>Sheet9</vt:lpstr>
      <vt:lpstr>ภาพรวม!nat</vt:lpstr>
      <vt:lpstr>โอนเปลี่ยนแปลง!nat</vt:lpstr>
      <vt:lpstr>งบกลาง!Print_Area</vt:lpstr>
      <vt:lpstr>งบรายจ่ายอื่น!Print_Area</vt:lpstr>
      <vt:lpstr>งบลงทุน!Print_Area</vt:lpstr>
      <vt:lpstr>จังหวัด!Print_Area</vt:lpstr>
      <vt:lpstr>'เบิกแทน '!Print_Area</vt:lpstr>
      <vt:lpstr>ภาพรวม!Print_Area</vt:lpstr>
      <vt:lpstr>รายละเอียดงบลงทุน!Print_Area</vt:lpstr>
      <vt:lpstr>เรียงตามเขตตรวจราชการ!Print_Area</vt:lpstr>
      <vt:lpstr>'ลงทุน-ศพช. '!Print_Area</vt:lpstr>
      <vt:lpstr>'ลงทุน-ส่วนกลาง  '!Print_Area</vt:lpstr>
      <vt:lpstr>'ศพช. '!Print_Area</vt:lpstr>
      <vt:lpstr>ส่วนกลาง!Print_Area</vt:lpstr>
      <vt:lpstr>'GF งบเพิ่มเติม'!Print_Titles</vt:lpstr>
      <vt:lpstr>งบลงทุน!Print_Titles</vt:lpstr>
      <vt:lpstr>จังหวัด!Print_Titles</vt:lpstr>
      <vt:lpstr>'เบิกแทน '!Print_Titles</vt:lpstr>
      <vt:lpstr>ภาพรวม!Print_Titles</vt:lpstr>
      <vt:lpstr>รายละเอียดงบลงทุน!Print_Titles</vt:lpstr>
      <vt:lpstr>เรียงตามเขตตรวจราชการ!Print_Titles</vt:lpstr>
      <vt:lpstr>'ลงทุน-ศพช. '!Print_Titles</vt:lpstr>
      <vt:lpstr>'สรุป-จังหวัด'!Print_Titles</vt:lpstr>
      <vt:lpstr>'สรุปลงทุน-จังหวัด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cddbkk</cp:lastModifiedBy>
  <cp:lastPrinted>2023-07-12T07:07:50Z</cp:lastPrinted>
  <dcterms:created xsi:type="dcterms:W3CDTF">2006-10-11T22:10:00Z</dcterms:created>
  <dcterms:modified xsi:type="dcterms:W3CDTF">2024-09-17T02:59:27Z</dcterms:modified>
</cp:coreProperties>
</file>