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8\สรุปผลการใช้จ่าย\4.ม.ค.68\15.1.68\"/>
    </mc:Choice>
  </mc:AlternateContent>
  <xr:revisionPtr revIDLastSave="0" documentId="13_ncr:1_{1450A516-07B3-43EF-B6CC-CFDAEF81B317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งบลงทุน-ส่วนกลาง " sheetId="1052" r:id="rId8"/>
    <sheet name="งบลงทุน-ศพช." sheetId="1053" r:id="rId9"/>
    <sheet name="งบลงทุน-จังหวัด" sheetId="499" r:id="rId10"/>
    <sheet name="งบเบิกแทน" sheetId="1055" r:id="rId11"/>
    <sheet name="สรุปเงินกัน" sheetId="1062" r:id="rId12"/>
    <sheet name="รายละเอียดเงินกัน" sheetId="1063" r:id="rId13"/>
    <sheet name="Sheet13 " sheetId="196" r:id="rId14"/>
    <sheet name="Sheet14 " sheetId="197" r:id="rId15"/>
    <sheet name="Sheet15 " sheetId="198" r:id="rId16"/>
    <sheet name="Sheet16" sheetId="223" r:id="rId17"/>
    <sheet name="Sheet17" sheetId="225" r:id="rId18"/>
    <sheet name="Sheet18 " sheetId="226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รายละเอียดงบลงทุน!$A$303:$P$787</definedName>
    <definedName name="_xlnm._FilterDatabase" localSheetId="2" hidden="1">ส่วนกลาง!$B$10:$J$23</definedName>
    <definedName name="JR_PAGE_ANCHOR_0_1" localSheetId="8">#REF!</definedName>
    <definedName name="JR_PAGE_ANCHOR_0_1" localSheetId="7">#REF!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10">งบเบิกแทน!$A$1:$K$21</definedName>
    <definedName name="_xlnm.Print_Area" localSheetId="8">'งบลงทุน-ศพช.'!$A$1:$T$19</definedName>
    <definedName name="_xlnm.Print_Area" localSheetId="7">'งบลงทุน-ส่วนกลาง '!$A$1:$U$660</definedName>
    <definedName name="_xlnm.Print_Area" localSheetId="4">'จังหวัด '!$A$1:$C$87</definedName>
    <definedName name="_xlnm.Print_Area" localSheetId="0">ภาพรวม!$A$1:$P$59</definedName>
    <definedName name="_xlnm.Print_Area" localSheetId="6">รายละเอียดงบลงทุน!$A$1:$O$10</definedName>
    <definedName name="_xlnm.Print_Area" localSheetId="1">ลำดับกระทรวง!$A$1:$R$17</definedName>
    <definedName name="_xlnm.Print_Area" localSheetId="3">'ศพช. '!$A$1:$D$22</definedName>
    <definedName name="_xlnm.Print_Area" localSheetId="2">ส่วนกลาง!$A$1:$J$25</definedName>
    <definedName name="_xlnm.Print_Titles" localSheetId="10">งบเบิกแทน!$1:$7</definedName>
    <definedName name="_xlnm.Print_Titles" localSheetId="9">'งบลงทุน-จังหวัด'!$4:$8</definedName>
    <definedName name="_xlnm.Print_Titles" localSheetId="8">'งบลงทุน-ศพช.'!$1:$6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ฟ1" localSheetId="8">'[1]ผลผลิตที่ 1'!#REF!</definedName>
    <definedName name="ฟ1" localSheetId="7">'[1]ผลผลิตที่ 1'!#REF!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1" i="1063" l="1"/>
  <c r="F151" i="1063"/>
  <c r="E151" i="1063"/>
  <c r="D151" i="1063"/>
  <c r="G151" i="1063" s="1"/>
  <c r="J151" i="1063" s="1"/>
  <c r="H150" i="1063"/>
  <c r="F150" i="1063"/>
  <c r="E150" i="1063"/>
  <c r="D150" i="1063"/>
  <c r="H149" i="1063"/>
  <c r="F149" i="1063"/>
  <c r="E149" i="1063"/>
  <c r="D149" i="1063"/>
  <c r="D148" i="1063" s="1"/>
  <c r="H148" i="1063"/>
  <c r="E148" i="1063"/>
  <c r="H146" i="1063"/>
  <c r="F146" i="1063"/>
  <c r="E146" i="1063"/>
  <c r="D146" i="1063"/>
  <c r="H145" i="1063"/>
  <c r="F145" i="1063"/>
  <c r="E145" i="1063"/>
  <c r="D145" i="1063"/>
  <c r="G145" i="1063" s="1"/>
  <c r="H144" i="1063"/>
  <c r="F144" i="1063"/>
  <c r="E144" i="1063"/>
  <c r="D144" i="1063"/>
  <c r="G144" i="1063" s="1"/>
  <c r="J144" i="1063" s="1"/>
  <c r="H143" i="1063"/>
  <c r="I143" i="1063" s="1"/>
  <c r="G143" i="1063"/>
  <c r="F143" i="1063"/>
  <c r="E143" i="1063"/>
  <c r="D143" i="1063"/>
  <c r="H142" i="1063"/>
  <c r="G142" i="1063"/>
  <c r="J142" i="1063" s="1"/>
  <c r="F142" i="1063"/>
  <c r="E142" i="1063"/>
  <c r="D142" i="1063"/>
  <c r="H141" i="1063"/>
  <c r="F141" i="1063"/>
  <c r="G141" i="1063" s="1"/>
  <c r="I141" i="1063" s="1"/>
  <c r="E141" i="1063"/>
  <c r="D141" i="1063"/>
  <c r="H138" i="1063"/>
  <c r="F138" i="1063"/>
  <c r="E138" i="1063"/>
  <c r="D138" i="1063"/>
  <c r="H137" i="1063"/>
  <c r="F137" i="1063"/>
  <c r="E137" i="1063"/>
  <c r="D137" i="1063"/>
  <c r="G137" i="1063" s="1"/>
  <c r="J137" i="1063" s="1"/>
  <c r="H136" i="1063"/>
  <c r="F136" i="1063"/>
  <c r="G136" i="1063" s="1"/>
  <c r="J136" i="1063" s="1"/>
  <c r="E136" i="1063"/>
  <c r="D136" i="1063"/>
  <c r="H135" i="1063"/>
  <c r="F135" i="1063"/>
  <c r="E135" i="1063"/>
  <c r="D135" i="1063"/>
  <c r="H134" i="1063"/>
  <c r="F134" i="1063"/>
  <c r="E134" i="1063"/>
  <c r="D134" i="1063"/>
  <c r="H133" i="1063"/>
  <c r="F133" i="1063"/>
  <c r="E133" i="1063"/>
  <c r="D133" i="1063"/>
  <c r="G133" i="1063" s="1"/>
  <c r="J133" i="1063" s="1"/>
  <c r="H132" i="1063"/>
  <c r="F132" i="1063"/>
  <c r="E132" i="1063"/>
  <c r="G132" i="1063" s="1"/>
  <c r="D132" i="1063"/>
  <c r="H131" i="1063"/>
  <c r="F131" i="1063"/>
  <c r="E131" i="1063"/>
  <c r="D131" i="1063"/>
  <c r="G131" i="1063" s="1"/>
  <c r="J131" i="1063" s="1"/>
  <c r="H130" i="1063"/>
  <c r="F130" i="1063"/>
  <c r="E130" i="1063"/>
  <c r="D130" i="1063"/>
  <c r="G130" i="1063" s="1"/>
  <c r="J130" i="1063" s="1"/>
  <c r="H129" i="1063"/>
  <c r="G129" i="1063"/>
  <c r="J129" i="1063" s="1"/>
  <c r="F129" i="1063"/>
  <c r="E129" i="1063"/>
  <c r="D129" i="1063"/>
  <c r="H128" i="1063"/>
  <c r="F128" i="1063"/>
  <c r="E128" i="1063"/>
  <c r="D128" i="1063"/>
  <c r="H127" i="1063"/>
  <c r="F127" i="1063"/>
  <c r="E127" i="1063"/>
  <c r="D127" i="1063"/>
  <c r="G127" i="1063" s="1"/>
  <c r="H126" i="1063"/>
  <c r="I126" i="1063" s="1"/>
  <c r="F126" i="1063"/>
  <c r="E126" i="1063"/>
  <c r="D126" i="1063"/>
  <c r="G126" i="1063" s="1"/>
  <c r="H125" i="1063"/>
  <c r="F125" i="1063"/>
  <c r="E125" i="1063"/>
  <c r="D125" i="1063"/>
  <c r="G125" i="1063" s="1"/>
  <c r="J125" i="1063" s="1"/>
  <c r="H124" i="1063"/>
  <c r="F124" i="1063"/>
  <c r="G124" i="1063" s="1"/>
  <c r="J124" i="1063" s="1"/>
  <c r="E124" i="1063"/>
  <c r="D124" i="1063"/>
  <c r="H123" i="1063"/>
  <c r="I123" i="1063" s="1"/>
  <c r="F123" i="1063"/>
  <c r="E123" i="1063"/>
  <c r="D123" i="1063"/>
  <c r="G123" i="1063" s="1"/>
  <c r="H122" i="1063"/>
  <c r="F122" i="1063"/>
  <c r="E122" i="1063"/>
  <c r="D122" i="1063"/>
  <c r="G122" i="1063" s="1"/>
  <c r="J122" i="1063" s="1"/>
  <c r="H121" i="1063"/>
  <c r="F121" i="1063"/>
  <c r="E121" i="1063"/>
  <c r="D121" i="1063"/>
  <c r="G121" i="1063" s="1"/>
  <c r="J121" i="1063" s="1"/>
  <c r="H120" i="1063"/>
  <c r="I120" i="1063" s="1"/>
  <c r="F120" i="1063"/>
  <c r="E120" i="1063"/>
  <c r="G120" i="1063" s="1"/>
  <c r="D120" i="1063"/>
  <c r="H119" i="1063"/>
  <c r="F119" i="1063"/>
  <c r="E119" i="1063"/>
  <c r="D119" i="1063"/>
  <c r="G119" i="1063" s="1"/>
  <c r="J119" i="1063" s="1"/>
  <c r="H118" i="1063"/>
  <c r="F118" i="1063"/>
  <c r="E118" i="1063"/>
  <c r="D118" i="1063"/>
  <c r="G118" i="1063" s="1"/>
  <c r="J118" i="1063" s="1"/>
  <c r="H117" i="1063"/>
  <c r="F117" i="1063"/>
  <c r="E117" i="1063"/>
  <c r="D117" i="1063"/>
  <c r="G117" i="1063" s="1"/>
  <c r="J117" i="1063" s="1"/>
  <c r="C117" i="1063"/>
  <c r="H116" i="1063"/>
  <c r="I116" i="1063" s="1"/>
  <c r="F116" i="1063"/>
  <c r="E116" i="1063"/>
  <c r="D116" i="1063"/>
  <c r="G116" i="1063" s="1"/>
  <c r="H115" i="1063"/>
  <c r="F115" i="1063"/>
  <c r="E115" i="1063"/>
  <c r="D115" i="1063"/>
  <c r="H114" i="1063"/>
  <c r="F114" i="1063"/>
  <c r="E114" i="1063"/>
  <c r="D114" i="1063"/>
  <c r="G114" i="1063" s="1"/>
  <c r="J114" i="1063" s="1"/>
  <c r="H113" i="1063"/>
  <c r="F113" i="1063"/>
  <c r="E113" i="1063"/>
  <c r="D113" i="1063"/>
  <c r="G113" i="1063" s="1"/>
  <c r="J113" i="1063" s="1"/>
  <c r="H112" i="1063"/>
  <c r="F112" i="1063"/>
  <c r="E112" i="1063"/>
  <c r="D112" i="1063"/>
  <c r="G112" i="1063" s="1"/>
  <c r="J112" i="1063" s="1"/>
  <c r="H111" i="1063"/>
  <c r="F111" i="1063"/>
  <c r="E111" i="1063"/>
  <c r="D111" i="1063"/>
  <c r="H110" i="1063"/>
  <c r="F110" i="1063"/>
  <c r="E110" i="1063"/>
  <c r="D110" i="1063"/>
  <c r="G110" i="1063" s="1"/>
  <c r="H109" i="1063"/>
  <c r="F109" i="1063"/>
  <c r="E109" i="1063"/>
  <c r="D109" i="1063"/>
  <c r="G109" i="1063" s="1"/>
  <c r="J109" i="1063" s="1"/>
  <c r="H108" i="1063"/>
  <c r="F108" i="1063"/>
  <c r="E108" i="1063"/>
  <c r="D108" i="1063"/>
  <c r="H107" i="1063"/>
  <c r="F107" i="1063"/>
  <c r="E107" i="1063"/>
  <c r="D107" i="1063"/>
  <c r="H106" i="1063"/>
  <c r="F106" i="1063"/>
  <c r="E106" i="1063"/>
  <c r="D106" i="1063"/>
  <c r="G106" i="1063" s="1"/>
  <c r="J106" i="1063" s="1"/>
  <c r="H105" i="1063"/>
  <c r="F105" i="1063"/>
  <c r="E105" i="1063"/>
  <c r="D105" i="1063"/>
  <c r="H104" i="1063"/>
  <c r="F104" i="1063"/>
  <c r="E104" i="1063"/>
  <c r="D104" i="1063"/>
  <c r="G104" i="1063" s="1"/>
  <c r="J104" i="1063" s="1"/>
  <c r="H103" i="1063"/>
  <c r="F103" i="1063"/>
  <c r="E103" i="1063"/>
  <c r="D103" i="1063"/>
  <c r="G103" i="1063" s="1"/>
  <c r="J103" i="1063" s="1"/>
  <c r="H102" i="1063"/>
  <c r="F102" i="1063"/>
  <c r="E102" i="1063"/>
  <c r="D102" i="1063"/>
  <c r="H101" i="1063"/>
  <c r="F101" i="1063"/>
  <c r="E101" i="1063"/>
  <c r="D101" i="1063"/>
  <c r="G101" i="1063" s="1"/>
  <c r="J101" i="1063" s="1"/>
  <c r="H100" i="1063"/>
  <c r="F100" i="1063"/>
  <c r="E100" i="1063"/>
  <c r="D100" i="1063"/>
  <c r="G100" i="1063" s="1"/>
  <c r="J100" i="1063" s="1"/>
  <c r="H99" i="1063"/>
  <c r="F99" i="1063"/>
  <c r="E99" i="1063"/>
  <c r="D99" i="1063"/>
  <c r="H98" i="1063"/>
  <c r="F98" i="1063"/>
  <c r="E98" i="1063"/>
  <c r="D98" i="1063"/>
  <c r="H97" i="1063"/>
  <c r="F97" i="1063"/>
  <c r="E97" i="1063"/>
  <c r="D97" i="1063"/>
  <c r="G97" i="1063" s="1"/>
  <c r="J97" i="1063" s="1"/>
  <c r="H96" i="1063"/>
  <c r="F96" i="1063"/>
  <c r="E96" i="1063"/>
  <c r="G96" i="1063" s="1"/>
  <c r="J96" i="1063" s="1"/>
  <c r="D96" i="1063"/>
  <c r="H95" i="1063"/>
  <c r="F95" i="1063"/>
  <c r="E95" i="1063"/>
  <c r="D95" i="1063"/>
  <c r="H94" i="1063"/>
  <c r="F94" i="1063"/>
  <c r="E94" i="1063"/>
  <c r="D94" i="1063"/>
  <c r="G94" i="1063" s="1"/>
  <c r="J94" i="1063" s="1"/>
  <c r="H93" i="1063"/>
  <c r="F93" i="1063"/>
  <c r="E93" i="1063"/>
  <c r="D93" i="1063"/>
  <c r="H92" i="1063"/>
  <c r="F92" i="1063"/>
  <c r="E92" i="1063"/>
  <c r="D92" i="1063"/>
  <c r="H91" i="1063"/>
  <c r="F91" i="1063"/>
  <c r="E91" i="1063"/>
  <c r="D91" i="1063"/>
  <c r="H90" i="1063"/>
  <c r="F90" i="1063"/>
  <c r="E90" i="1063"/>
  <c r="G90" i="1063" s="1"/>
  <c r="J90" i="1063" s="1"/>
  <c r="D90" i="1063"/>
  <c r="H89" i="1063"/>
  <c r="F89" i="1063"/>
  <c r="E89" i="1063"/>
  <c r="D89" i="1063"/>
  <c r="H88" i="1063"/>
  <c r="F88" i="1063"/>
  <c r="E88" i="1063"/>
  <c r="D88" i="1063"/>
  <c r="G88" i="1063" s="1"/>
  <c r="J88" i="1063" s="1"/>
  <c r="H87" i="1063"/>
  <c r="F87" i="1063"/>
  <c r="E87" i="1063"/>
  <c r="D87" i="1063"/>
  <c r="G87" i="1063" s="1"/>
  <c r="J87" i="1063" s="1"/>
  <c r="H86" i="1063"/>
  <c r="F86" i="1063"/>
  <c r="E86" i="1063"/>
  <c r="D86" i="1063"/>
  <c r="H85" i="1063"/>
  <c r="F85" i="1063"/>
  <c r="E85" i="1063"/>
  <c r="D85" i="1063"/>
  <c r="G85" i="1063" s="1"/>
  <c r="J85" i="1063" s="1"/>
  <c r="H84" i="1063"/>
  <c r="F84" i="1063"/>
  <c r="E84" i="1063"/>
  <c r="G84" i="1063" s="1"/>
  <c r="J84" i="1063" s="1"/>
  <c r="D84" i="1063"/>
  <c r="H83" i="1063"/>
  <c r="F83" i="1063"/>
  <c r="E83" i="1063"/>
  <c r="D83" i="1063"/>
  <c r="H82" i="1063"/>
  <c r="F82" i="1063"/>
  <c r="E82" i="1063"/>
  <c r="G82" i="1063" s="1"/>
  <c r="D82" i="1063"/>
  <c r="H81" i="1063"/>
  <c r="F81" i="1063"/>
  <c r="E81" i="1063"/>
  <c r="D81" i="1063"/>
  <c r="H80" i="1063"/>
  <c r="F80" i="1063"/>
  <c r="E80" i="1063"/>
  <c r="D80" i="1063"/>
  <c r="L77" i="1063"/>
  <c r="K77" i="1063"/>
  <c r="H77" i="1063"/>
  <c r="F77" i="1063"/>
  <c r="G77" i="1063" s="1"/>
  <c r="J77" i="1063" s="1"/>
  <c r="E77" i="1063"/>
  <c r="D77" i="1063"/>
  <c r="L76" i="1063"/>
  <c r="K76" i="1063"/>
  <c r="H76" i="1063"/>
  <c r="F76" i="1063"/>
  <c r="E76" i="1063"/>
  <c r="D76" i="1063"/>
  <c r="L75" i="1063"/>
  <c r="K75" i="1063"/>
  <c r="H75" i="1063"/>
  <c r="F75" i="1063"/>
  <c r="E75" i="1063"/>
  <c r="D75" i="1063"/>
  <c r="L74" i="1063"/>
  <c r="K74" i="1063"/>
  <c r="H74" i="1063"/>
  <c r="F74" i="1063"/>
  <c r="E74" i="1063"/>
  <c r="D74" i="1063"/>
  <c r="L73" i="1063"/>
  <c r="K73" i="1063"/>
  <c r="H73" i="1063"/>
  <c r="F73" i="1063"/>
  <c r="E73" i="1063"/>
  <c r="D73" i="1063"/>
  <c r="G73" i="1063" s="1"/>
  <c r="J73" i="1063" s="1"/>
  <c r="L72" i="1063"/>
  <c r="K72" i="1063"/>
  <c r="H72" i="1063"/>
  <c r="F72" i="1063"/>
  <c r="E72" i="1063"/>
  <c r="D72" i="1063"/>
  <c r="G72" i="1063" s="1"/>
  <c r="L71" i="1063"/>
  <c r="K71" i="1063"/>
  <c r="H71" i="1063"/>
  <c r="F71" i="1063"/>
  <c r="E71" i="1063"/>
  <c r="D71" i="1063"/>
  <c r="G71" i="1063" s="1"/>
  <c r="J71" i="1063" s="1"/>
  <c r="L70" i="1063"/>
  <c r="K70" i="1063"/>
  <c r="H70" i="1063"/>
  <c r="I70" i="1063" s="1"/>
  <c r="F70" i="1063"/>
  <c r="E70" i="1063"/>
  <c r="D70" i="1063"/>
  <c r="G70" i="1063" s="1"/>
  <c r="L69" i="1063"/>
  <c r="K69" i="1063"/>
  <c r="H69" i="1063"/>
  <c r="F69" i="1063"/>
  <c r="E69" i="1063"/>
  <c r="D69" i="1063"/>
  <c r="G69" i="1063" s="1"/>
  <c r="J69" i="1063" s="1"/>
  <c r="L68" i="1063"/>
  <c r="K68" i="1063"/>
  <c r="H68" i="1063"/>
  <c r="F68" i="1063"/>
  <c r="E68" i="1063"/>
  <c r="D68" i="1063"/>
  <c r="L67" i="1063"/>
  <c r="K67" i="1063"/>
  <c r="H67" i="1063"/>
  <c r="F67" i="1063"/>
  <c r="E67" i="1063"/>
  <c r="D67" i="1063"/>
  <c r="G67" i="1063" s="1"/>
  <c r="L66" i="1063"/>
  <c r="K66" i="1063"/>
  <c r="H66" i="1063"/>
  <c r="F66" i="1063"/>
  <c r="E66" i="1063"/>
  <c r="D66" i="1063"/>
  <c r="L65" i="1063"/>
  <c r="K65" i="1063"/>
  <c r="H65" i="1063"/>
  <c r="F65" i="1063"/>
  <c r="E65" i="1063"/>
  <c r="D65" i="1063"/>
  <c r="G65" i="1063" s="1"/>
  <c r="J65" i="1063" s="1"/>
  <c r="L64" i="1063"/>
  <c r="K64" i="1063"/>
  <c r="H64" i="1063"/>
  <c r="F64" i="1063"/>
  <c r="E64" i="1063"/>
  <c r="D64" i="1063"/>
  <c r="G64" i="1063" s="1"/>
  <c r="L63" i="1063"/>
  <c r="K63" i="1063"/>
  <c r="H63" i="1063"/>
  <c r="F63" i="1063"/>
  <c r="E63" i="1063"/>
  <c r="D63" i="1063"/>
  <c r="G63" i="1063" s="1"/>
  <c r="L62" i="1063"/>
  <c r="K62" i="1063"/>
  <c r="H62" i="1063"/>
  <c r="F62" i="1063"/>
  <c r="E62" i="1063"/>
  <c r="D62" i="1063"/>
  <c r="G62" i="1063" s="1"/>
  <c r="L61" i="1063"/>
  <c r="K61" i="1063"/>
  <c r="H61" i="1063"/>
  <c r="F61" i="1063"/>
  <c r="E61" i="1063"/>
  <c r="D61" i="1063"/>
  <c r="G61" i="1063" s="1"/>
  <c r="J61" i="1063" s="1"/>
  <c r="L60" i="1063"/>
  <c r="K60" i="1063"/>
  <c r="H60" i="1063"/>
  <c r="F60" i="1063"/>
  <c r="E60" i="1063"/>
  <c r="D60" i="1063"/>
  <c r="G60" i="1063" s="1"/>
  <c r="J60" i="1063" s="1"/>
  <c r="L59" i="1063"/>
  <c r="K59" i="1063"/>
  <c r="H59" i="1063"/>
  <c r="F59" i="1063"/>
  <c r="E59" i="1063"/>
  <c r="G59" i="1063" s="1"/>
  <c r="J59" i="1063" s="1"/>
  <c r="D59" i="1063"/>
  <c r="L58" i="1063"/>
  <c r="K58" i="1063"/>
  <c r="H58" i="1063"/>
  <c r="F58" i="1063"/>
  <c r="E58" i="1063"/>
  <c r="D58" i="1063"/>
  <c r="G58" i="1063" s="1"/>
  <c r="J58" i="1063" s="1"/>
  <c r="L57" i="1063"/>
  <c r="K57" i="1063"/>
  <c r="H57" i="1063"/>
  <c r="F57" i="1063"/>
  <c r="E57" i="1063"/>
  <c r="D57" i="1063"/>
  <c r="G57" i="1063" s="1"/>
  <c r="J57" i="1063" s="1"/>
  <c r="L56" i="1063"/>
  <c r="K56" i="1063"/>
  <c r="H56" i="1063"/>
  <c r="F56" i="1063"/>
  <c r="E56" i="1063"/>
  <c r="D56" i="1063"/>
  <c r="L55" i="1063"/>
  <c r="K55" i="1063"/>
  <c r="H55" i="1063"/>
  <c r="F55" i="1063"/>
  <c r="E55" i="1063"/>
  <c r="D55" i="1063"/>
  <c r="L54" i="1063"/>
  <c r="K54" i="1063"/>
  <c r="H54" i="1063"/>
  <c r="F54" i="1063"/>
  <c r="E54" i="1063"/>
  <c r="D54" i="1063"/>
  <c r="L53" i="1063"/>
  <c r="K53" i="1063"/>
  <c r="H53" i="1063"/>
  <c r="G53" i="1063"/>
  <c r="J53" i="1063" s="1"/>
  <c r="F53" i="1063"/>
  <c r="E53" i="1063"/>
  <c r="D53" i="1063"/>
  <c r="L52" i="1063"/>
  <c r="K52" i="1063"/>
  <c r="H52" i="1063"/>
  <c r="F52" i="1063"/>
  <c r="E52" i="1063"/>
  <c r="D52" i="1063"/>
  <c r="L51" i="1063"/>
  <c r="K51" i="1063"/>
  <c r="H51" i="1063"/>
  <c r="F51" i="1063"/>
  <c r="E51" i="1063"/>
  <c r="D51" i="1063"/>
  <c r="L50" i="1063"/>
  <c r="K50" i="1063"/>
  <c r="H50" i="1063"/>
  <c r="F50" i="1063"/>
  <c r="E50" i="1063"/>
  <c r="D50" i="1063"/>
  <c r="G50" i="1063" s="1"/>
  <c r="L49" i="1063"/>
  <c r="K49" i="1063"/>
  <c r="H49" i="1063"/>
  <c r="I49" i="1063" s="1"/>
  <c r="G49" i="1063"/>
  <c r="F49" i="1063"/>
  <c r="E49" i="1063"/>
  <c r="D49" i="1063"/>
  <c r="L48" i="1063"/>
  <c r="K48" i="1063"/>
  <c r="H48" i="1063"/>
  <c r="F48" i="1063"/>
  <c r="E48" i="1063"/>
  <c r="D48" i="1063"/>
  <c r="G48" i="1063" s="1"/>
  <c r="J48" i="1063" s="1"/>
  <c r="L47" i="1063"/>
  <c r="K47" i="1063"/>
  <c r="H47" i="1063"/>
  <c r="F47" i="1063"/>
  <c r="E47" i="1063"/>
  <c r="D47" i="1063"/>
  <c r="G47" i="1063" s="1"/>
  <c r="L46" i="1063"/>
  <c r="K46" i="1063"/>
  <c r="H46" i="1063"/>
  <c r="F46" i="1063"/>
  <c r="E46" i="1063"/>
  <c r="D46" i="1063"/>
  <c r="G46" i="1063" s="1"/>
  <c r="L45" i="1063"/>
  <c r="K45" i="1063"/>
  <c r="H45" i="1063"/>
  <c r="F45" i="1063"/>
  <c r="E45" i="1063"/>
  <c r="D45" i="1063"/>
  <c r="G45" i="1063" s="1"/>
  <c r="J45" i="1063" s="1"/>
  <c r="L44" i="1063"/>
  <c r="K44" i="1063"/>
  <c r="H44" i="1063"/>
  <c r="F44" i="1063"/>
  <c r="E44" i="1063"/>
  <c r="D44" i="1063"/>
  <c r="G44" i="1063" s="1"/>
  <c r="J44" i="1063" s="1"/>
  <c r="L43" i="1063"/>
  <c r="K43" i="1063"/>
  <c r="H43" i="1063"/>
  <c r="F43" i="1063"/>
  <c r="E43" i="1063"/>
  <c r="D43" i="1063"/>
  <c r="G43" i="1063" s="1"/>
  <c r="L42" i="1063"/>
  <c r="K42" i="1063"/>
  <c r="H42" i="1063"/>
  <c r="F42" i="1063"/>
  <c r="E42" i="1063"/>
  <c r="D42" i="1063"/>
  <c r="G42" i="1063" s="1"/>
  <c r="L41" i="1063"/>
  <c r="K41" i="1063"/>
  <c r="H41" i="1063"/>
  <c r="F41" i="1063"/>
  <c r="E41" i="1063"/>
  <c r="D41" i="1063"/>
  <c r="G41" i="1063" s="1"/>
  <c r="J41" i="1063" s="1"/>
  <c r="L40" i="1063"/>
  <c r="K40" i="1063"/>
  <c r="H40" i="1063"/>
  <c r="F40" i="1063"/>
  <c r="E40" i="1063"/>
  <c r="D40" i="1063"/>
  <c r="G40" i="1063" s="1"/>
  <c r="J40" i="1063" s="1"/>
  <c r="L39" i="1063"/>
  <c r="K39" i="1063"/>
  <c r="H39" i="1063"/>
  <c r="F39" i="1063"/>
  <c r="E39" i="1063"/>
  <c r="D39" i="1063"/>
  <c r="G39" i="1063" s="1"/>
  <c r="J39" i="1063" s="1"/>
  <c r="L38" i="1063"/>
  <c r="K38" i="1063"/>
  <c r="H38" i="1063"/>
  <c r="F38" i="1063"/>
  <c r="E38" i="1063"/>
  <c r="D38" i="1063"/>
  <c r="G38" i="1063" s="1"/>
  <c r="L37" i="1063"/>
  <c r="K37" i="1063"/>
  <c r="H37" i="1063"/>
  <c r="F37" i="1063"/>
  <c r="E37" i="1063"/>
  <c r="D37" i="1063"/>
  <c r="G37" i="1063" s="1"/>
  <c r="J37" i="1063" s="1"/>
  <c r="L36" i="1063"/>
  <c r="K36" i="1063"/>
  <c r="H36" i="1063"/>
  <c r="F36" i="1063"/>
  <c r="E36" i="1063"/>
  <c r="D36" i="1063"/>
  <c r="G36" i="1063" s="1"/>
  <c r="J36" i="1063" s="1"/>
  <c r="L35" i="1063"/>
  <c r="K35" i="1063"/>
  <c r="H35" i="1063"/>
  <c r="F35" i="1063"/>
  <c r="E35" i="1063"/>
  <c r="D35" i="1063"/>
  <c r="G35" i="1063" s="1"/>
  <c r="J35" i="1063" s="1"/>
  <c r="L34" i="1063"/>
  <c r="K34" i="1063"/>
  <c r="H34" i="1063"/>
  <c r="F34" i="1063"/>
  <c r="E34" i="1063"/>
  <c r="D34" i="1063"/>
  <c r="G34" i="1063" s="1"/>
  <c r="L33" i="1063"/>
  <c r="K33" i="1063"/>
  <c r="H33" i="1063"/>
  <c r="F33" i="1063"/>
  <c r="E33" i="1063"/>
  <c r="G33" i="1063" s="1"/>
  <c r="J33" i="1063" s="1"/>
  <c r="D33" i="1063"/>
  <c r="L32" i="1063"/>
  <c r="K32" i="1063"/>
  <c r="H32" i="1063"/>
  <c r="F32" i="1063"/>
  <c r="E32" i="1063"/>
  <c r="D32" i="1063"/>
  <c r="L31" i="1063"/>
  <c r="K31" i="1063"/>
  <c r="H31" i="1063"/>
  <c r="F31" i="1063"/>
  <c r="E31" i="1063"/>
  <c r="D31" i="1063"/>
  <c r="L30" i="1063"/>
  <c r="K30" i="1063"/>
  <c r="H30" i="1063"/>
  <c r="F30" i="1063"/>
  <c r="E30" i="1063"/>
  <c r="D30" i="1063"/>
  <c r="L29" i="1063"/>
  <c r="K29" i="1063"/>
  <c r="H29" i="1063"/>
  <c r="F29" i="1063"/>
  <c r="G29" i="1063" s="1"/>
  <c r="J29" i="1063" s="1"/>
  <c r="E29" i="1063"/>
  <c r="D29" i="1063"/>
  <c r="L28" i="1063"/>
  <c r="K28" i="1063"/>
  <c r="H28" i="1063"/>
  <c r="F28" i="1063"/>
  <c r="E28" i="1063"/>
  <c r="D28" i="1063"/>
  <c r="L27" i="1063"/>
  <c r="K27" i="1063"/>
  <c r="H27" i="1063"/>
  <c r="F27" i="1063"/>
  <c r="E27" i="1063"/>
  <c r="D27" i="1063"/>
  <c r="L26" i="1063"/>
  <c r="K26" i="1063"/>
  <c r="H26" i="1063"/>
  <c r="F26" i="1063"/>
  <c r="E26" i="1063"/>
  <c r="D26" i="1063"/>
  <c r="L25" i="1063"/>
  <c r="K25" i="1063"/>
  <c r="H25" i="1063"/>
  <c r="G25" i="1063"/>
  <c r="J25" i="1063" s="1"/>
  <c r="F25" i="1063"/>
  <c r="E25" i="1063"/>
  <c r="D25" i="1063"/>
  <c r="L24" i="1063"/>
  <c r="K24" i="1063"/>
  <c r="H24" i="1063"/>
  <c r="I24" i="1063" s="1"/>
  <c r="F24" i="1063"/>
  <c r="E24" i="1063"/>
  <c r="D24" i="1063"/>
  <c r="G24" i="1063" s="1"/>
  <c r="L23" i="1063"/>
  <c r="K23" i="1063"/>
  <c r="H23" i="1063"/>
  <c r="F23" i="1063"/>
  <c r="E23" i="1063"/>
  <c r="G23" i="1063" s="1"/>
  <c r="D23" i="1063"/>
  <c r="L22" i="1063"/>
  <c r="K22" i="1063"/>
  <c r="H22" i="1063"/>
  <c r="I22" i="1063" s="1"/>
  <c r="F22" i="1063"/>
  <c r="E22" i="1063"/>
  <c r="D22" i="1063"/>
  <c r="G22" i="1063" s="1"/>
  <c r="L21" i="1063"/>
  <c r="K21" i="1063"/>
  <c r="H21" i="1063"/>
  <c r="F21" i="1063"/>
  <c r="E21" i="1063"/>
  <c r="D21" i="1063"/>
  <c r="G21" i="1063" s="1"/>
  <c r="J21" i="1063" s="1"/>
  <c r="L20" i="1063"/>
  <c r="K20" i="1063"/>
  <c r="H20" i="1063"/>
  <c r="F20" i="1063"/>
  <c r="E20" i="1063"/>
  <c r="D20" i="1063"/>
  <c r="G20" i="1063" s="1"/>
  <c r="J20" i="1063" s="1"/>
  <c r="L19" i="1063"/>
  <c r="K19" i="1063"/>
  <c r="H19" i="1063"/>
  <c r="F19" i="1063"/>
  <c r="E19" i="1063"/>
  <c r="D19" i="1063"/>
  <c r="G19" i="1063" s="1"/>
  <c r="J19" i="1063" s="1"/>
  <c r="L18" i="1063"/>
  <c r="K18" i="1063"/>
  <c r="H18" i="1063"/>
  <c r="F18" i="1063"/>
  <c r="E18" i="1063"/>
  <c r="D18" i="1063"/>
  <c r="G18" i="1063" s="1"/>
  <c r="J18" i="1063" s="1"/>
  <c r="L17" i="1063"/>
  <c r="K17" i="1063"/>
  <c r="H17" i="1063"/>
  <c r="F17" i="1063"/>
  <c r="E17" i="1063"/>
  <c r="D17" i="1063"/>
  <c r="G17" i="1063" s="1"/>
  <c r="J17" i="1063" s="1"/>
  <c r="L16" i="1063"/>
  <c r="K16" i="1063"/>
  <c r="H16" i="1063"/>
  <c r="F16" i="1063"/>
  <c r="E16" i="1063"/>
  <c r="D16" i="1063"/>
  <c r="L15" i="1063"/>
  <c r="K15" i="1063"/>
  <c r="H15" i="1063"/>
  <c r="F15" i="1063"/>
  <c r="E15" i="1063"/>
  <c r="D15" i="1063"/>
  <c r="G15" i="1063" s="1"/>
  <c r="J15" i="1063" s="1"/>
  <c r="L14" i="1063"/>
  <c r="K14" i="1063"/>
  <c r="H14" i="1063"/>
  <c r="F14" i="1063"/>
  <c r="E14" i="1063"/>
  <c r="D14" i="1063"/>
  <c r="L13" i="1063"/>
  <c r="H13" i="1063"/>
  <c r="F13" i="1063"/>
  <c r="E13" i="1063"/>
  <c r="D13" i="1063"/>
  <c r="L12" i="1063"/>
  <c r="K12" i="1063"/>
  <c r="H12" i="1063"/>
  <c r="F12" i="1063"/>
  <c r="E12" i="1063"/>
  <c r="D12" i="1063"/>
  <c r="G12" i="1063" s="1"/>
  <c r="J12" i="1063" s="1"/>
  <c r="L11" i="1063"/>
  <c r="H11" i="1063"/>
  <c r="I11" i="1063" s="1"/>
  <c r="F11" i="1063"/>
  <c r="E11" i="1063"/>
  <c r="D11" i="1063"/>
  <c r="G11" i="1063" s="1"/>
  <c r="L10" i="1063"/>
  <c r="H10" i="1063"/>
  <c r="G10" i="1063"/>
  <c r="J10" i="1063" s="1"/>
  <c r="F10" i="1063"/>
  <c r="E10" i="1063"/>
  <c r="D10" i="1063"/>
  <c r="L9" i="1063"/>
  <c r="K9" i="1063"/>
  <c r="H9" i="1063"/>
  <c r="F9" i="1063"/>
  <c r="E9" i="1063"/>
  <c r="D9" i="1063"/>
  <c r="L8" i="1063"/>
  <c r="H8" i="1063"/>
  <c r="H7" i="1063" s="1"/>
  <c r="F8" i="1063"/>
  <c r="E8" i="1063"/>
  <c r="D8" i="1063"/>
  <c r="B3" i="1063"/>
  <c r="B2" i="1063"/>
  <c r="J12" i="1062"/>
  <c r="G12" i="1062"/>
  <c r="F12" i="1062"/>
  <c r="H12" i="1062" s="1"/>
  <c r="E12" i="1062"/>
  <c r="J11" i="1062"/>
  <c r="G11" i="1062"/>
  <c r="H11" i="1062" s="1"/>
  <c r="F11" i="1062"/>
  <c r="E11" i="1062"/>
  <c r="J10" i="1062"/>
  <c r="G10" i="1062"/>
  <c r="F10" i="1062"/>
  <c r="F8" i="1062" s="1"/>
  <c r="F7" i="1062" s="1"/>
  <c r="E10" i="1062"/>
  <c r="E8" i="1062" s="1"/>
  <c r="E7" i="1062" s="1"/>
  <c r="J9" i="1062"/>
  <c r="G9" i="1062"/>
  <c r="G8" i="1062" s="1"/>
  <c r="G7" i="1062" s="1"/>
  <c r="F9" i="1062"/>
  <c r="E9" i="1062"/>
  <c r="B3" i="1062"/>
  <c r="B2" i="1062"/>
  <c r="B1" i="1062"/>
  <c r="I145" i="1063" l="1"/>
  <c r="J145" i="1063"/>
  <c r="I10" i="1063"/>
  <c r="I112" i="1063"/>
  <c r="I53" i="1063"/>
  <c r="G95" i="1063"/>
  <c r="J95" i="1063" s="1"/>
  <c r="I129" i="1063"/>
  <c r="H140" i="1063"/>
  <c r="I76" i="1063"/>
  <c r="D7" i="1063"/>
  <c r="J11" i="1063"/>
  <c r="I57" i="1063"/>
  <c r="G81" i="1063"/>
  <c r="J81" i="1063" s="1"/>
  <c r="G107" i="1063"/>
  <c r="J107" i="1063" s="1"/>
  <c r="J116" i="1063"/>
  <c r="F148" i="1063"/>
  <c r="F79" i="1063"/>
  <c r="E7" i="1063"/>
  <c r="E6" i="1063" s="1"/>
  <c r="F7" i="1063"/>
  <c r="G27" i="1063"/>
  <c r="J27" i="1063" s="1"/>
  <c r="G52" i="1063"/>
  <c r="J52" i="1063" s="1"/>
  <c r="I61" i="1063"/>
  <c r="G75" i="1063"/>
  <c r="J75" i="1063" s="1"/>
  <c r="G93" i="1063"/>
  <c r="J93" i="1063" s="1"/>
  <c r="I107" i="1063"/>
  <c r="I17" i="1063"/>
  <c r="G31" i="1063"/>
  <c r="J31" i="1063" s="1"/>
  <c r="G54" i="1063"/>
  <c r="J54" i="1063" s="1"/>
  <c r="G56" i="1063"/>
  <c r="J56" i="1063" s="1"/>
  <c r="I65" i="1063"/>
  <c r="G99" i="1063"/>
  <c r="J99" i="1063" s="1"/>
  <c r="G105" i="1063"/>
  <c r="J105" i="1063" s="1"/>
  <c r="G111" i="1063"/>
  <c r="E140" i="1063"/>
  <c r="I48" i="1063"/>
  <c r="I69" i="1063"/>
  <c r="I71" i="1063"/>
  <c r="H79" i="1063"/>
  <c r="H6" i="1063" s="1"/>
  <c r="I87" i="1063"/>
  <c r="G102" i="1063"/>
  <c r="J102" i="1063" s="1"/>
  <c r="G108" i="1063"/>
  <c r="J108" i="1063" s="1"/>
  <c r="G128" i="1063"/>
  <c r="J128" i="1063" s="1"/>
  <c r="J143" i="1063"/>
  <c r="G14" i="1063"/>
  <c r="J14" i="1063" s="1"/>
  <c r="G16" i="1063"/>
  <c r="J16" i="1063" s="1"/>
  <c r="I25" i="1063"/>
  <c r="I73" i="1063"/>
  <c r="G146" i="1063"/>
  <c r="J146" i="1063" s="1"/>
  <c r="G150" i="1063"/>
  <c r="I29" i="1063"/>
  <c r="I31" i="1063"/>
  <c r="I54" i="1063"/>
  <c r="I56" i="1063"/>
  <c r="G66" i="1063"/>
  <c r="G68" i="1063"/>
  <c r="J68" i="1063" s="1"/>
  <c r="I77" i="1063"/>
  <c r="E79" i="1063"/>
  <c r="I102" i="1063"/>
  <c r="I105" i="1063"/>
  <c r="J22" i="1063"/>
  <c r="J24" i="1063"/>
  <c r="I33" i="1063"/>
  <c r="J70" i="1063"/>
  <c r="G91" i="1063"/>
  <c r="J91" i="1063" s="1"/>
  <c r="G134" i="1063"/>
  <c r="J134" i="1063" s="1"/>
  <c r="G8" i="1063"/>
  <c r="I8" i="1063" s="1"/>
  <c r="I16" i="1063"/>
  <c r="G26" i="1063"/>
  <c r="I26" i="1063" s="1"/>
  <c r="G28" i="1063"/>
  <c r="J28" i="1063" s="1"/>
  <c r="I37" i="1063"/>
  <c r="I39" i="1063"/>
  <c r="G74" i="1063"/>
  <c r="J74" i="1063" s="1"/>
  <c r="G76" i="1063"/>
  <c r="J76" i="1063" s="1"/>
  <c r="I85" i="1063"/>
  <c r="I114" i="1063"/>
  <c r="J123" i="1063"/>
  <c r="J126" i="1063"/>
  <c r="D140" i="1063"/>
  <c r="I21" i="1063"/>
  <c r="G30" i="1063"/>
  <c r="J30" i="1063" s="1"/>
  <c r="G32" i="1063"/>
  <c r="J32" i="1063" s="1"/>
  <c r="I41" i="1063"/>
  <c r="G51" i="1063"/>
  <c r="G55" i="1063"/>
  <c r="D79" i="1063"/>
  <c r="D6" i="1063" s="1"/>
  <c r="G86" i="1063"/>
  <c r="J86" i="1063" s="1"/>
  <c r="I88" i="1063"/>
  <c r="J120" i="1063"/>
  <c r="I134" i="1063"/>
  <c r="F140" i="1063"/>
  <c r="F6" i="1063" s="1"/>
  <c r="I45" i="1063"/>
  <c r="J49" i="1063"/>
  <c r="G89" i="1063"/>
  <c r="J89" i="1063" s="1"/>
  <c r="G92" i="1063"/>
  <c r="J92" i="1063" s="1"/>
  <c r="G98" i="1063"/>
  <c r="I100" i="1063"/>
  <c r="I103" i="1063"/>
  <c r="I106" i="1063"/>
  <c r="I109" i="1063"/>
  <c r="G115" i="1063"/>
  <c r="I117" i="1063"/>
  <c r="G135" i="1063"/>
  <c r="J135" i="1063" s="1"/>
  <c r="G138" i="1063"/>
  <c r="J138" i="1063" s="1"/>
  <c r="I144" i="1063"/>
  <c r="I151" i="1063"/>
  <c r="J63" i="1063"/>
  <c r="I63" i="1063"/>
  <c r="J110" i="1063"/>
  <c r="I110" i="1063"/>
  <c r="I42" i="1063"/>
  <c r="J42" i="1063"/>
  <c r="J67" i="1063"/>
  <c r="I67" i="1063"/>
  <c r="I127" i="1063"/>
  <c r="J127" i="1063"/>
  <c r="I36" i="1063"/>
  <c r="I46" i="1063"/>
  <c r="J46" i="1063"/>
  <c r="I59" i="1063"/>
  <c r="I92" i="1063"/>
  <c r="I50" i="1063"/>
  <c r="J50" i="1063"/>
  <c r="I101" i="1063"/>
  <c r="I15" i="1063"/>
  <c r="I19" i="1063"/>
  <c r="I44" i="1063"/>
  <c r="J111" i="1063"/>
  <c r="I111" i="1063"/>
  <c r="I121" i="1063"/>
  <c r="I124" i="1063"/>
  <c r="I40" i="1063"/>
  <c r="I104" i="1063"/>
  <c r="I84" i="1063"/>
  <c r="J23" i="1063"/>
  <c r="I23" i="1063"/>
  <c r="I9" i="1063"/>
  <c r="I52" i="1063"/>
  <c r="I62" i="1063"/>
  <c r="J62" i="1063"/>
  <c r="J64" i="1063"/>
  <c r="I64" i="1063"/>
  <c r="I90" i="1063"/>
  <c r="I96" i="1063"/>
  <c r="I99" i="1063"/>
  <c r="I133" i="1063"/>
  <c r="I136" i="1063"/>
  <c r="J150" i="1063"/>
  <c r="I150" i="1063"/>
  <c r="I38" i="1063"/>
  <c r="J38" i="1063"/>
  <c r="J43" i="1063"/>
  <c r="I43" i="1063"/>
  <c r="J82" i="1063"/>
  <c r="I82" i="1063"/>
  <c r="I66" i="1063"/>
  <c r="J66" i="1063"/>
  <c r="I35" i="1063"/>
  <c r="J47" i="1063"/>
  <c r="I47" i="1063"/>
  <c r="I58" i="1063"/>
  <c r="I60" i="1063"/>
  <c r="J72" i="1063"/>
  <c r="I72" i="1063"/>
  <c r="I119" i="1063"/>
  <c r="I122" i="1063"/>
  <c r="I125" i="1063"/>
  <c r="J8" i="1063"/>
  <c r="J26" i="1063"/>
  <c r="I132" i="1063"/>
  <c r="J132" i="1063"/>
  <c r="I12" i="1063"/>
  <c r="I20" i="1063"/>
  <c r="J55" i="1063"/>
  <c r="I55" i="1063"/>
  <c r="I94" i="1063"/>
  <c r="I18" i="1063"/>
  <c r="J51" i="1063"/>
  <c r="I51" i="1063"/>
  <c r="I86" i="1063"/>
  <c r="I97" i="1063"/>
  <c r="I131" i="1063"/>
  <c r="I137" i="1063"/>
  <c r="I34" i="1063"/>
  <c r="J34" i="1063"/>
  <c r="J98" i="1063"/>
  <c r="I98" i="1063"/>
  <c r="I115" i="1063"/>
  <c r="J115" i="1063"/>
  <c r="I138" i="1063"/>
  <c r="I142" i="1063"/>
  <c r="G9" i="1063"/>
  <c r="J9" i="1063" s="1"/>
  <c r="G13" i="1063"/>
  <c r="J13" i="1063" s="1"/>
  <c r="G80" i="1063"/>
  <c r="G83" i="1063"/>
  <c r="J83" i="1063" s="1"/>
  <c r="G149" i="1063"/>
  <c r="I149" i="1063" s="1"/>
  <c r="J141" i="1063"/>
  <c r="I113" i="1063"/>
  <c r="I118" i="1063"/>
  <c r="I130" i="1063"/>
  <c r="O12" i="1062"/>
  <c r="O11" i="1062"/>
  <c r="I11" i="1062"/>
  <c r="L11" i="1062" s="1"/>
  <c r="I12" i="1062"/>
  <c r="L12" i="1062" s="1"/>
  <c r="J8" i="1062"/>
  <c r="K12" i="1062"/>
  <c r="H10" i="1062"/>
  <c r="O10" i="1062" s="1"/>
  <c r="H9" i="1062"/>
  <c r="I146" i="1063" l="1"/>
  <c r="I95" i="1063"/>
  <c r="I14" i="1063"/>
  <c r="I135" i="1063"/>
  <c r="I81" i="1063"/>
  <c r="G140" i="1063"/>
  <c r="I140" i="1063" s="1"/>
  <c r="I91" i="1063"/>
  <c r="J140" i="1063"/>
  <c r="I27" i="1063"/>
  <c r="I89" i="1063"/>
  <c r="I30" i="1063"/>
  <c r="I68" i="1063"/>
  <c r="I74" i="1063"/>
  <c r="I93" i="1063"/>
  <c r="I128" i="1063"/>
  <c r="I32" i="1063"/>
  <c r="I28" i="1063"/>
  <c r="I75" i="1063"/>
  <c r="I108" i="1063"/>
  <c r="G148" i="1063"/>
  <c r="I148" i="1063" s="1"/>
  <c r="J149" i="1063"/>
  <c r="J148" i="1063" s="1"/>
  <c r="G7" i="1063"/>
  <c r="J7" i="1063"/>
  <c r="I83" i="1063"/>
  <c r="G79" i="1063"/>
  <c r="I79" i="1063" s="1"/>
  <c r="J80" i="1063"/>
  <c r="J79" i="1063" s="1"/>
  <c r="I80" i="1063"/>
  <c r="I13" i="1063"/>
  <c r="H8" i="1062"/>
  <c r="H7" i="1062" s="1"/>
  <c r="I9" i="1062"/>
  <c r="O9" i="1062"/>
  <c r="I10" i="1062"/>
  <c r="J7" i="1062"/>
  <c r="K11" i="1062"/>
  <c r="J6" i="1063" l="1"/>
  <c r="G6" i="1063"/>
  <c r="I6" i="1063" s="1"/>
  <c r="I7" i="1063"/>
  <c r="L10" i="1062"/>
  <c r="K10" i="1062"/>
  <c r="L9" i="1062"/>
  <c r="L8" i="1062" s="1"/>
  <c r="L7" i="1062" s="1"/>
  <c r="I8" i="1062"/>
  <c r="K9" i="1062"/>
  <c r="O7" i="1062"/>
  <c r="I7" i="1062" l="1"/>
  <c r="K7" i="1062" s="1"/>
  <c r="K8" i="1062"/>
  <c r="H17" i="1055" l="1"/>
  <c r="J17" i="1055" s="1"/>
  <c r="F17" i="1055"/>
  <c r="H16" i="1055"/>
  <c r="J16" i="1055" s="1"/>
  <c r="F16" i="1055"/>
  <c r="I15" i="1055"/>
  <c r="H15" i="1055"/>
  <c r="J15" i="1055" s="1"/>
  <c r="F15" i="1055"/>
  <c r="H14" i="1055"/>
  <c r="J14" i="1055" s="1"/>
  <c r="F14" i="1055"/>
  <c r="H13" i="1055"/>
  <c r="J13" i="1055" s="1"/>
  <c r="F13" i="1055"/>
  <c r="I12" i="1055"/>
  <c r="H12" i="1055"/>
  <c r="J12" i="1055" s="1"/>
  <c r="F12" i="1055"/>
  <c r="H11" i="1055"/>
  <c r="J11" i="1055" s="1"/>
  <c r="F11" i="1055"/>
  <c r="H10" i="1055"/>
  <c r="J10" i="1055" s="1"/>
  <c r="F10" i="1055"/>
  <c r="H9" i="1055"/>
  <c r="J9" i="1055" s="1"/>
  <c r="F9" i="1055"/>
  <c r="H8" i="1055"/>
  <c r="G8" i="1055"/>
  <c r="E8" i="1055"/>
  <c r="F8" i="1055" s="1"/>
  <c r="D8" i="1055"/>
  <c r="J8" i="1055" l="1"/>
  <c r="I9" i="1055"/>
  <c r="I8" i="1055"/>
  <c r="I10" i="1055"/>
  <c r="I13" i="1055"/>
  <c r="I16" i="1055"/>
  <c r="I11" i="1055"/>
  <c r="I14" i="1055"/>
  <c r="I17" i="1055"/>
  <c r="O53" i="499" l="1"/>
  <c r="L52" i="499"/>
  <c r="J52" i="499"/>
  <c r="M52" i="499" s="1"/>
  <c r="I52" i="499"/>
  <c r="E52" i="499"/>
  <c r="L51" i="499"/>
  <c r="J51" i="499"/>
  <c r="M51" i="499" s="1"/>
  <c r="I51" i="499"/>
  <c r="E51" i="499"/>
  <c r="L50" i="499"/>
  <c r="J50" i="499"/>
  <c r="I50" i="499"/>
  <c r="E50" i="499"/>
  <c r="L49" i="499"/>
  <c r="J49" i="499"/>
  <c r="M49" i="499" s="1"/>
  <c r="I49" i="499"/>
  <c r="E49" i="499"/>
  <c r="L48" i="499"/>
  <c r="J48" i="499"/>
  <c r="I48" i="499"/>
  <c r="E48" i="499"/>
  <c r="L47" i="499"/>
  <c r="J47" i="499"/>
  <c r="I47" i="499"/>
  <c r="E47" i="499"/>
  <c r="D47" i="499"/>
  <c r="L46" i="499"/>
  <c r="J46" i="499"/>
  <c r="K46" i="499" s="1"/>
  <c r="I46" i="499"/>
  <c r="E46" i="499"/>
  <c r="L45" i="499"/>
  <c r="J45" i="499"/>
  <c r="I45" i="499"/>
  <c r="K45" i="499" s="1"/>
  <c r="E45" i="499"/>
  <c r="L44" i="499"/>
  <c r="J44" i="499"/>
  <c r="K44" i="499" s="1"/>
  <c r="I44" i="499"/>
  <c r="E44" i="499"/>
  <c r="M43" i="499"/>
  <c r="N43" i="499" s="1"/>
  <c r="L43" i="499"/>
  <c r="J43" i="499"/>
  <c r="K43" i="499" s="1"/>
  <c r="I43" i="499"/>
  <c r="L42" i="499"/>
  <c r="J42" i="499"/>
  <c r="I42" i="499"/>
  <c r="E42" i="499"/>
  <c r="L41" i="499"/>
  <c r="J41" i="499"/>
  <c r="I41" i="499"/>
  <c r="L40" i="499"/>
  <c r="J40" i="499"/>
  <c r="M40" i="499" s="1"/>
  <c r="N40" i="499" s="1"/>
  <c r="I40" i="499"/>
  <c r="E40" i="499"/>
  <c r="L39" i="499"/>
  <c r="J39" i="499"/>
  <c r="I39" i="499"/>
  <c r="E39" i="499"/>
  <c r="L38" i="499"/>
  <c r="J38" i="499"/>
  <c r="I38" i="499"/>
  <c r="E38" i="499"/>
  <c r="L37" i="499"/>
  <c r="J37" i="499"/>
  <c r="I37" i="499"/>
  <c r="E37" i="499"/>
  <c r="D37" i="499"/>
  <c r="L36" i="499"/>
  <c r="J36" i="499"/>
  <c r="I36" i="499"/>
  <c r="K36" i="499" s="1"/>
  <c r="L35" i="499"/>
  <c r="J35" i="499"/>
  <c r="I35" i="499"/>
  <c r="E35" i="499"/>
  <c r="L34" i="499"/>
  <c r="J34" i="499"/>
  <c r="I34" i="499"/>
  <c r="E34" i="499"/>
  <c r="L33" i="499"/>
  <c r="J33" i="499"/>
  <c r="K33" i="499" s="1"/>
  <c r="I33" i="499"/>
  <c r="E33" i="499"/>
  <c r="D33" i="499"/>
  <c r="L32" i="499"/>
  <c r="J32" i="499"/>
  <c r="K32" i="499" s="1"/>
  <c r="I32" i="499"/>
  <c r="E32" i="499"/>
  <c r="L31" i="499"/>
  <c r="J31" i="499"/>
  <c r="I31" i="499"/>
  <c r="E31" i="499"/>
  <c r="L30" i="499"/>
  <c r="J30" i="499"/>
  <c r="M30" i="499" s="1"/>
  <c r="I30" i="499"/>
  <c r="E30" i="499"/>
  <c r="D30" i="499"/>
  <c r="L29" i="499"/>
  <c r="J29" i="499"/>
  <c r="M29" i="499" s="1"/>
  <c r="I29" i="499"/>
  <c r="E29" i="499"/>
  <c r="L28" i="499"/>
  <c r="J28" i="499"/>
  <c r="I28" i="499"/>
  <c r="E28" i="499"/>
  <c r="L27" i="499"/>
  <c r="J27" i="499"/>
  <c r="I27" i="499"/>
  <c r="E27" i="499"/>
  <c r="L26" i="499"/>
  <c r="J26" i="499"/>
  <c r="I26" i="499"/>
  <c r="E26" i="499"/>
  <c r="L25" i="499"/>
  <c r="J25" i="499"/>
  <c r="M25" i="499" s="1"/>
  <c r="I25" i="499"/>
  <c r="E25" i="499"/>
  <c r="L24" i="499"/>
  <c r="J24" i="499"/>
  <c r="I24" i="499"/>
  <c r="E24" i="499"/>
  <c r="D24" i="499"/>
  <c r="L23" i="499"/>
  <c r="J23" i="499"/>
  <c r="I23" i="499"/>
  <c r="E23" i="499"/>
  <c r="L22" i="499"/>
  <c r="J22" i="499"/>
  <c r="M22" i="499" s="1"/>
  <c r="I22" i="499"/>
  <c r="E22" i="499"/>
  <c r="L21" i="499"/>
  <c r="J21" i="499"/>
  <c r="I21" i="499"/>
  <c r="E21" i="499"/>
  <c r="L20" i="499"/>
  <c r="J20" i="499"/>
  <c r="I20" i="499"/>
  <c r="E20" i="499"/>
  <c r="L19" i="499"/>
  <c r="J19" i="499"/>
  <c r="I19" i="499"/>
  <c r="E19" i="499"/>
  <c r="L18" i="499"/>
  <c r="J18" i="499"/>
  <c r="M18" i="499" s="1"/>
  <c r="N18" i="499" s="1"/>
  <c r="I18" i="499"/>
  <c r="E18" i="499"/>
  <c r="L17" i="499"/>
  <c r="J17" i="499"/>
  <c r="M17" i="499" s="1"/>
  <c r="I17" i="499"/>
  <c r="E17" i="499"/>
  <c r="L16" i="499"/>
  <c r="J16" i="499"/>
  <c r="I16" i="499"/>
  <c r="E16" i="499"/>
  <c r="L15" i="499"/>
  <c r="J15" i="499"/>
  <c r="M15" i="499" s="1"/>
  <c r="I15" i="499"/>
  <c r="E15" i="499"/>
  <c r="L14" i="499"/>
  <c r="J14" i="499"/>
  <c r="I14" i="499"/>
  <c r="E14" i="499"/>
  <c r="L13" i="499"/>
  <c r="J13" i="499"/>
  <c r="K13" i="499" s="1"/>
  <c r="I13" i="499"/>
  <c r="E13" i="499"/>
  <c r="L12" i="499"/>
  <c r="J12" i="499"/>
  <c r="I12" i="499"/>
  <c r="E12" i="499"/>
  <c r="L11" i="499"/>
  <c r="J11" i="499"/>
  <c r="M11" i="499" s="1"/>
  <c r="I11" i="499"/>
  <c r="E11" i="499"/>
  <c r="D11" i="499"/>
  <c r="L10" i="499"/>
  <c r="J10" i="499"/>
  <c r="M10" i="499" s="1"/>
  <c r="I10" i="499"/>
  <c r="E10" i="499"/>
  <c r="D10" i="499"/>
  <c r="L9" i="499"/>
  <c r="J9" i="499"/>
  <c r="I9" i="499"/>
  <c r="E9" i="499"/>
  <c r="L8" i="499"/>
  <c r="J8" i="499"/>
  <c r="K8" i="499" s="1"/>
  <c r="I8" i="499"/>
  <c r="E8" i="499"/>
  <c r="E7" i="499" s="1"/>
  <c r="D8" i="499"/>
  <c r="H7" i="499"/>
  <c r="F7" i="499"/>
  <c r="A3" i="499"/>
  <c r="O10" i="1053"/>
  <c r="L9" i="1053"/>
  <c r="J9" i="1053"/>
  <c r="M9" i="1053" s="1"/>
  <c r="N9" i="1053" s="1"/>
  <c r="I9" i="1053"/>
  <c r="Q9" i="1053" s="1"/>
  <c r="S9" i="1053" s="1"/>
  <c r="E9" i="1053"/>
  <c r="L8" i="1053"/>
  <c r="L7" i="1053" s="1"/>
  <c r="J8" i="1053"/>
  <c r="M8" i="1053" s="1"/>
  <c r="E8" i="1053"/>
  <c r="I8" i="1053" s="1"/>
  <c r="D8" i="1053"/>
  <c r="D7" i="1053" s="1"/>
  <c r="J7" i="1053"/>
  <c r="H7" i="1053"/>
  <c r="F7" i="1053"/>
  <c r="A3" i="1053"/>
  <c r="M10" i="1052"/>
  <c r="O10" i="1052" s="1"/>
  <c r="K10" i="1052"/>
  <c r="L9" i="1052"/>
  <c r="J9" i="1052"/>
  <c r="J7" i="1052" s="1"/>
  <c r="K7" i="1052" s="1"/>
  <c r="E9" i="1052"/>
  <c r="L8" i="1052"/>
  <c r="M8" i="1052" s="1"/>
  <c r="K8" i="1052"/>
  <c r="J8" i="1052"/>
  <c r="I8" i="1052"/>
  <c r="E8" i="1052"/>
  <c r="E7" i="1052" s="1"/>
  <c r="I7" i="1052"/>
  <c r="H7" i="1052"/>
  <c r="F7" i="1052"/>
  <c r="D7" i="1052"/>
  <c r="A3" i="1052"/>
  <c r="P36" i="1051"/>
  <c r="F36" i="1051"/>
  <c r="M36" i="1051" s="1"/>
  <c r="N35" i="1051"/>
  <c r="L35" i="1051"/>
  <c r="K35" i="1051"/>
  <c r="J35" i="1051"/>
  <c r="I35" i="1051"/>
  <c r="H35" i="1051"/>
  <c r="G35" i="1051"/>
  <c r="E35" i="1051"/>
  <c r="D35" i="1051"/>
  <c r="C35" i="1051"/>
  <c r="P34" i="1051"/>
  <c r="F34" i="1051"/>
  <c r="R34" i="1051" s="1"/>
  <c r="P33" i="1051"/>
  <c r="Q33" i="1051" s="1"/>
  <c r="F33" i="1051"/>
  <c r="P32" i="1051"/>
  <c r="Q32" i="1051" s="1"/>
  <c r="F32" i="1051"/>
  <c r="P31" i="1051"/>
  <c r="F31" i="1051"/>
  <c r="K31" i="1051" s="1"/>
  <c r="M31" i="1051" s="1"/>
  <c r="P30" i="1051"/>
  <c r="F30" i="1051"/>
  <c r="R30" i="1051" s="1"/>
  <c r="P29" i="1051"/>
  <c r="R29" i="1051" s="1"/>
  <c r="F29" i="1051"/>
  <c r="O29" i="1051" s="1"/>
  <c r="P28" i="1051"/>
  <c r="Q28" i="1051" s="1"/>
  <c r="O28" i="1051"/>
  <c r="F28" i="1051"/>
  <c r="M28" i="1051" s="1"/>
  <c r="N27" i="1051"/>
  <c r="N26" i="1051" s="1"/>
  <c r="L27" i="1051"/>
  <c r="L26" i="1051" s="1"/>
  <c r="F27" i="1051"/>
  <c r="K27" i="1051" s="1"/>
  <c r="J26" i="1051"/>
  <c r="I26" i="1051"/>
  <c r="H26" i="1051"/>
  <c r="G26" i="1051"/>
  <c r="E26" i="1051"/>
  <c r="D26" i="1051"/>
  <c r="C26" i="1051"/>
  <c r="P25" i="1051"/>
  <c r="P24" i="1051" s="1"/>
  <c r="M25" i="1051"/>
  <c r="F25" i="1051"/>
  <c r="F24" i="1051" s="1"/>
  <c r="N24" i="1051"/>
  <c r="L24" i="1051"/>
  <c r="J24" i="1051"/>
  <c r="I24" i="1051"/>
  <c r="H24" i="1051"/>
  <c r="G24" i="1051"/>
  <c r="E24" i="1051"/>
  <c r="D24" i="1051"/>
  <c r="C24" i="1051"/>
  <c r="P23" i="1051"/>
  <c r="F23" i="1051"/>
  <c r="K23" i="1051" s="1"/>
  <c r="P22" i="1051"/>
  <c r="F22" i="1051"/>
  <c r="K22" i="1051" s="1"/>
  <c r="R22" i="1051" s="1"/>
  <c r="P21" i="1051"/>
  <c r="F21" i="1051"/>
  <c r="K21" i="1051" s="1"/>
  <c r="P20" i="1051"/>
  <c r="F20" i="1051"/>
  <c r="K20" i="1051" s="1"/>
  <c r="M20" i="1051" s="1"/>
  <c r="P19" i="1051"/>
  <c r="F19" i="1051"/>
  <c r="K19" i="1051" s="1"/>
  <c r="P18" i="1051"/>
  <c r="F18" i="1051"/>
  <c r="K18" i="1051" s="1"/>
  <c r="P17" i="1051"/>
  <c r="F17" i="1051"/>
  <c r="P16" i="1051"/>
  <c r="F16" i="1051"/>
  <c r="K16" i="1051" s="1"/>
  <c r="P15" i="1051"/>
  <c r="F15" i="1051"/>
  <c r="K15" i="1051" s="1"/>
  <c r="P14" i="1051"/>
  <c r="F14" i="1051"/>
  <c r="K14" i="1051" s="1"/>
  <c r="R14" i="1051" s="1"/>
  <c r="P13" i="1051"/>
  <c r="F13" i="1051"/>
  <c r="K13" i="1051" s="1"/>
  <c r="P12" i="1051"/>
  <c r="K12" i="1051"/>
  <c r="R12" i="1051" s="1"/>
  <c r="F12" i="1051"/>
  <c r="P11" i="1051"/>
  <c r="F11" i="1051"/>
  <c r="K11" i="1051" s="1"/>
  <c r="P10" i="1051"/>
  <c r="F10" i="1051"/>
  <c r="K10" i="1051" s="1"/>
  <c r="P9" i="1051"/>
  <c r="F9" i="1051"/>
  <c r="K9" i="1051" s="1"/>
  <c r="P8" i="1051"/>
  <c r="O8" i="1051"/>
  <c r="K8" i="1051"/>
  <c r="M8" i="1051" s="1"/>
  <c r="P7" i="1051"/>
  <c r="G7" i="1051"/>
  <c r="K7" i="1051" s="1"/>
  <c r="R7" i="1051" s="1"/>
  <c r="N6" i="1051"/>
  <c r="L6" i="1051"/>
  <c r="J6" i="1051"/>
  <c r="I6" i="1051"/>
  <c r="I5" i="1051" s="1"/>
  <c r="H6" i="1051"/>
  <c r="E6" i="1051"/>
  <c r="E5" i="1051" s="1"/>
  <c r="D6" i="1051"/>
  <c r="C6" i="1051"/>
  <c r="F26" i="1060"/>
  <c r="H26" i="1060" s="1"/>
  <c r="D26" i="1060"/>
  <c r="D25" i="1060" s="1"/>
  <c r="C26" i="1060"/>
  <c r="K26" i="1060" s="1"/>
  <c r="K25" i="1060" s="1"/>
  <c r="F25" i="1060"/>
  <c r="F24" i="1060"/>
  <c r="H24" i="1060" s="1"/>
  <c r="I24" i="1060" s="1"/>
  <c r="D24" i="1060"/>
  <c r="C24" i="1060"/>
  <c r="K24" i="1060" s="1"/>
  <c r="K22" i="1060" s="1"/>
  <c r="K23" i="1060"/>
  <c r="I23" i="1060"/>
  <c r="H23" i="1060"/>
  <c r="H22" i="1060" s="1"/>
  <c r="F22" i="1060"/>
  <c r="D22" i="1060"/>
  <c r="F21" i="1060"/>
  <c r="H21" i="1060" s="1"/>
  <c r="D21" i="1060"/>
  <c r="E21" i="1060" s="1"/>
  <c r="C21" i="1060"/>
  <c r="F20" i="1060"/>
  <c r="H20" i="1060" s="1"/>
  <c r="I20" i="1060" s="1"/>
  <c r="D20" i="1060"/>
  <c r="E20" i="1060" s="1"/>
  <c r="C20" i="1060"/>
  <c r="F19" i="1060"/>
  <c r="H19" i="1060" s="1"/>
  <c r="D19" i="1060"/>
  <c r="C19" i="1060"/>
  <c r="C18" i="1060" s="1"/>
  <c r="D18" i="1060"/>
  <c r="E18" i="1060" s="1"/>
  <c r="F17" i="1060"/>
  <c r="G17" i="1060" s="1"/>
  <c r="D17" i="1060"/>
  <c r="H17" i="1060" s="1"/>
  <c r="C17" i="1060"/>
  <c r="F16" i="1060"/>
  <c r="J15" i="1060"/>
  <c r="K14" i="1060"/>
  <c r="I14" i="1060"/>
  <c r="H14" i="1060"/>
  <c r="G14" i="1060"/>
  <c r="E14" i="1060"/>
  <c r="K13" i="1060"/>
  <c r="H13" i="1060"/>
  <c r="I13" i="1060" s="1"/>
  <c r="F13" i="1060"/>
  <c r="G13" i="1060" s="1"/>
  <c r="D13" i="1060"/>
  <c r="E13" i="1060" s="1"/>
  <c r="C13" i="1060"/>
  <c r="F12" i="1060"/>
  <c r="G12" i="1060" s="1"/>
  <c r="D12" i="1060"/>
  <c r="H12" i="1060" s="1"/>
  <c r="I12" i="1060" s="1"/>
  <c r="C12" i="1060"/>
  <c r="K12" i="1060" s="1"/>
  <c r="F11" i="1060"/>
  <c r="G11" i="1060" s="1"/>
  <c r="D11" i="1060"/>
  <c r="H11" i="1060" s="1"/>
  <c r="C11" i="1060"/>
  <c r="F10" i="1060"/>
  <c r="H10" i="1060" s="1"/>
  <c r="D10" i="1060"/>
  <c r="E10" i="1060" s="1"/>
  <c r="C10" i="1060"/>
  <c r="H9" i="1060"/>
  <c r="I9" i="1060" s="1"/>
  <c r="E9" i="1060"/>
  <c r="C9" i="1060"/>
  <c r="K9" i="1060" s="1"/>
  <c r="J7" i="1060"/>
  <c r="M8" i="499" l="1"/>
  <c r="N8" i="499" s="1"/>
  <c r="M50" i="499"/>
  <c r="N50" i="499" s="1"/>
  <c r="M13" i="499"/>
  <c r="N13" i="499" s="1"/>
  <c r="M19" i="499"/>
  <c r="O9" i="499"/>
  <c r="N25" i="499"/>
  <c r="K39" i="499"/>
  <c r="M42" i="499"/>
  <c r="O42" i="499" s="1"/>
  <c r="M9" i="499"/>
  <c r="N9" i="499" s="1"/>
  <c r="K11" i="499"/>
  <c r="M45" i="499"/>
  <c r="N45" i="499" s="1"/>
  <c r="K48" i="499"/>
  <c r="O51" i="499"/>
  <c r="K9" i="499"/>
  <c r="M23" i="499"/>
  <c r="N23" i="499" s="1"/>
  <c r="K29" i="499"/>
  <c r="M34" i="499"/>
  <c r="O34" i="499" s="1"/>
  <c r="M48" i="499"/>
  <c r="N48" i="499" s="1"/>
  <c r="D7" i="499"/>
  <c r="M32" i="499"/>
  <c r="N32" i="499" s="1"/>
  <c r="M24" i="499"/>
  <c r="K30" i="499"/>
  <c r="M35" i="499"/>
  <c r="N35" i="499" s="1"/>
  <c r="M38" i="499"/>
  <c r="N38" i="499" s="1"/>
  <c r="N52" i="499"/>
  <c r="O52" i="499"/>
  <c r="K10" i="499"/>
  <c r="K12" i="499"/>
  <c r="M14" i="499"/>
  <c r="N14" i="499" s="1"/>
  <c r="K17" i="499"/>
  <c r="N29" i="499"/>
  <c r="N51" i="499"/>
  <c r="O8" i="499"/>
  <c r="M12" i="499"/>
  <c r="O12" i="499" s="1"/>
  <c r="O32" i="499"/>
  <c r="M33" i="499"/>
  <c r="N33" i="499" s="1"/>
  <c r="I7" i="499"/>
  <c r="M20" i="499"/>
  <c r="N20" i="499" s="1"/>
  <c r="O25" i="499"/>
  <c r="K27" i="499"/>
  <c r="K38" i="499"/>
  <c r="M47" i="499"/>
  <c r="N15" i="499"/>
  <c r="K18" i="499"/>
  <c r="L7" i="499"/>
  <c r="M36" i="499"/>
  <c r="O36" i="499" s="1"/>
  <c r="M41" i="499"/>
  <c r="O41" i="499" s="1"/>
  <c r="N17" i="499"/>
  <c r="K40" i="499"/>
  <c r="N30" i="499"/>
  <c r="O43" i="499"/>
  <c r="O48" i="499"/>
  <c r="N24" i="499"/>
  <c r="J7" i="499"/>
  <c r="K21" i="499"/>
  <c r="K28" i="499"/>
  <c r="O40" i="499"/>
  <c r="M26" i="499"/>
  <c r="N26" i="499" s="1"/>
  <c r="M39" i="499"/>
  <c r="N39" i="499" s="1"/>
  <c r="O44" i="499"/>
  <c r="M21" i="499"/>
  <c r="O21" i="499" s="1"/>
  <c r="K26" i="499"/>
  <c r="M28" i="499"/>
  <c r="N28" i="499" s="1"/>
  <c r="M31" i="499"/>
  <c r="K35" i="499"/>
  <c r="M37" i="499"/>
  <c r="N37" i="499" s="1"/>
  <c r="M44" i="499"/>
  <c r="N44" i="499" s="1"/>
  <c r="M46" i="499"/>
  <c r="O46" i="499" s="1"/>
  <c r="N41" i="499"/>
  <c r="O49" i="499"/>
  <c r="N49" i="499"/>
  <c r="N19" i="499"/>
  <c r="O19" i="499"/>
  <c r="N31" i="499"/>
  <c r="O31" i="499"/>
  <c r="O11" i="499"/>
  <c r="N11" i="499"/>
  <c r="O22" i="499"/>
  <c r="N22" i="499"/>
  <c r="O10" i="499"/>
  <c r="N10" i="499"/>
  <c r="N36" i="499"/>
  <c r="N47" i="499"/>
  <c r="O47" i="499"/>
  <c r="K16" i="499"/>
  <c r="O18" i="499"/>
  <c r="K25" i="499"/>
  <c r="M27" i="499"/>
  <c r="N27" i="499" s="1"/>
  <c r="O29" i="499"/>
  <c r="O30" i="499"/>
  <c r="K37" i="499"/>
  <c r="K15" i="499"/>
  <c r="K23" i="499"/>
  <c r="K24" i="499"/>
  <c r="K14" i="499"/>
  <c r="M16" i="499"/>
  <c r="N16" i="499" s="1"/>
  <c r="K22" i="499"/>
  <c r="O45" i="499"/>
  <c r="K52" i="499"/>
  <c r="O17" i="499"/>
  <c r="K51" i="499"/>
  <c r="O16" i="499"/>
  <c r="O37" i="499"/>
  <c r="K42" i="499"/>
  <c r="K50" i="499"/>
  <c r="O15" i="499"/>
  <c r="O24" i="499"/>
  <c r="K34" i="499"/>
  <c r="K49" i="499"/>
  <c r="K20" i="499"/>
  <c r="K19" i="499"/>
  <c r="K31" i="499"/>
  <c r="K41" i="499"/>
  <c r="N42" i="499"/>
  <c r="K47" i="499"/>
  <c r="O50" i="499"/>
  <c r="I7" i="1053"/>
  <c r="K7" i="1053" s="1"/>
  <c r="O8" i="1053"/>
  <c r="N8" i="1053"/>
  <c r="M7" i="1053"/>
  <c r="K9" i="1053"/>
  <c r="E7" i="1053"/>
  <c r="K8" i="1053"/>
  <c r="O9" i="1053"/>
  <c r="N8" i="1052"/>
  <c r="M7" i="1052"/>
  <c r="N7" i="1052" s="1"/>
  <c r="O8" i="1052"/>
  <c r="L7" i="1052"/>
  <c r="K9" i="1052"/>
  <c r="M9" i="1052"/>
  <c r="N10" i="1052"/>
  <c r="J5" i="1051"/>
  <c r="L5" i="1051"/>
  <c r="O25" i="1051"/>
  <c r="R32" i="1051"/>
  <c r="O32" i="1051"/>
  <c r="G6" i="1051"/>
  <c r="G5" i="1051" s="1"/>
  <c r="K29" i="1051"/>
  <c r="R10" i="1051"/>
  <c r="Q15" i="1051"/>
  <c r="H5" i="1051"/>
  <c r="M29" i="1051"/>
  <c r="Q34" i="1051"/>
  <c r="R16" i="1051"/>
  <c r="O16" i="1051"/>
  <c r="Q16" i="1051"/>
  <c r="M18" i="1051"/>
  <c r="Q18" i="1051"/>
  <c r="O18" i="1051"/>
  <c r="O20" i="1051"/>
  <c r="D5" i="1051"/>
  <c r="F6" i="1051"/>
  <c r="K34" i="1051"/>
  <c r="P6" i="1051"/>
  <c r="Q25" i="1051"/>
  <c r="P27" i="1051"/>
  <c r="Q27" i="1051" s="1"/>
  <c r="K30" i="1051"/>
  <c r="M30" i="1051" s="1"/>
  <c r="M34" i="1051"/>
  <c r="C5" i="1051"/>
  <c r="O34" i="1051"/>
  <c r="Q9" i="1051"/>
  <c r="R28" i="1051"/>
  <c r="K28" i="1051"/>
  <c r="Q31" i="1051"/>
  <c r="M24" i="1051"/>
  <c r="O36" i="1051"/>
  <c r="O24" i="1051"/>
  <c r="R25" i="1051"/>
  <c r="R24" i="1051" s="1"/>
  <c r="F35" i="1051"/>
  <c r="O35" i="1051" s="1"/>
  <c r="R36" i="1051"/>
  <c r="R35" i="1051" s="1"/>
  <c r="K25" i="1051"/>
  <c r="K24" i="1051" s="1"/>
  <c r="Q24" i="1051" s="1"/>
  <c r="R33" i="1051"/>
  <c r="Q36" i="1051"/>
  <c r="O27" i="1051"/>
  <c r="M27" i="1051"/>
  <c r="R21" i="1051"/>
  <c r="O21" i="1051"/>
  <c r="M21" i="1051"/>
  <c r="R9" i="1051"/>
  <c r="O9" i="1051"/>
  <c r="M9" i="1051"/>
  <c r="Q21" i="1051"/>
  <c r="O13" i="1051"/>
  <c r="M13" i="1051"/>
  <c r="R13" i="1051"/>
  <c r="M15" i="1051"/>
  <c r="R15" i="1051"/>
  <c r="O15" i="1051"/>
  <c r="O23" i="1051"/>
  <c r="R23" i="1051"/>
  <c r="M23" i="1051"/>
  <c r="O11" i="1051"/>
  <c r="M11" i="1051"/>
  <c r="R11" i="1051"/>
  <c r="R19" i="1051"/>
  <c r="O19" i="1051"/>
  <c r="M19" i="1051"/>
  <c r="Q23" i="1051"/>
  <c r="Q11" i="1051"/>
  <c r="Q19" i="1051"/>
  <c r="M10" i="1051"/>
  <c r="Q13" i="1051"/>
  <c r="K17" i="1051"/>
  <c r="Q17" i="1051" s="1"/>
  <c r="R18" i="1051"/>
  <c r="M22" i="1051"/>
  <c r="Q29" i="1051"/>
  <c r="O31" i="1051"/>
  <c r="K33" i="1051"/>
  <c r="Q8" i="1051"/>
  <c r="O10" i="1051"/>
  <c r="Q20" i="1051"/>
  <c r="O22" i="1051"/>
  <c r="M33" i="1051"/>
  <c r="R8" i="1051"/>
  <c r="M12" i="1051"/>
  <c r="R20" i="1051"/>
  <c r="F26" i="1051"/>
  <c r="F5" i="1051" s="1"/>
  <c r="O33" i="1051"/>
  <c r="P35" i="1051"/>
  <c r="Q10" i="1051"/>
  <c r="O12" i="1051"/>
  <c r="Q22" i="1051"/>
  <c r="R31" i="1051"/>
  <c r="M7" i="1051"/>
  <c r="M14" i="1051"/>
  <c r="N5" i="1051"/>
  <c r="O7" i="1051"/>
  <c r="Q12" i="1051"/>
  <c r="O14" i="1051"/>
  <c r="O30" i="1051"/>
  <c r="K32" i="1051"/>
  <c r="M16" i="1051"/>
  <c r="M32" i="1051"/>
  <c r="Q7" i="1051"/>
  <c r="Q14" i="1051"/>
  <c r="Q30" i="1051"/>
  <c r="I11" i="1060"/>
  <c r="K11" i="1060"/>
  <c r="K20" i="1060"/>
  <c r="I17" i="1060"/>
  <c r="H16" i="1060"/>
  <c r="K10" i="1060"/>
  <c r="K8" i="1060" s="1"/>
  <c r="K7" i="1060" s="1"/>
  <c r="H8" i="1060"/>
  <c r="I10" i="1060"/>
  <c r="I19" i="1060"/>
  <c r="H18" i="1060"/>
  <c r="I18" i="1060" s="1"/>
  <c r="K19" i="1060"/>
  <c r="E25" i="1060"/>
  <c r="K17" i="1060"/>
  <c r="K16" i="1060" s="1"/>
  <c r="K21" i="1060"/>
  <c r="I21" i="1060"/>
  <c r="I26" i="1060"/>
  <c r="H25" i="1060"/>
  <c r="I25" i="1060" s="1"/>
  <c r="G10" i="1060"/>
  <c r="G21" i="1060"/>
  <c r="F18" i="1060"/>
  <c r="E12" i="1060"/>
  <c r="G9" i="1060"/>
  <c r="E17" i="1060"/>
  <c r="G20" i="1060"/>
  <c r="C22" i="1060"/>
  <c r="E22" i="1060" s="1"/>
  <c r="C8" i="1060"/>
  <c r="C7" i="1060" s="1"/>
  <c r="E11" i="1060"/>
  <c r="C16" i="1060"/>
  <c r="C15" i="1060" s="1"/>
  <c r="D8" i="1060"/>
  <c r="D16" i="1060"/>
  <c r="F8" i="1060"/>
  <c r="C25" i="1060"/>
  <c r="G25" i="1060" s="1"/>
  <c r="N34" i="499" l="1"/>
  <c r="O13" i="499"/>
  <c r="N21" i="499"/>
  <c r="O38" i="499"/>
  <c r="O20" i="499"/>
  <c r="O35" i="499"/>
  <c r="O28" i="499"/>
  <c r="O23" i="499"/>
  <c r="N12" i="499"/>
  <c r="O33" i="499"/>
  <c r="K7" i="499"/>
  <c r="O14" i="499"/>
  <c r="N46" i="499"/>
  <c r="O39" i="499"/>
  <c r="O26" i="499"/>
  <c r="O27" i="499"/>
  <c r="M7" i="499"/>
  <c r="N7" i="499" s="1"/>
  <c r="N7" i="1053"/>
  <c r="O7" i="1053"/>
  <c r="O9" i="1052"/>
  <c r="O7" i="1052" s="1"/>
  <c r="N9" i="1052"/>
  <c r="M35" i="1051"/>
  <c r="K6" i="1051"/>
  <c r="M6" i="1051" s="1"/>
  <c r="Q35" i="1051"/>
  <c r="K26" i="1051"/>
  <c r="M26" i="1051" s="1"/>
  <c r="P26" i="1051"/>
  <c r="Q26" i="1051" s="1"/>
  <c r="R27" i="1051"/>
  <c r="R26" i="1051" s="1"/>
  <c r="R17" i="1051"/>
  <c r="R6" i="1051" s="1"/>
  <c r="O17" i="1051"/>
  <c r="M17" i="1051"/>
  <c r="G8" i="1060"/>
  <c r="G7" i="1060" s="1"/>
  <c r="F7" i="1060"/>
  <c r="H7" i="1060"/>
  <c r="I8" i="1060"/>
  <c r="I22" i="1060"/>
  <c r="C6" i="1060"/>
  <c r="D7" i="1060"/>
  <c r="E8" i="1060"/>
  <c r="H15" i="1060"/>
  <c r="I15" i="1060" s="1"/>
  <c r="I16" i="1060"/>
  <c r="G22" i="1060"/>
  <c r="D15" i="1060"/>
  <c r="E15" i="1060" s="1"/>
  <c r="E16" i="1060"/>
  <c r="G16" i="1060"/>
  <c r="G18" i="1060"/>
  <c r="F15" i="1060"/>
  <c r="G15" i="1060" s="1"/>
  <c r="K18" i="1060"/>
  <c r="K15" i="1060" s="1"/>
  <c r="K6" i="1060" s="1"/>
  <c r="O7" i="499" l="1"/>
  <c r="O6" i="1051"/>
  <c r="P5" i="1051"/>
  <c r="Q6" i="1051"/>
  <c r="K5" i="1051"/>
  <c r="M5" i="1051" s="1"/>
  <c r="O26" i="1051"/>
  <c r="R5" i="1051"/>
  <c r="O5" i="1051"/>
  <c r="Q5" i="1051"/>
  <c r="E7" i="1060"/>
  <c r="D6" i="1060"/>
  <c r="E6" i="1060" s="1"/>
  <c r="H6" i="1060"/>
  <c r="I6" i="1060" s="1"/>
  <c r="I7" i="1060"/>
  <c r="F6" i="1060"/>
  <c r="G6" i="1060" s="1"/>
  <c r="K8" i="1047" l="1"/>
  <c r="I8" i="1047"/>
  <c r="G8" i="1047"/>
  <c r="E8" i="1047"/>
  <c r="D8" i="1047"/>
  <c r="G84" i="1047"/>
  <c r="E84" i="1047"/>
  <c r="D84" i="1047"/>
  <c r="O84" i="1047" s="1"/>
  <c r="G83" i="1047"/>
  <c r="E83" i="1047"/>
  <c r="D83" i="1047"/>
  <c r="O83" i="1047" s="1"/>
  <c r="G82" i="1047"/>
  <c r="E82" i="1047"/>
  <c r="D82" i="1047"/>
  <c r="G81" i="1047"/>
  <c r="E81" i="1047"/>
  <c r="I81" i="1047" s="1"/>
  <c r="D81" i="1047"/>
  <c r="H81" i="1047" s="1"/>
  <c r="G80" i="1047"/>
  <c r="E80" i="1047"/>
  <c r="D80" i="1047"/>
  <c r="O80" i="1047" s="1"/>
  <c r="G79" i="1047"/>
  <c r="E79" i="1047"/>
  <c r="D79" i="1047"/>
  <c r="O79" i="1047" s="1"/>
  <c r="G78" i="1047"/>
  <c r="E78" i="1047"/>
  <c r="D78" i="1047"/>
  <c r="O78" i="1047" s="1"/>
  <c r="G77" i="1047"/>
  <c r="E77" i="1047"/>
  <c r="D77" i="1047"/>
  <c r="G76" i="1047"/>
  <c r="E76" i="1047"/>
  <c r="D76" i="1047"/>
  <c r="O76" i="1047" s="1"/>
  <c r="G75" i="1047"/>
  <c r="E75" i="1047"/>
  <c r="F75" i="1047" s="1"/>
  <c r="D75" i="1047"/>
  <c r="O75" i="1047" s="1"/>
  <c r="G74" i="1047"/>
  <c r="E74" i="1047"/>
  <c r="D74" i="1047"/>
  <c r="F74" i="1047" s="1"/>
  <c r="G73" i="1047"/>
  <c r="E73" i="1047"/>
  <c r="D73" i="1047"/>
  <c r="G72" i="1047"/>
  <c r="E72" i="1047"/>
  <c r="D72" i="1047"/>
  <c r="O72" i="1047" s="1"/>
  <c r="G71" i="1047"/>
  <c r="H71" i="1047" s="1"/>
  <c r="E71" i="1047"/>
  <c r="D71" i="1047"/>
  <c r="O71" i="1047" s="1"/>
  <c r="G70" i="1047"/>
  <c r="E70" i="1047"/>
  <c r="D70" i="1047"/>
  <c r="G69" i="1047"/>
  <c r="E69" i="1047"/>
  <c r="D69" i="1047"/>
  <c r="G68" i="1047"/>
  <c r="E68" i="1047"/>
  <c r="D68" i="1047"/>
  <c r="O68" i="1047" s="1"/>
  <c r="G67" i="1047"/>
  <c r="E67" i="1047"/>
  <c r="F67" i="1047" s="1"/>
  <c r="D67" i="1047"/>
  <c r="O67" i="1047" s="1"/>
  <c r="G66" i="1047"/>
  <c r="E66" i="1047"/>
  <c r="I66" i="1047" s="1"/>
  <c r="D66" i="1047"/>
  <c r="O66" i="1047" s="1"/>
  <c r="G65" i="1047"/>
  <c r="E65" i="1047"/>
  <c r="D65" i="1047"/>
  <c r="G64" i="1047"/>
  <c r="E64" i="1047"/>
  <c r="D64" i="1047"/>
  <c r="O64" i="1047" s="1"/>
  <c r="G63" i="1047"/>
  <c r="E63" i="1047"/>
  <c r="D63" i="1047"/>
  <c r="O63" i="1047" s="1"/>
  <c r="G62" i="1047"/>
  <c r="E62" i="1047"/>
  <c r="D62" i="1047"/>
  <c r="G61" i="1047"/>
  <c r="E61" i="1047"/>
  <c r="I61" i="1047" s="1"/>
  <c r="D61" i="1047"/>
  <c r="G60" i="1047"/>
  <c r="E60" i="1047"/>
  <c r="D60" i="1047"/>
  <c r="O60" i="1047" s="1"/>
  <c r="G59" i="1047"/>
  <c r="E59" i="1047"/>
  <c r="D59" i="1047"/>
  <c r="O59" i="1047" s="1"/>
  <c r="G58" i="1047"/>
  <c r="E58" i="1047"/>
  <c r="D58" i="1047"/>
  <c r="G57" i="1047"/>
  <c r="E57" i="1047"/>
  <c r="D57" i="1047"/>
  <c r="G56" i="1047"/>
  <c r="E56" i="1047"/>
  <c r="D56" i="1047"/>
  <c r="G55" i="1047"/>
  <c r="I55" i="1047" s="1"/>
  <c r="E55" i="1047"/>
  <c r="D55" i="1047"/>
  <c r="G54" i="1047"/>
  <c r="E54" i="1047"/>
  <c r="D54" i="1047"/>
  <c r="O54" i="1047" s="1"/>
  <c r="G53" i="1047"/>
  <c r="E53" i="1047"/>
  <c r="D53" i="1047"/>
  <c r="F53" i="1047" s="1"/>
  <c r="G52" i="1047"/>
  <c r="E52" i="1047"/>
  <c r="I52" i="1047" s="1"/>
  <c r="D52" i="1047"/>
  <c r="O52" i="1047" s="1"/>
  <c r="G51" i="1047"/>
  <c r="E51" i="1047"/>
  <c r="D51" i="1047"/>
  <c r="O51" i="1047" s="1"/>
  <c r="G50" i="1047"/>
  <c r="E50" i="1047"/>
  <c r="D50" i="1047"/>
  <c r="G49" i="1047"/>
  <c r="E49" i="1047"/>
  <c r="D49" i="1047"/>
  <c r="G48" i="1047"/>
  <c r="E48" i="1047"/>
  <c r="D48" i="1047"/>
  <c r="O48" i="1047" s="1"/>
  <c r="G47" i="1047"/>
  <c r="E47" i="1047"/>
  <c r="D47" i="1047"/>
  <c r="O47" i="1047" s="1"/>
  <c r="G46" i="1047"/>
  <c r="E46" i="1047"/>
  <c r="D46" i="1047"/>
  <c r="G45" i="1047"/>
  <c r="E45" i="1047"/>
  <c r="D45" i="1047"/>
  <c r="G44" i="1047"/>
  <c r="E44" i="1047"/>
  <c r="D44" i="1047"/>
  <c r="G43" i="1047"/>
  <c r="H43" i="1047" s="1"/>
  <c r="E43" i="1047"/>
  <c r="D43" i="1047"/>
  <c r="O43" i="1047" s="1"/>
  <c r="G42" i="1047"/>
  <c r="H42" i="1047" s="1"/>
  <c r="E42" i="1047"/>
  <c r="F42" i="1047" s="1"/>
  <c r="D42" i="1047"/>
  <c r="O42" i="1047" s="1"/>
  <c r="G41" i="1047"/>
  <c r="E41" i="1047"/>
  <c r="D41" i="1047"/>
  <c r="G40" i="1047"/>
  <c r="E40" i="1047"/>
  <c r="D40" i="1047"/>
  <c r="O40" i="1047" s="1"/>
  <c r="G39" i="1047"/>
  <c r="E39" i="1047"/>
  <c r="F39" i="1047" s="1"/>
  <c r="D39" i="1047"/>
  <c r="O39" i="1047" s="1"/>
  <c r="G38" i="1047"/>
  <c r="E38" i="1047"/>
  <c r="F38" i="1047" s="1"/>
  <c r="D38" i="1047"/>
  <c r="G37" i="1047"/>
  <c r="E37" i="1047"/>
  <c r="D37" i="1047"/>
  <c r="G36" i="1047"/>
  <c r="E36" i="1047"/>
  <c r="I36" i="1047" s="1"/>
  <c r="D36" i="1047"/>
  <c r="O36" i="1047" s="1"/>
  <c r="G35" i="1047"/>
  <c r="E35" i="1047"/>
  <c r="D35" i="1047"/>
  <c r="G34" i="1047"/>
  <c r="E34" i="1047"/>
  <c r="F34" i="1047" s="1"/>
  <c r="D34" i="1047"/>
  <c r="G33" i="1047"/>
  <c r="E33" i="1047"/>
  <c r="D33" i="1047"/>
  <c r="G32" i="1047"/>
  <c r="E32" i="1047"/>
  <c r="D32" i="1047"/>
  <c r="G31" i="1047"/>
  <c r="E31" i="1047"/>
  <c r="D31" i="1047"/>
  <c r="O31" i="1047" s="1"/>
  <c r="G30" i="1047"/>
  <c r="H30" i="1047" s="1"/>
  <c r="E30" i="1047"/>
  <c r="D30" i="1047"/>
  <c r="O30" i="1047" s="1"/>
  <c r="G29" i="1047"/>
  <c r="E29" i="1047"/>
  <c r="D29" i="1047"/>
  <c r="G28" i="1047"/>
  <c r="E28" i="1047"/>
  <c r="I28" i="1047" s="1"/>
  <c r="D28" i="1047"/>
  <c r="O28" i="1047" s="1"/>
  <c r="G27" i="1047"/>
  <c r="E27" i="1047"/>
  <c r="D27" i="1047"/>
  <c r="O27" i="1047" s="1"/>
  <c r="G26" i="1047"/>
  <c r="E26" i="1047"/>
  <c r="D26" i="1047"/>
  <c r="O26" i="1047" s="1"/>
  <c r="G25" i="1047"/>
  <c r="E25" i="1047"/>
  <c r="D25" i="1047"/>
  <c r="G24" i="1047"/>
  <c r="E24" i="1047"/>
  <c r="D24" i="1047"/>
  <c r="O24" i="1047" s="1"/>
  <c r="G23" i="1047"/>
  <c r="E23" i="1047"/>
  <c r="D23" i="1047"/>
  <c r="O23" i="1047" s="1"/>
  <c r="G22" i="1047"/>
  <c r="E22" i="1047"/>
  <c r="D22" i="1047"/>
  <c r="O22" i="1047" s="1"/>
  <c r="G21" i="1047"/>
  <c r="E21" i="1047"/>
  <c r="D21" i="1047"/>
  <c r="G20" i="1047"/>
  <c r="E20" i="1047"/>
  <c r="D20" i="1047"/>
  <c r="O20" i="1047" s="1"/>
  <c r="G19" i="1047"/>
  <c r="E19" i="1047"/>
  <c r="D19" i="1047"/>
  <c r="O19" i="1047" s="1"/>
  <c r="G18" i="1047"/>
  <c r="E18" i="1047"/>
  <c r="F18" i="1047" s="1"/>
  <c r="D18" i="1047"/>
  <c r="O18" i="1047" s="1"/>
  <c r="G17" i="1047"/>
  <c r="H17" i="1047" s="1"/>
  <c r="E17" i="1047"/>
  <c r="F17" i="1047" s="1"/>
  <c r="D17" i="1047"/>
  <c r="G16" i="1047"/>
  <c r="E16" i="1047"/>
  <c r="D16" i="1047"/>
  <c r="G15" i="1047"/>
  <c r="E15" i="1047"/>
  <c r="F15" i="1047" s="1"/>
  <c r="D15" i="1047"/>
  <c r="O15" i="1047" s="1"/>
  <c r="G14" i="1047"/>
  <c r="E14" i="1047"/>
  <c r="D14" i="1047"/>
  <c r="O14" i="1047" s="1"/>
  <c r="G13" i="1047"/>
  <c r="E13" i="1047"/>
  <c r="D13" i="1047"/>
  <c r="G12" i="1047"/>
  <c r="E12" i="1047"/>
  <c r="D12" i="1047"/>
  <c r="G11" i="1047"/>
  <c r="E11" i="1047"/>
  <c r="D11" i="1047"/>
  <c r="O11" i="1047" s="1"/>
  <c r="G10" i="1047"/>
  <c r="E10" i="1047"/>
  <c r="I10" i="1047" s="1"/>
  <c r="D10" i="1047"/>
  <c r="O10" i="1047" s="1"/>
  <c r="G9" i="1047"/>
  <c r="E9" i="1047"/>
  <c r="D9" i="1047"/>
  <c r="O9" i="1047" s="1"/>
  <c r="W8" i="1047"/>
  <c r="N8" i="1047"/>
  <c r="M8" i="1047"/>
  <c r="L8" i="1047"/>
  <c r="A3" i="1047"/>
  <c r="E29" i="1049"/>
  <c r="E26" i="1049"/>
  <c r="E23" i="1049"/>
  <c r="E30" i="1049" s="1"/>
  <c r="G19" i="1049"/>
  <c r="H19" i="1049" s="1"/>
  <c r="E19" i="1049"/>
  <c r="I19" i="1049" s="1"/>
  <c r="D19" i="1049"/>
  <c r="G18" i="1049"/>
  <c r="E18" i="1049"/>
  <c r="F18" i="1049" s="1"/>
  <c r="D18" i="1049"/>
  <c r="G17" i="1049"/>
  <c r="H17" i="1049" s="1"/>
  <c r="E17" i="1049"/>
  <c r="F17" i="1049" s="1"/>
  <c r="D17" i="1049"/>
  <c r="G16" i="1049"/>
  <c r="H16" i="1049" s="1"/>
  <c r="E16" i="1049"/>
  <c r="I16" i="1049" s="1"/>
  <c r="D16" i="1049"/>
  <c r="G15" i="1049"/>
  <c r="E15" i="1049"/>
  <c r="D15" i="1049"/>
  <c r="F15" i="1049" s="1"/>
  <c r="G14" i="1049"/>
  <c r="I14" i="1049" s="1"/>
  <c r="J14" i="1049" s="1"/>
  <c r="E14" i="1049"/>
  <c r="D14" i="1049"/>
  <c r="K14" i="1049" s="1"/>
  <c r="G13" i="1049"/>
  <c r="E13" i="1049"/>
  <c r="I13" i="1049" s="1"/>
  <c r="D13" i="1049"/>
  <c r="G12" i="1049"/>
  <c r="F12" i="1049"/>
  <c r="E12" i="1049"/>
  <c r="D12" i="1049"/>
  <c r="J11" i="1049"/>
  <c r="I11" i="1049"/>
  <c r="K11" i="1049" s="1"/>
  <c r="G11" i="1049"/>
  <c r="H11" i="1049" s="1"/>
  <c r="E11" i="1049"/>
  <c r="D11" i="1049"/>
  <c r="G10" i="1049"/>
  <c r="E10" i="1049"/>
  <c r="D10" i="1049"/>
  <c r="G9" i="1049"/>
  <c r="E9" i="1049"/>
  <c r="D9" i="1049"/>
  <c r="A3" i="1049"/>
  <c r="G22" i="1058"/>
  <c r="E22" i="1058"/>
  <c r="D22" i="1058"/>
  <c r="B22" i="1058"/>
  <c r="G21" i="1058"/>
  <c r="E21" i="1058"/>
  <c r="D21" i="1058"/>
  <c r="B21" i="1058"/>
  <c r="G20" i="1058"/>
  <c r="F20" i="1058"/>
  <c r="E20" i="1058"/>
  <c r="D20" i="1058"/>
  <c r="B20" i="1058"/>
  <c r="I19" i="1058"/>
  <c r="L19" i="1058" s="1"/>
  <c r="M19" i="1058" s="1"/>
  <c r="G19" i="1058"/>
  <c r="E19" i="1058"/>
  <c r="D19" i="1058"/>
  <c r="B19" i="1058"/>
  <c r="G18" i="1058"/>
  <c r="E18" i="1058"/>
  <c r="I18" i="1058" s="1"/>
  <c r="D18" i="1058"/>
  <c r="B18" i="1058"/>
  <c r="G17" i="1058"/>
  <c r="E17" i="1058"/>
  <c r="F17" i="1058" s="1"/>
  <c r="D17" i="1058"/>
  <c r="B17" i="1058"/>
  <c r="G16" i="1058"/>
  <c r="E16" i="1058"/>
  <c r="I16" i="1058" s="1"/>
  <c r="D16" i="1058"/>
  <c r="F16" i="1058" s="1"/>
  <c r="B16" i="1058"/>
  <c r="I15" i="1058"/>
  <c r="G15" i="1058"/>
  <c r="H15" i="1058" s="1"/>
  <c r="E15" i="1058"/>
  <c r="D15" i="1058"/>
  <c r="B15" i="1058"/>
  <c r="G14" i="1058"/>
  <c r="E14" i="1058"/>
  <c r="I14" i="1058" s="1"/>
  <c r="D14" i="1058"/>
  <c r="B14" i="1058"/>
  <c r="G13" i="1058"/>
  <c r="H13" i="1058" s="1"/>
  <c r="E13" i="1058"/>
  <c r="F13" i="1058" s="1"/>
  <c r="D13" i="1058"/>
  <c r="B13" i="1058"/>
  <c r="G12" i="1058"/>
  <c r="F12" i="1058"/>
  <c r="E12" i="1058"/>
  <c r="I12" i="1058" s="1"/>
  <c r="D12" i="1058"/>
  <c r="B12" i="1058"/>
  <c r="G11" i="1058"/>
  <c r="E11" i="1058"/>
  <c r="I11" i="1058" s="1"/>
  <c r="L11" i="1058" s="1"/>
  <c r="M11" i="1058" s="1"/>
  <c r="D11" i="1058"/>
  <c r="B11" i="1058"/>
  <c r="G10" i="1058"/>
  <c r="E10" i="1058"/>
  <c r="I10" i="1058" s="1"/>
  <c r="D10" i="1058"/>
  <c r="B10" i="1058"/>
  <c r="G9" i="1058"/>
  <c r="H9" i="1058" s="1"/>
  <c r="E9" i="1058"/>
  <c r="F9" i="1058" s="1"/>
  <c r="D9" i="1058"/>
  <c r="D8" i="1058" s="1"/>
  <c r="B9" i="1058"/>
  <c r="K8" i="1058"/>
  <c r="G8" i="1058"/>
  <c r="E8" i="1058"/>
  <c r="A3" i="1058"/>
  <c r="H41" i="1047" l="1"/>
  <c r="I69" i="1047"/>
  <c r="K69" i="1047" s="1"/>
  <c r="H53" i="1047"/>
  <c r="H57" i="1047"/>
  <c r="H77" i="1047"/>
  <c r="F70" i="1047"/>
  <c r="H12" i="1047"/>
  <c r="F24" i="1047"/>
  <c r="I40" i="1047"/>
  <c r="J40" i="1047" s="1"/>
  <c r="L40" i="1047" s="1"/>
  <c r="F64" i="1047"/>
  <c r="J10" i="1047"/>
  <c r="L10" i="1047" s="1"/>
  <c r="H21" i="1047"/>
  <c r="H29" i="1047"/>
  <c r="F48" i="1047"/>
  <c r="J52" i="1047"/>
  <c r="L52" i="1047" s="1"/>
  <c r="F60" i="1047"/>
  <c r="H10" i="1047"/>
  <c r="I67" i="1047"/>
  <c r="J67" i="1047" s="1"/>
  <c r="L67" i="1047" s="1"/>
  <c r="I74" i="1047"/>
  <c r="J74" i="1047" s="1"/>
  <c r="L74" i="1047" s="1"/>
  <c r="F78" i="1047"/>
  <c r="H78" i="1047"/>
  <c r="I18" i="1047"/>
  <c r="K18" i="1047" s="1"/>
  <c r="I57" i="1047"/>
  <c r="F19" i="1047"/>
  <c r="F27" i="1047"/>
  <c r="F72" i="1047"/>
  <c r="I12" i="1047"/>
  <c r="H19" i="1047"/>
  <c r="I46" i="1047"/>
  <c r="J46" i="1047" s="1"/>
  <c r="L46" i="1047" s="1"/>
  <c r="I54" i="1047"/>
  <c r="H72" i="1047"/>
  <c r="I76" i="1047"/>
  <c r="K76" i="1047" s="1"/>
  <c r="F63" i="1047"/>
  <c r="H55" i="1047"/>
  <c r="F62" i="1047"/>
  <c r="F9" i="1047"/>
  <c r="H24" i="1047"/>
  <c r="I47" i="1047"/>
  <c r="K47" i="1047" s="1"/>
  <c r="I62" i="1047"/>
  <c r="J62" i="1047" s="1"/>
  <c r="L62" i="1047" s="1"/>
  <c r="H66" i="1047"/>
  <c r="I73" i="1047"/>
  <c r="J73" i="1047" s="1"/>
  <c r="L73" i="1047" s="1"/>
  <c r="F77" i="1047"/>
  <c r="H84" i="1047"/>
  <c r="H23" i="1047"/>
  <c r="I31" i="1047"/>
  <c r="J31" i="1047" s="1"/>
  <c r="L31" i="1047" s="1"/>
  <c r="H45" i="1047"/>
  <c r="F55" i="1047"/>
  <c r="H65" i="1047"/>
  <c r="H27" i="1047"/>
  <c r="I42" i="1047"/>
  <c r="K42" i="1047" s="1"/>
  <c r="I45" i="1047"/>
  <c r="K45" i="1047" s="1"/>
  <c r="J55" i="1047"/>
  <c r="L55" i="1047" s="1"/>
  <c r="I59" i="1047"/>
  <c r="J59" i="1047" s="1"/>
  <c r="L59" i="1047" s="1"/>
  <c r="H68" i="1047"/>
  <c r="I75" i="1047"/>
  <c r="K75" i="1047" s="1"/>
  <c r="J28" i="1047"/>
  <c r="L28" i="1047" s="1"/>
  <c r="I49" i="1047"/>
  <c r="K49" i="1047" s="1"/>
  <c r="F82" i="1047"/>
  <c r="H28" i="1047"/>
  <c r="H32" i="1047"/>
  <c r="H69" i="1047"/>
  <c r="F79" i="1047"/>
  <c r="H33" i="1047"/>
  <c r="H60" i="1047"/>
  <c r="H18" i="1047"/>
  <c r="F29" i="1047"/>
  <c r="I33" i="1047"/>
  <c r="K33" i="1047" s="1"/>
  <c r="H40" i="1047"/>
  <c r="I43" i="1047"/>
  <c r="J43" i="1047" s="1"/>
  <c r="L43" i="1047" s="1"/>
  <c r="O53" i="1047"/>
  <c r="I60" i="1047"/>
  <c r="K60" i="1047" s="1"/>
  <c r="I70" i="1047"/>
  <c r="K70" i="1047" s="1"/>
  <c r="I83" i="1047"/>
  <c r="J83" i="1047" s="1"/>
  <c r="L83" i="1047" s="1"/>
  <c r="I37" i="1047"/>
  <c r="K37" i="1047" s="1"/>
  <c r="F51" i="1047"/>
  <c r="H26" i="1047"/>
  <c r="F41" i="1047"/>
  <c r="H48" i="1047"/>
  <c r="F54" i="1047"/>
  <c r="I64" i="1047"/>
  <c r="J64" i="1047" s="1"/>
  <c r="L64" i="1047" s="1"/>
  <c r="F84" i="1047"/>
  <c r="I16" i="1047"/>
  <c r="K16" i="1047" s="1"/>
  <c r="H54" i="1047"/>
  <c r="I58" i="1047"/>
  <c r="J58" i="1047" s="1"/>
  <c r="L58" i="1047" s="1"/>
  <c r="K81" i="1047"/>
  <c r="H15" i="1047"/>
  <c r="I25" i="1047"/>
  <c r="J25" i="1047" s="1"/>
  <c r="L25" i="1047" s="1"/>
  <c r="F36" i="1047"/>
  <c r="F46" i="1047"/>
  <c r="F52" i="1047"/>
  <c r="H59" i="1047"/>
  <c r="K67" i="1047"/>
  <c r="F31" i="1047"/>
  <c r="H52" i="1047"/>
  <c r="F65" i="1047"/>
  <c r="I79" i="1047"/>
  <c r="K79" i="1047" s="1"/>
  <c r="J18" i="1047"/>
  <c r="L18" i="1047" s="1"/>
  <c r="H20" i="1047"/>
  <c r="I23" i="1047"/>
  <c r="K23" i="1047" s="1"/>
  <c r="I26" i="1047"/>
  <c r="K26" i="1047" s="1"/>
  <c r="H36" i="1047"/>
  <c r="H31" i="1047"/>
  <c r="K55" i="1047"/>
  <c r="F8" i="1047"/>
  <c r="H47" i="1047"/>
  <c r="F50" i="1047"/>
  <c r="H67" i="1047"/>
  <c r="I21" i="1047"/>
  <c r="K21" i="1047" s="1"/>
  <c r="I50" i="1047"/>
  <c r="J50" i="1047" s="1"/>
  <c r="L50" i="1047" s="1"/>
  <c r="O65" i="1047"/>
  <c r="I72" i="1047"/>
  <c r="I78" i="1047"/>
  <c r="J78" i="1047" s="1"/>
  <c r="L78" i="1047" s="1"/>
  <c r="H83" i="1047"/>
  <c r="H80" i="1047"/>
  <c r="I30" i="1047"/>
  <c r="K30" i="1047" s="1"/>
  <c r="I19" i="1047"/>
  <c r="J19" i="1047" s="1"/>
  <c r="L19" i="1047" s="1"/>
  <c r="I27" i="1047"/>
  <c r="K27" i="1047" s="1"/>
  <c r="F30" i="1047"/>
  <c r="I35" i="1047"/>
  <c r="K35" i="1047" s="1"/>
  <c r="F58" i="1047"/>
  <c r="F66" i="1047"/>
  <c r="I22" i="1047"/>
  <c r="J22" i="1047" s="1"/>
  <c r="L22" i="1047" s="1"/>
  <c r="I24" i="1047"/>
  <c r="K24" i="1047" s="1"/>
  <c r="K28" i="1047"/>
  <c r="H35" i="1047"/>
  <c r="F43" i="1047"/>
  <c r="I84" i="1047"/>
  <c r="K84" i="1047" s="1"/>
  <c r="H11" i="1047"/>
  <c r="F22" i="1047"/>
  <c r="O35" i="1047"/>
  <c r="I38" i="1047"/>
  <c r="K38" i="1047" s="1"/>
  <c r="I48" i="1047"/>
  <c r="K48" i="1047" s="1"/>
  <c r="K52" i="1047"/>
  <c r="O55" i="1047"/>
  <c r="H64" i="1047"/>
  <c r="I71" i="1047"/>
  <c r="K71" i="1047" s="1"/>
  <c r="F10" i="1047"/>
  <c r="I34" i="1047"/>
  <c r="H73" i="1047"/>
  <c r="I14" i="1047"/>
  <c r="I32" i="1047"/>
  <c r="F32" i="1047"/>
  <c r="K59" i="1047"/>
  <c r="H34" i="1047"/>
  <c r="J36" i="1047"/>
  <c r="L36" i="1047" s="1"/>
  <c r="K57" i="1047"/>
  <c r="J57" i="1047"/>
  <c r="L57" i="1047" s="1"/>
  <c r="O61" i="1047"/>
  <c r="K61" i="1047"/>
  <c r="F61" i="1047"/>
  <c r="F16" i="1047"/>
  <c r="H14" i="1047"/>
  <c r="O13" i="1047"/>
  <c r="K54" i="1047"/>
  <c r="J54" i="1047"/>
  <c r="L54" i="1047" s="1"/>
  <c r="H61" i="1047"/>
  <c r="J70" i="1047"/>
  <c r="L70" i="1047" s="1"/>
  <c r="J81" i="1047"/>
  <c r="L81" i="1047" s="1"/>
  <c r="K10" i="1047"/>
  <c r="F25" i="1047"/>
  <c r="I44" i="1047"/>
  <c r="F44" i="1047"/>
  <c r="J61" i="1047"/>
  <c r="L61" i="1047" s="1"/>
  <c r="I68" i="1047"/>
  <c r="K68" i="1047" s="1"/>
  <c r="F68" i="1047"/>
  <c r="F13" i="1047"/>
  <c r="H16" i="1047"/>
  <c r="O12" i="1047"/>
  <c r="K12" i="1047"/>
  <c r="H13" i="1047"/>
  <c r="J16" i="1047"/>
  <c r="L16" i="1047" s="1"/>
  <c r="O37" i="1047"/>
  <c r="H70" i="1047"/>
  <c r="K72" i="1047"/>
  <c r="J72" i="1047"/>
  <c r="L72" i="1047" s="1"/>
  <c r="F11" i="1047"/>
  <c r="O25" i="1047"/>
  <c r="H46" i="1047"/>
  <c r="I11" i="1047"/>
  <c r="F12" i="1047"/>
  <c r="I13" i="1047"/>
  <c r="K13" i="1047" s="1"/>
  <c r="O16" i="1047"/>
  <c r="F37" i="1047"/>
  <c r="K74" i="1047"/>
  <c r="I20" i="1047"/>
  <c r="K20" i="1047" s="1"/>
  <c r="F20" i="1047"/>
  <c r="J37" i="1047"/>
  <c r="L37" i="1047" s="1"/>
  <c r="K58" i="1047"/>
  <c r="O49" i="1047"/>
  <c r="F49" i="1047"/>
  <c r="I80" i="1047"/>
  <c r="F80" i="1047"/>
  <c r="H9" i="1047"/>
  <c r="I9" i="1047"/>
  <c r="K36" i="1047"/>
  <c r="I56" i="1047"/>
  <c r="F56" i="1047"/>
  <c r="H58" i="1047"/>
  <c r="K66" i="1047"/>
  <c r="J66" i="1047"/>
  <c r="L66" i="1047" s="1"/>
  <c r="J69" i="1047"/>
  <c r="L69" i="1047" s="1"/>
  <c r="O73" i="1047"/>
  <c r="F73" i="1047"/>
  <c r="J30" i="1047"/>
  <c r="L30" i="1047" s="1"/>
  <c r="J12" i="1047"/>
  <c r="L12" i="1047" s="1"/>
  <c r="I15" i="1047"/>
  <c r="H22" i="1047"/>
  <c r="I82" i="1047"/>
  <c r="H82" i="1047"/>
  <c r="I17" i="1047"/>
  <c r="K17" i="1047" s="1"/>
  <c r="O21" i="1047"/>
  <c r="I29" i="1047"/>
  <c r="K29" i="1047" s="1"/>
  <c r="O33" i="1047"/>
  <c r="I41" i="1047"/>
  <c r="K41" i="1047" s="1"/>
  <c r="O45" i="1047"/>
  <c r="I53" i="1047"/>
  <c r="K53" i="1047" s="1"/>
  <c r="O57" i="1047"/>
  <c r="I65" i="1047"/>
  <c r="K65" i="1047" s="1"/>
  <c r="O69" i="1047"/>
  <c r="I77" i="1047"/>
  <c r="K77" i="1047" s="1"/>
  <c r="O81" i="1047"/>
  <c r="O38" i="1047"/>
  <c r="H39" i="1047"/>
  <c r="O50" i="1047"/>
  <c r="H51" i="1047"/>
  <c r="O62" i="1047"/>
  <c r="H63" i="1047"/>
  <c r="O74" i="1047"/>
  <c r="H75" i="1047"/>
  <c r="I39" i="1047"/>
  <c r="H44" i="1047"/>
  <c r="I51" i="1047"/>
  <c r="H56" i="1047"/>
  <c r="I63" i="1047"/>
  <c r="F23" i="1047"/>
  <c r="H25" i="1047"/>
  <c r="F35" i="1047"/>
  <c r="H37" i="1047"/>
  <c r="F47" i="1047"/>
  <c r="H49" i="1047"/>
  <c r="F59" i="1047"/>
  <c r="F71" i="1047"/>
  <c r="F83" i="1047"/>
  <c r="O17" i="1047"/>
  <c r="F28" i="1047"/>
  <c r="O29" i="1047"/>
  <c r="F40" i="1047"/>
  <c r="O41" i="1047"/>
  <c r="F76" i="1047"/>
  <c r="O77" i="1047"/>
  <c r="F21" i="1047"/>
  <c r="K32" i="1047"/>
  <c r="F33" i="1047"/>
  <c r="O34" i="1047"/>
  <c r="K44" i="1047"/>
  <c r="F45" i="1047"/>
  <c r="O46" i="1047"/>
  <c r="F57" i="1047"/>
  <c r="O58" i="1047"/>
  <c r="F69" i="1047"/>
  <c r="O70" i="1047"/>
  <c r="F81" i="1047"/>
  <c r="O82" i="1047"/>
  <c r="F14" i="1047"/>
  <c r="F26" i="1047"/>
  <c r="H76" i="1047"/>
  <c r="O32" i="1047"/>
  <c r="O44" i="1047"/>
  <c r="O56" i="1047"/>
  <c r="H38" i="1047"/>
  <c r="H50" i="1047"/>
  <c r="H62" i="1047"/>
  <c r="H74" i="1047"/>
  <c r="H79" i="1047"/>
  <c r="K17" i="1049"/>
  <c r="I10" i="1049"/>
  <c r="H10" i="1049"/>
  <c r="K10" i="1049"/>
  <c r="F11" i="1049"/>
  <c r="H13" i="1049"/>
  <c r="K16" i="1049"/>
  <c r="F14" i="1049"/>
  <c r="H14" i="1049"/>
  <c r="I17" i="1049"/>
  <c r="J17" i="1049" s="1"/>
  <c r="K19" i="1049"/>
  <c r="J19" i="1049"/>
  <c r="J16" i="1049"/>
  <c r="J10" i="1049"/>
  <c r="K13" i="1049"/>
  <c r="J13" i="1049"/>
  <c r="H9" i="1049"/>
  <c r="H12" i="1049"/>
  <c r="H15" i="1049"/>
  <c r="H18" i="1049"/>
  <c r="I9" i="1049"/>
  <c r="I12" i="1049"/>
  <c r="I15" i="1049"/>
  <c r="I18" i="1049"/>
  <c r="K18" i="1049" s="1"/>
  <c r="F9" i="1049"/>
  <c r="F10" i="1049"/>
  <c r="F13" i="1049"/>
  <c r="F16" i="1049"/>
  <c r="F19" i="1049"/>
  <c r="D8" i="1049"/>
  <c r="E8" i="1049"/>
  <c r="G8" i="1049"/>
  <c r="I13" i="1058"/>
  <c r="J13" i="1058" s="1"/>
  <c r="F18" i="1058"/>
  <c r="H11" i="1058"/>
  <c r="F21" i="1058"/>
  <c r="H21" i="1058"/>
  <c r="I9" i="1058"/>
  <c r="F14" i="1058"/>
  <c r="I21" i="1058"/>
  <c r="H19" i="1058"/>
  <c r="H17" i="1058"/>
  <c r="I22" i="1058"/>
  <c r="F10" i="1058"/>
  <c r="I17" i="1058"/>
  <c r="L17" i="1058" s="1"/>
  <c r="M17" i="1058" s="1"/>
  <c r="F22" i="1058"/>
  <c r="I20" i="1058"/>
  <c r="J20" i="1058" s="1"/>
  <c r="N18" i="1058"/>
  <c r="L18" i="1058"/>
  <c r="M18" i="1058" s="1"/>
  <c r="J18" i="1058"/>
  <c r="L12" i="1058"/>
  <c r="M12" i="1058" s="1"/>
  <c r="J12" i="1058"/>
  <c r="N12" i="1058"/>
  <c r="N14" i="1058"/>
  <c r="L14" i="1058"/>
  <c r="M14" i="1058" s="1"/>
  <c r="J14" i="1058"/>
  <c r="N10" i="1058"/>
  <c r="L10" i="1058"/>
  <c r="M10" i="1058" s="1"/>
  <c r="J10" i="1058"/>
  <c r="N16" i="1058"/>
  <c r="L16" i="1058"/>
  <c r="M16" i="1058" s="1"/>
  <c r="J16" i="1058"/>
  <c r="N22" i="1058"/>
  <c r="L22" i="1058"/>
  <c r="M22" i="1058" s="1"/>
  <c r="J22" i="1058"/>
  <c r="J15" i="1058"/>
  <c r="N11" i="1058"/>
  <c r="N15" i="1058"/>
  <c r="N19" i="1058"/>
  <c r="F8" i="1058"/>
  <c r="J21" i="1058"/>
  <c r="J9" i="1058"/>
  <c r="H16" i="1058"/>
  <c r="H20" i="1058"/>
  <c r="L21" i="1058"/>
  <c r="M21" i="1058" s="1"/>
  <c r="H8" i="1058"/>
  <c r="L9" i="1058"/>
  <c r="M9" i="1058" s="1"/>
  <c r="H12" i="1058"/>
  <c r="F11" i="1058"/>
  <c r="F15" i="1058"/>
  <c r="F19" i="1058"/>
  <c r="N9" i="1058"/>
  <c r="N13" i="1058"/>
  <c r="N21" i="1058"/>
  <c r="L15" i="1058"/>
  <c r="M15" i="1058" s="1"/>
  <c r="H18" i="1058"/>
  <c r="H22" i="1058"/>
  <c r="J11" i="1058"/>
  <c r="J19" i="1058"/>
  <c r="H10" i="1058"/>
  <c r="H14" i="1058"/>
  <c r="K46" i="1047" l="1"/>
  <c r="K73" i="1047"/>
  <c r="K40" i="1047"/>
  <c r="K31" i="1047"/>
  <c r="K43" i="1047"/>
  <c r="J71" i="1047"/>
  <c r="L71" i="1047" s="1"/>
  <c r="K62" i="1047"/>
  <c r="J45" i="1047"/>
  <c r="L45" i="1047" s="1"/>
  <c r="J49" i="1047"/>
  <c r="L49" i="1047" s="1"/>
  <c r="J24" i="1047"/>
  <c r="L24" i="1047" s="1"/>
  <c r="K83" i="1047"/>
  <c r="J48" i="1047"/>
  <c r="L48" i="1047" s="1"/>
  <c r="J42" i="1047"/>
  <c r="L42" i="1047" s="1"/>
  <c r="J76" i="1047"/>
  <c r="L76" i="1047" s="1"/>
  <c r="J47" i="1047"/>
  <c r="L47" i="1047" s="1"/>
  <c r="J33" i="1047"/>
  <c r="L33" i="1047" s="1"/>
  <c r="K22" i="1047"/>
  <c r="J60" i="1047"/>
  <c r="L60" i="1047" s="1"/>
  <c r="H8" i="1047"/>
  <c r="K64" i="1047"/>
  <c r="J75" i="1047"/>
  <c r="L75" i="1047" s="1"/>
  <c r="J35" i="1047"/>
  <c r="L35" i="1047" s="1"/>
  <c r="J21" i="1047"/>
  <c r="L21" i="1047" s="1"/>
  <c r="J84" i="1047"/>
  <c r="L84" i="1047" s="1"/>
  <c r="K25" i="1047"/>
  <c r="J79" i="1047"/>
  <c r="L79" i="1047" s="1"/>
  <c r="J38" i="1047"/>
  <c r="L38" i="1047" s="1"/>
  <c r="K78" i="1047"/>
  <c r="J27" i="1047"/>
  <c r="L27" i="1047" s="1"/>
  <c r="K50" i="1047"/>
  <c r="J26" i="1047"/>
  <c r="L26" i="1047" s="1"/>
  <c r="O8" i="1047"/>
  <c r="K19" i="1047"/>
  <c r="J23" i="1047"/>
  <c r="L23" i="1047" s="1"/>
  <c r="J65" i="1047"/>
  <c r="L65" i="1047" s="1"/>
  <c r="K15" i="1047"/>
  <c r="J15" i="1047"/>
  <c r="L15" i="1047" s="1"/>
  <c r="J29" i="1047"/>
  <c r="L29" i="1047" s="1"/>
  <c r="J80" i="1047"/>
  <c r="L80" i="1047" s="1"/>
  <c r="J32" i="1047"/>
  <c r="L32" i="1047" s="1"/>
  <c r="K34" i="1047"/>
  <c r="J34" i="1047"/>
  <c r="L34" i="1047" s="1"/>
  <c r="J56" i="1047"/>
  <c r="L56" i="1047" s="1"/>
  <c r="J68" i="1047"/>
  <c r="L68" i="1047" s="1"/>
  <c r="J53" i="1047"/>
  <c r="L53" i="1047" s="1"/>
  <c r="J77" i="1047"/>
  <c r="L77" i="1047" s="1"/>
  <c r="K80" i="1047"/>
  <c r="K51" i="1047"/>
  <c r="J51" i="1047"/>
  <c r="L51" i="1047" s="1"/>
  <c r="K56" i="1047"/>
  <c r="J41" i="1047"/>
  <c r="L41" i="1047" s="1"/>
  <c r="J44" i="1047"/>
  <c r="L44" i="1047" s="1"/>
  <c r="K14" i="1047"/>
  <c r="J14" i="1047"/>
  <c r="L14" i="1047" s="1"/>
  <c r="J17" i="1047"/>
  <c r="L17" i="1047" s="1"/>
  <c r="J9" i="1047"/>
  <c r="L9" i="1047" s="1"/>
  <c r="K9" i="1047"/>
  <c r="J13" i="1047"/>
  <c r="L13" i="1047" s="1"/>
  <c r="J8" i="1047"/>
  <c r="K39" i="1047"/>
  <c r="J39" i="1047"/>
  <c r="L39" i="1047" s="1"/>
  <c r="K63" i="1047"/>
  <c r="J63" i="1047"/>
  <c r="L63" i="1047" s="1"/>
  <c r="K82" i="1047"/>
  <c r="J82" i="1047"/>
  <c r="L82" i="1047" s="1"/>
  <c r="J20" i="1047"/>
  <c r="L20" i="1047" s="1"/>
  <c r="J11" i="1047"/>
  <c r="L11" i="1047" s="1"/>
  <c r="K11" i="1047"/>
  <c r="F8" i="1049"/>
  <c r="I8" i="1049"/>
  <c r="J9" i="1049"/>
  <c r="J15" i="1049"/>
  <c r="J12" i="1049"/>
  <c r="K15" i="1049"/>
  <c r="K12" i="1049"/>
  <c r="K8" i="1049"/>
  <c r="K9" i="1049"/>
  <c r="H8" i="1049"/>
  <c r="J18" i="1049"/>
  <c r="L20" i="1058"/>
  <c r="M20" i="1058" s="1"/>
  <c r="N17" i="1058"/>
  <c r="N8" i="1058" s="1"/>
  <c r="L13" i="1058"/>
  <c r="M13" i="1058" s="1"/>
  <c r="N20" i="1058"/>
  <c r="I8" i="1058"/>
  <c r="L8" i="1058" s="1"/>
  <c r="M8" i="1058" s="1"/>
  <c r="J17" i="1058"/>
  <c r="J8" i="1058"/>
  <c r="J8" i="1049" l="1"/>
  <c r="P29" i="1064" l="1"/>
  <c r="T29" i="1064" s="1"/>
  <c r="N29" i="1064"/>
  <c r="J29" i="1064"/>
  <c r="M29" i="1064" s="1"/>
  <c r="H29" i="1064"/>
  <c r="G29" i="1064"/>
  <c r="D29" i="1064"/>
  <c r="T28" i="1064"/>
  <c r="P28" i="1064"/>
  <c r="N28" i="1064"/>
  <c r="J28" i="1064"/>
  <c r="M28" i="1064" s="1"/>
  <c r="H28" i="1064"/>
  <c r="G28" i="1064"/>
  <c r="D28" i="1064"/>
  <c r="T27" i="1064"/>
  <c r="P27" i="1064"/>
  <c r="N27" i="1064"/>
  <c r="M27" i="1064"/>
  <c r="J27" i="1064"/>
  <c r="S13" i="1064"/>
  <c r="R13" i="1064"/>
  <c r="T13" i="1064" s="1"/>
  <c r="N13" i="1064"/>
  <c r="M13" i="1064"/>
  <c r="L13" i="1064"/>
  <c r="G13" i="1064"/>
  <c r="F13" i="1064"/>
  <c r="H13" i="1064" s="1"/>
  <c r="S12" i="1064"/>
  <c r="R12" i="1064"/>
  <c r="T12" i="1064" s="1"/>
  <c r="M12" i="1064"/>
  <c r="L12" i="1064"/>
  <c r="N12" i="1064" s="1"/>
  <c r="H12" i="1064"/>
  <c r="G12" i="1064"/>
  <c r="F12" i="1064"/>
  <c r="S11" i="1064"/>
  <c r="R11" i="1064"/>
  <c r="T11" i="1064" s="1"/>
  <c r="M11" i="1064"/>
  <c r="L11" i="1064"/>
  <c r="N11" i="1064" s="1"/>
  <c r="G11" i="1064"/>
  <c r="F11" i="1064"/>
  <c r="H11" i="1064" s="1"/>
  <c r="T10" i="1064"/>
  <c r="S10" i="1064"/>
  <c r="R10" i="1064"/>
  <c r="M10" i="1064"/>
  <c r="L10" i="1064"/>
  <c r="N10" i="1064" s="1"/>
  <c r="G10" i="1064"/>
  <c r="F10" i="1064"/>
  <c r="H10" i="1064" s="1"/>
  <c r="S9" i="1064"/>
  <c r="R9" i="1064"/>
  <c r="T9" i="1064" s="1"/>
  <c r="N9" i="1064"/>
  <c r="M9" i="1064"/>
  <c r="L9" i="1064"/>
  <c r="G9" i="1064"/>
  <c r="F9" i="1064"/>
  <c r="H9" i="1064" s="1"/>
  <c r="S8" i="1064"/>
  <c r="R8" i="1064"/>
  <c r="T8" i="1064" s="1"/>
  <c r="M8" i="1064"/>
  <c r="L8" i="1064"/>
  <c r="N8" i="1064" s="1"/>
  <c r="H8" i="1064"/>
  <c r="G8" i="1064"/>
  <c r="F8" i="1064"/>
  <c r="S7" i="1064"/>
  <c r="R7" i="1064"/>
  <c r="T7" i="1064" s="1"/>
  <c r="M7" i="1064"/>
  <c r="L7" i="1064"/>
  <c r="N7" i="1064" s="1"/>
  <c r="G7" i="1064"/>
  <c r="F7" i="1064"/>
  <c r="H7" i="1064" s="1"/>
  <c r="G53" i="1059" l="1"/>
  <c r="I53" i="1059" s="1"/>
  <c r="E53" i="1059"/>
  <c r="D53" i="1059"/>
  <c r="O53" i="1059" s="1"/>
  <c r="C53" i="1059"/>
  <c r="B53" i="1059"/>
  <c r="G52" i="1059"/>
  <c r="I52" i="1059" s="1"/>
  <c r="E52" i="1059"/>
  <c r="D52" i="1059"/>
  <c r="O52" i="1059" s="1"/>
  <c r="C52" i="1059"/>
  <c r="B52" i="1059"/>
  <c r="I51" i="1059"/>
  <c r="G51" i="1059"/>
  <c r="H51" i="1059" s="1"/>
  <c r="E51" i="1059"/>
  <c r="F51" i="1059" s="1"/>
  <c r="D51" i="1059"/>
  <c r="O51" i="1059" s="1"/>
  <c r="C51" i="1059"/>
  <c r="B51" i="1059"/>
  <c r="G50" i="1059"/>
  <c r="H50" i="1059" s="1"/>
  <c r="E50" i="1059"/>
  <c r="F50" i="1059" s="1"/>
  <c r="D50" i="1059"/>
  <c r="C50" i="1059"/>
  <c r="B50" i="1059"/>
  <c r="A50" i="1059"/>
  <c r="E49" i="1059"/>
  <c r="F49" i="1059" s="1"/>
  <c r="D49" i="1059"/>
  <c r="C49" i="1059"/>
  <c r="B49" i="1059"/>
  <c r="I48" i="1059"/>
  <c r="M48" i="1059" s="1"/>
  <c r="G47" i="1059"/>
  <c r="I47" i="1059" s="1"/>
  <c r="M47" i="1059" s="1"/>
  <c r="E47" i="1059"/>
  <c r="D47" i="1059"/>
  <c r="C47" i="1059"/>
  <c r="B47" i="1059"/>
  <c r="G46" i="1059"/>
  <c r="I46" i="1059" s="1"/>
  <c r="M46" i="1059" s="1"/>
  <c r="E46" i="1059"/>
  <c r="D46" i="1059"/>
  <c r="C46" i="1059"/>
  <c r="B46" i="1059"/>
  <c r="L45" i="1059"/>
  <c r="K45" i="1059"/>
  <c r="M45" i="1059" s="1"/>
  <c r="N45" i="1059" s="1"/>
  <c r="H45" i="1059"/>
  <c r="G45" i="1059"/>
  <c r="E45" i="1059"/>
  <c r="I45" i="1059" s="1"/>
  <c r="D45" i="1059"/>
  <c r="F45" i="1059" s="1"/>
  <c r="C45" i="1059"/>
  <c r="C9" i="1059" s="1"/>
  <c r="C7" i="1059" s="1"/>
  <c r="C6" i="1059" s="1"/>
  <c r="B45" i="1059"/>
  <c r="E44" i="1059"/>
  <c r="E43" i="1059" s="1"/>
  <c r="F43" i="1059" s="1"/>
  <c r="D44" i="1059"/>
  <c r="C44" i="1059"/>
  <c r="B44" i="1059"/>
  <c r="A44" i="1059"/>
  <c r="D43" i="1059"/>
  <c r="C43" i="1059"/>
  <c r="B43" i="1059"/>
  <c r="G42" i="1059"/>
  <c r="E42" i="1059"/>
  <c r="I42" i="1059" s="1"/>
  <c r="M42" i="1059" s="1"/>
  <c r="D42" i="1059"/>
  <c r="O42" i="1059" s="1"/>
  <c r="C42" i="1059"/>
  <c r="B42" i="1059"/>
  <c r="G41" i="1059"/>
  <c r="I41" i="1059" s="1"/>
  <c r="M41" i="1059" s="1"/>
  <c r="O41" i="1059" s="1"/>
  <c r="E41" i="1059"/>
  <c r="E12" i="1059" s="1"/>
  <c r="D41" i="1059"/>
  <c r="C41" i="1059"/>
  <c r="B41" i="1059"/>
  <c r="H40" i="1059"/>
  <c r="G40" i="1059"/>
  <c r="E40" i="1059"/>
  <c r="I40" i="1059" s="1"/>
  <c r="D40" i="1059"/>
  <c r="O40" i="1059" s="1"/>
  <c r="C40" i="1059"/>
  <c r="B40" i="1059"/>
  <c r="H39" i="1059"/>
  <c r="G39" i="1059"/>
  <c r="D39" i="1059"/>
  <c r="C39" i="1059"/>
  <c r="B39" i="1059"/>
  <c r="A39" i="1059"/>
  <c r="G38" i="1059"/>
  <c r="H38" i="1059" s="1"/>
  <c r="D38" i="1059"/>
  <c r="C38" i="1059"/>
  <c r="B38" i="1059"/>
  <c r="A38" i="1059"/>
  <c r="I37" i="1059"/>
  <c r="J37" i="1059" s="1"/>
  <c r="H37" i="1059"/>
  <c r="D37" i="1059"/>
  <c r="O37" i="1059" s="1"/>
  <c r="B37" i="1059"/>
  <c r="G36" i="1059"/>
  <c r="I36" i="1059" s="1"/>
  <c r="J36" i="1059" s="1"/>
  <c r="E36" i="1059"/>
  <c r="F36" i="1059" s="1"/>
  <c r="D36" i="1059"/>
  <c r="O36" i="1059" s="1"/>
  <c r="B36" i="1059"/>
  <c r="I35" i="1059"/>
  <c r="I34" i="1059" s="1"/>
  <c r="G35" i="1059"/>
  <c r="H35" i="1059" s="1"/>
  <c r="E35" i="1059"/>
  <c r="F35" i="1059" s="1"/>
  <c r="D35" i="1059"/>
  <c r="O35" i="1059" s="1"/>
  <c r="B35" i="1059"/>
  <c r="A35" i="1059"/>
  <c r="G34" i="1059"/>
  <c r="H34" i="1059" s="1"/>
  <c r="E34" i="1059"/>
  <c r="F34" i="1059" s="1"/>
  <c r="D34" i="1059"/>
  <c r="O34" i="1059" s="1"/>
  <c r="B34" i="1059"/>
  <c r="A34" i="1059"/>
  <c r="I33" i="1059"/>
  <c r="O33" i="1059" s="1"/>
  <c r="G33" i="1059"/>
  <c r="E33" i="1059"/>
  <c r="D33" i="1059"/>
  <c r="C33" i="1059"/>
  <c r="B33" i="1059"/>
  <c r="B13" i="1059" s="1"/>
  <c r="K32" i="1059"/>
  <c r="I32" i="1059"/>
  <c r="M32" i="1059" s="1"/>
  <c r="N32" i="1059" s="1"/>
  <c r="G32" i="1059"/>
  <c r="H32" i="1059" s="1"/>
  <c r="E32" i="1059"/>
  <c r="F32" i="1059" s="1"/>
  <c r="D32" i="1059"/>
  <c r="O32" i="1059" s="1"/>
  <c r="C32" i="1059"/>
  <c r="B32" i="1059"/>
  <c r="I31" i="1059"/>
  <c r="M31" i="1059" s="1"/>
  <c r="N31" i="1059" s="1"/>
  <c r="G31" i="1059"/>
  <c r="H31" i="1059" s="1"/>
  <c r="E31" i="1059"/>
  <c r="F31" i="1059" s="1"/>
  <c r="D31" i="1059"/>
  <c r="O31" i="1059" s="1"/>
  <c r="C31" i="1059"/>
  <c r="B31" i="1059"/>
  <c r="L30" i="1059"/>
  <c r="K30" i="1059"/>
  <c r="G30" i="1059"/>
  <c r="H30" i="1059" s="1"/>
  <c r="E30" i="1059"/>
  <c r="F30" i="1059" s="1"/>
  <c r="D30" i="1059"/>
  <c r="C30" i="1059"/>
  <c r="B30" i="1059"/>
  <c r="A30" i="1059"/>
  <c r="I29" i="1059"/>
  <c r="M29" i="1059" s="1"/>
  <c r="G29" i="1059"/>
  <c r="E29" i="1059"/>
  <c r="C29" i="1059"/>
  <c r="D29" i="1059" s="1"/>
  <c r="K28" i="1059"/>
  <c r="M28" i="1059" s="1"/>
  <c r="I28" i="1059"/>
  <c r="G28" i="1059"/>
  <c r="E28" i="1059"/>
  <c r="C28" i="1059"/>
  <c r="B28" i="1059"/>
  <c r="D28" i="1059" s="1"/>
  <c r="I27" i="1059"/>
  <c r="M27" i="1059" s="1"/>
  <c r="G27" i="1059"/>
  <c r="H27" i="1059" s="1"/>
  <c r="E27" i="1059"/>
  <c r="F27" i="1059" s="1"/>
  <c r="B27" i="1059"/>
  <c r="D27" i="1059" s="1"/>
  <c r="D11" i="1059" s="1"/>
  <c r="O11" i="1059" s="1"/>
  <c r="I26" i="1059"/>
  <c r="I25" i="1059" s="1"/>
  <c r="J25" i="1059" s="1"/>
  <c r="G26" i="1059"/>
  <c r="H26" i="1059" s="1"/>
  <c r="E26" i="1059"/>
  <c r="C26" i="1059"/>
  <c r="C25" i="1059" s="1"/>
  <c r="B26" i="1059"/>
  <c r="D26" i="1059" s="1"/>
  <c r="K25" i="1059"/>
  <c r="M25" i="1059" s="1"/>
  <c r="N25" i="1059" s="1"/>
  <c r="E25" i="1059"/>
  <c r="F25" i="1059" s="1"/>
  <c r="D25" i="1059"/>
  <c r="O25" i="1059" s="1"/>
  <c r="B25" i="1059"/>
  <c r="A25" i="1059"/>
  <c r="G24" i="1059"/>
  <c r="I24" i="1059" s="1"/>
  <c r="M24" i="1059" s="1"/>
  <c r="E24" i="1059"/>
  <c r="D24" i="1059"/>
  <c r="O24" i="1059" s="1"/>
  <c r="C24" i="1059"/>
  <c r="B24" i="1059"/>
  <c r="K23" i="1059"/>
  <c r="M23" i="1059" s="1"/>
  <c r="O23" i="1059" s="1"/>
  <c r="I23" i="1059"/>
  <c r="J23" i="1059" s="1"/>
  <c r="G23" i="1059"/>
  <c r="H23" i="1059" s="1"/>
  <c r="E23" i="1059"/>
  <c r="F23" i="1059" s="1"/>
  <c r="D23" i="1059"/>
  <c r="C23" i="1059"/>
  <c r="B23" i="1059"/>
  <c r="K22" i="1059"/>
  <c r="K21" i="1059" s="1"/>
  <c r="G22" i="1059"/>
  <c r="I22" i="1059" s="1"/>
  <c r="E22" i="1059"/>
  <c r="D22" i="1059"/>
  <c r="H22" i="1059" s="1"/>
  <c r="C22" i="1059"/>
  <c r="C11" i="1059" s="1"/>
  <c r="C10" i="1059" s="1"/>
  <c r="B22" i="1059"/>
  <c r="E21" i="1059"/>
  <c r="F21" i="1059" s="1"/>
  <c r="D21" i="1059"/>
  <c r="C21" i="1059"/>
  <c r="B21" i="1059"/>
  <c r="A21" i="1059"/>
  <c r="D20" i="1059"/>
  <c r="C20" i="1059"/>
  <c r="B20" i="1059"/>
  <c r="G19" i="1059"/>
  <c r="I19" i="1059" s="1"/>
  <c r="E19" i="1059"/>
  <c r="E15" i="1059" s="1"/>
  <c r="D19" i="1059"/>
  <c r="C19" i="1059"/>
  <c r="B19" i="1059"/>
  <c r="I18" i="1059"/>
  <c r="M18" i="1059" s="1"/>
  <c r="N18" i="1059" s="1"/>
  <c r="G18" i="1059"/>
  <c r="E18" i="1059"/>
  <c r="D18" i="1059"/>
  <c r="C18" i="1059"/>
  <c r="B18" i="1059"/>
  <c r="I17" i="1059"/>
  <c r="M17" i="1059" s="1"/>
  <c r="N17" i="1059" s="1"/>
  <c r="G17" i="1059"/>
  <c r="H17" i="1059" s="1"/>
  <c r="E17" i="1059"/>
  <c r="F17" i="1059" s="1"/>
  <c r="D17" i="1059"/>
  <c r="O17" i="1059" s="1"/>
  <c r="C17" i="1059"/>
  <c r="B17" i="1059"/>
  <c r="I16" i="1059"/>
  <c r="I8" i="1059" s="1"/>
  <c r="G16" i="1059"/>
  <c r="H16" i="1059" s="1"/>
  <c r="E16" i="1059"/>
  <c r="F16" i="1059" s="1"/>
  <c r="D16" i="1059"/>
  <c r="C16" i="1059"/>
  <c r="B16" i="1059"/>
  <c r="G15" i="1059"/>
  <c r="H15" i="1059" s="1"/>
  <c r="D15" i="1059"/>
  <c r="C15" i="1059"/>
  <c r="B15" i="1059"/>
  <c r="A15" i="1059"/>
  <c r="D14" i="1059"/>
  <c r="C14" i="1059"/>
  <c r="B14" i="1059"/>
  <c r="G13" i="1059"/>
  <c r="E13" i="1059"/>
  <c r="C13" i="1059"/>
  <c r="K12" i="1059"/>
  <c r="G12" i="1059"/>
  <c r="C12" i="1059"/>
  <c r="B12" i="1059"/>
  <c r="B10" i="1059" s="1"/>
  <c r="K11" i="1059"/>
  <c r="K10" i="1059" s="1"/>
  <c r="I11" i="1059"/>
  <c r="G11" i="1059"/>
  <c r="H11" i="1059" s="1"/>
  <c r="E11" i="1059"/>
  <c r="F11" i="1059" s="1"/>
  <c r="B11" i="1059"/>
  <c r="G9" i="1059"/>
  <c r="B9" i="1059"/>
  <c r="G8" i="1059"/>
  <c r="H8" i="1059" s="1"/>
  <c r="F8" i="1059"/>
  <c r="E8" i="1059"/>
  <c r="D8" i="1059"/>
  <c r="C8" i="1059"/>
  <c r="B8" i="1059"/>
  <c r="K7" i="1059"/>
  <c r="A3" i="1059"/>
  <c r="O26" i="1059" l="1"/>
  <c r="L26" i="1059"/>
  <c r="D9" i="1059"/>
  <c r="H28" i="1059"/>
  <c r="J11" i="1059"/>
  <c r="J28" i="1059"/>
  <c r="E10" i="1059"/>
  <c r="I12" i="1059"/>
  <c r="B7" i="1059"/>
  <c r="B6" i="1059" s="1"/>
  <c r="K6" i="1059"/>
  <c r="F26" i="1059"/>
  <c r="N28" i="1059"/>
  <c r="O44" i="1059"/>
  <c r="O46" i="1059"/>
  <c r="I50" i="1059"/>
  <c r="K20" i="1059"/>
  <c r="L21" i="1059"/>
  <c r="M40" i="1059"/>
  <c r="N40" i="1059" s="1"/>
  <c r="J40" i="1059"/>
  <c r="I39" i="1059"/>
  <c r="O39" i="1059" s="1"/>
  <c r="J45" i="1059"/>
  <c r="I44" i="1059"/>
  <c r="O45" i="1059"/>
  <c r="O47" i="1059"/>
  <c r="O48" i="1059"/>
  <c r="N48" i="1059"/>
  <c r="M8" i="1059"/>
  <c r="N8" i="1059" s="1"/>
  <c r="J8" i="1059"/>
  <c r="F15" i="1059"/>
  <c r="E14" i="1059"/>
  <c r="I15" i="1059"/>
  <c r="F29" i="1059"/>
  <c r="D13" i="1059"/>
  <c r="O29" i="1059"/>
  <c r="H29" i="1059"/>
  <c r="O8" i="1059"/>
  <c r="O15" i="1059"/>
  <c r="M19" i="1059"/>
  <c r="I13" i="1059"/>
  <c r="M13" i="1059" s="1"/>
  <c r="I21" i="1059"/>
  <c r="O21" i="1059" s="1"/>
  <c r="M22" i="1059"/>
  <c r="N22" i="1059" s="1"/>
  <c r="J22" i="1059"/>
  <c r="N29" i="1059"/>
  <c r="O50" i="1059"/>
  <c r="O18" i="1059"/>
  <c r="N27" i="1059"/>
  <c r="M34" i="1059"/>
  <c r="N34" i="1059" s="1"/>
  <c r="J34" i="1059"/>
  <c r="F28" i="1059"/>
  <c r="D12" i="1059"/>
  <c r="F12" i="1059" s="1"/>
  <c r="O28" i="1059"/>
  <c r="L11" i="1059"/>
  <c r="J16" i="1059"/>
  <c r="J17" i="1059"/>
  <c r="L25" i="1059"/>
  <c r="J26" i="1059"/>
  <c r="J27" i="1059"/>
  <c r="H36" i="1059"/>
  <c r="F44" i="1059"/>
  <c r="M11" i="1059"/>
  <c r="N11" i="1059" s="1"/>
  <c r="M16" i="1059"/>
  <c r="N16" i="1059" s="1"/>
  <c r="E20" i="1059"/>
  <c r="F20" i="1059" s="1"/>
  <c r="J29" i="1059"/>
  <c r="I30" i="1059"/>
  <c r="J30" i="1059" s="1"/>
  <c r="G44" i="1059"/>
  <c r="G49" i="1059"/>
  <c r="H49" i="1059" s="1"/>
  <c r="G7" i="1059"/>
  <c r="E9" i="1059"/>
  <c r="L23" i="1059"/>
  <c r="M26" i="1059"/>
  <c r="N26" i="1059" s="1"/>
  <c r="L28" i="1059"/>
  <c r="O22" i="1059"/>
  <c r="O27" i="1059"/>
  <c r="E39" i="1059"/>
  <c r="G10" i="1059"/>
  <c r="J31" i="1059"/>
  <c r="J32" i="1059"/>
  <c r="J33" i="1059"/>
  <c r="J35" i="1059"/>
  <c r="F40" i="1059"/>
  <c r="K44" i="1059"/>
  <c r="J51" i="1059"/>
  <c r="G21" i="1059"/>
  <c r="M33" i="1059"/>
  <c r="N33" i="1059" s="1"/>
  <c r="F37" i="1059"/>
  <c r="M51" i="1059"/>
  <c r="N51" i="1059" s="1"/>
  <c r="I10" i="1059"/>
  <c r="F22" i="1059"/>
  <c r="G25" i="1059"/>
  <c r="H25" i="1059" s="1"/>
  <c r="L32" i="1059"/>
  <c r="G14" i="1059"/>
  <c r="H14" i="1059" s="1"/>
  <c r="L9" i="1059" l="1"/>
  <c r="D7" i="1059"/>
  <c r="H7" i="1059" s="1"/>
  <c r="H21" i="1059"/>
  <c r="G20" i="1059"/>
  <c r="H20" i="1059" s="1"/>
  <c r="H12" i="1059"/>
  <c r="M21" i="1059"/>
  <c r="N21" i="1059" s="1"/>
  <c r="M20" i="1059"/>
  <c r="N20" i="1059" s="1"/>
  <c r="L20" i="1059"/>
  <c r="F9" i="1059"/>
  <c r="E7" i="1059"/>
  <c r="G6" i="1059"/>
  <c r="O16" i="1059"/>
  <c r="O30" i="1059"/>
  <c r="M50" i="1059"/>
  <c r="N50" i="1059" s="1"/>
  <c r="J50" i="1059"/>
  <c r="I49" i="1059"/>
  <c r="O19" i="1059"/>
  <c r="N19" i="1059"/>
  <c r="M12" i="1059"/>
  <c r="N12" i="1059" s="1"/>
  <c r="J12" i="1059"/>
  <c r="M30" i="1059"/>
  <c r="N30" i="1059" s="1"/>
  <c r="O12" i="1059"/>
  <c r="D10" i="1059"/>
  <c r="G43" i="1059"/>
  <c r="H44" i="1059"/>
  <c r="O13" i="1059"/>
  <c r="L13" i="1059"/>
  <c r="L12" i="1059"/>
  <c r="J44" i="1059"/>
  <c r="I43" i="1059"/>
  <c r="H9" i="1059"/>
  <c r="M15" i="1059"/>
  <c r="N15" i="1059" s="1"/>
  <c r="J15" i="1059"/>
  <c r="F39" i="1059"/>
  <c r="E38" i="1059"/>
  <c r="I14" i="1059"/>
  <c r="F14" i="1059"/>
  <c r="M39" i="1059"/>
  <c r="N39" i="1059" s="1"/>
  <c r="J39" i="1059"/>
  <c r="M10" i="1059"/>
  <c r="N10" i="1059" s="1"/>
  <c r="J21" i="1059"/>
  <c r="I20" i="1059"/>
  <c r="M44" i="1059"/>
  <c r="N44" i="1059" s="1"/>
  <c r="L44" i="1059"/>
  <c r="K43" i="1059"/>
  <c r="F10" i="1059"/>
  <c r="I9" i="1059"/>
  <c r="O10" i="1059" l="1"/>
  <c r="L10" i="1059"/>
  <c r="E6" i="1059"/>
  <c r="F7" i="1059"/>
  <c r="J20" i="1059"/>
  <c r="O20" i="1059"/>
  <c r="J43" i="1059"/>
  <c r="O43" i="1059"/>
  <c r="O49" i="1059"/>
  <c r="J49" i="1059"/>
  <c r="M49" i="1059"/>
  <c r="N49" i="1059" s="1"/>
  <c r="M9" i="1059"/>
  <c r="N9" i="1059" s="1"/>
  <c r="J9" i="1059"/>
  <c r="I7" i="1059"/>
  <c r="H43" i="1059"/>
  <c r="J14" i="1059"/>
  <c r="M14" i="1059"/>
  <c r="N14" i="1059" s="1"/>
  <c r="O14" i="1059"/>
  <c r="M43" i="1059"/>
  <c r="N43" i="1059" s="1"/>
  <c r="L43" i="1059"/>
  <c r="F38" i="1059"/>
  <c r="I38" i="1059"/>
  <c r="J10" i="1059"/>
  <c r="O7" i="1059"/>
  <c r="D6" i="1059"/>
  <c r="H6" i="1059" s="1"/>
  <c r="L7" i="1059"/>
  <c r="H10" i="1059"/>
  <c r="O9" i="1059"/>
  <c r="M38" i="1059" l="1"/>
  <c r="N38" i="1059" s="1"/>
  <c r="J38" i="1059"/>
  <c r="O38" i="1059"/>
  <c r="L6" i="1059"/>
  <c r="J7" i="1059"/>
  <c r="I6" i="1059"/>
  <c r="M7" i="1059"/>
  <c r="N7" i="1059" s="1"/>
  <c r="F6" i="1059"/>
  <c r="J6" i="1059" l="1"/>
  <c r="M6" i="1059"/>
  <c r="N6" i="1059" s="1"/>
  <c r="O6" i="1059"/>
</calcChain>
</file>

<file path=xl/sharedStrings.xml><?xml version="1.0" encoding="utf-8"?>
<sst xmlns="http://schemas.openxmlformats.org/spreadsheetml/2006/main" count="1330" uniqueCount="721">
  <si>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</si>
  <si>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</si>
  <si>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</si>
  <si>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</si>
  <si>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</si>
  <si>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</si>
  <si>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</si>
  <si>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</si>
  <si>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</si>
  <si>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</si>
  <si>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งบประมาณได้รับ
ตาม พ.ร.บ.</t>
  </si>
  <si>
    <t>รหัสงบประมาณ</t>
  </si>
  <si>
    <t>เบิกจ่ายแล้ว</t>
  </si>
  <si>
    <t>รวมทั้งสิ้น</t>
  </si>
  <si>
    <t>รวมรายจ่ายประจำ (งบบุคลากร งบดำเนินงาน และงบรายจ่ายอื่น)</t>
  </si>
  <si>
    <t>ภาพรวม</t>
  </si>
  <si>
    <t>รายจ่ายลงทุน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</si>
  <si>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</si>
  <si>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</si>
  <si>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</si>
  <si>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</si>
  <si>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เชียงใหม่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</si>
  <si>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</si>
  <si>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</si>
  <si>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</si>
  <si>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</si>
  <si>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</si>
  <si>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</si>
  <si>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ใบสั่งซื้อ/จ้าง 
(PO)</t>
  </si>
  <si>
    <t>หน่วย
ดำเนินการ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</si>
  <si>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</si>
  <si>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</si>
  <si>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</si>
  <si>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</si>
  <si>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</si>
  <si>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</si>
  <si>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</si>
  <si>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</si>
  <si>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</si>
  <si>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</si>
  <si>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</si>
  <si>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</si>
  <si>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</si>
  <si>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</si>
  <si>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</si>
  <si>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</si>
  <si>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</si>
  <si>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</si>
  <si>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</si>
  <si>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</si>
  <si>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</si>
  <si>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</si>
  <si>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</si>
  <si>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</si>
  <si>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</si>
  <si>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</si>
  <si>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</si>
  <si>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</si>
  <si>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</si>
  <si>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</si>
  <si>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</si>
  <si>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</si>
  <si>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</si>
  <si>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</si>
  <si>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</si>
  <si>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</si>
  <si>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</si>
  <si>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</si>
  <si>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</si>
  <si>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</si>
  <si>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</si>
  <si>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</si>
  <si>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</si>
  <si>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</si>
  <si>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</si>
  <si>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</si>
  <si>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</si>
  <si>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</si>
  <si>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</si>
  <si>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</si>
  <si>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</si>
  <si>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</si>
  <si>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</si>
  <si>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</si>
  <si>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</si>
  <si>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</si>
  <si>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</si>
  <si>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</si>
  <si>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</si>
  <si>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</si>
  <si>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</si>
  <si>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</si>
  <si>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</si>
  <si>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</si>
  <si>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</si>
  <si>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</si>
  <si>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</si>
  <si>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</si>
  <si>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</si>
  <si>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</si>
  <si>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</si>
  <si>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</si>
  <si>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</si>
  <si>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</si>
  <si>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</si>
  <si>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</si>
  <si>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</si>
  <si>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</si>
  <si>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</si>
  <si>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</si>
  <si>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</si>
  <si>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</si>
  <si>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</si>
  <si>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</si>
  <si>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</si>
  <si>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</si>
  <si>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</si>
  <si>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</si>
  <si>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</si>
  <si>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</si>
  <si>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</si>
  <si>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</si>
  <si>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</si>
  <si>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</si>
  <si>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</si>
  <si>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</si>
  <si>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</si>
  <si>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</si>
  <si>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</si>
  <si>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</si>
  <si>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</si>
  <si>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</si>
  <si>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</si>
  <si>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</si>
  <si>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</si>
  <si>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</si>
  <si>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</si>
  <si>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>ใบสั่งซื้อ/จ้าง
(PO)</t>
  </si>
  <si>
    <t>YEAR</t>
  </si>
  <si>
    <t>MONTH</t>
  </si>
  <si>
    <t>TIME</t>
  </si>
  <si>
    <t>BGCode</t>
  </si>
  <si>
    <t>BGName</t>
  </si>
  <si>
    <t>Fund</t>
  </si>
  <si>
    <t>Fund_re</t>
  </si>
  <si>
    <t>Fund_per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</si>
  <si>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</si>
  <si>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</si>
  <si>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</si>
  <si>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</si>
  <si>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โอนเปลี่ยนแปลง
ระหว่างปี</t>
  </si>
  <si>
    <t>งบประมาณถือจ่าย
หลังโอนเปลี่ยนแปลง</t>
  </si>
  <si>
    <t>โครงการ</t>
  </si>
  <si>
    <t>ศพช.อุบลราชธานี</t>
  </si>
  <si>
    <t>สพจ.แพร่</t>
  </si>
  <si>
    <t>สพจ.พังงา</t>
  </si>
  <si>
    <t>สพจ.สตูล</t>
  </si>
  <si>
    <t>สพจ.เชียงราย</t>
  </si>
  <si>
    <t>สพจ.นครสวรรค์</t>
  </si>
  <si>
    <t>ItemAdd</t>
  </si>
  <si>
    <t xml:space="preserve">งบประมาณ
ทั้งสิ้น
</t>
  </si>
  <si>
    <t>สพจ.มุกดาหาร</t>
  </si>
  <si>
    <t xml:space="preserve">รวมทั้งสิ้น 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</si>
  <si>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</si>
  <si>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</si>
  <si>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</si>
  <si>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สพจ.แม่ฮ่องสอน</t>
  </si>
  <si>
    <t>สพจ.นครศรีธรรมราช</t>
  </si>
  <si>
    <t>สพจ.สุพรรณบุรี</t>
  </si>
  <si>
    <t>สพจ.หนองคาย</t>
  </si>
  <si>
    <t>ชัยภูมิ</t>
  </si>
  <si>
    <t>หนองบัวลำภู</t>
  </si>
  <si>
    <t>อุดรธานี</t>
  </si>
  <si>
    <t>แพร่</t>
  </si>
  <si>
    <t>สุราษฎร์ธานี</t>
  </si>
  <si>
    <t>ปัตตานี</t>
  </si>
  <si>
    <t>ผลการใช้จ่าย
(ผลการเบิกจ่าย+PO)</t>
  </si>
  <si>
    <t xml:space="preserve">                                                                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</si>
  <si>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</si>
  <si>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</si>
  <si>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</si>
  <si>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ปรับปรุงสำนักงานพัฒนาชุมชนจังหวัดสตูล</t>
  </si>
  <si>
    <t>ใบสั่งซื้อสั่งจ้าง (PO)</t>
  </si>
  <si>
    <t>สุพรรณบุรี</t>
  </si>
  <si>
    <t>สพจ.</t>
  </si>
  <si>
    <t>เบิกจ่าย + PO</t>
  </si>
  <si>
    <t xml:space="preserve">  </t>
  </si>
  <si>
    <t>ศพช พิษณุโลก</t>
  </si>
  <si>
    <t>1. งบดำเนินงาน</t>
  </si>
  <si>
    <t>ปรับปรุงศูนย์ศึกษาและพัฒนาชุมชนเพชรบุรี ตำบลเขาใหญ่ อำเภอชะอำ จังหวัดเพชรบุรี</t>
  </si>
  <si>
    <t xml:space="preserve">งบประมาณทั้งสิ้น
</t>
  </si>
  <si>
    <t>รายงานผลการใช้จ่ายงบประมาณเบิกแทนกัน (เบิกแทนหน่วยงานอื่น)</t>
  </si>
  <si>
    <t>หน่วยงาน/โครงการ</t>
  </si>
  <si>
    <t>วันที่รับ
งบประมาณ</t>
  </si>
  <si>
    <t>งบประมาณ
รับจัดสรร</t>
  </si>
  <si>
    <t>กรมชลประทาน</t>
  </si>
  <si>
    <t>สภว.</t>
  </si>
  <si>
    <t xml:space="preserve">                   ตามหนังสือสำนักงบประมาณ ที่ นร 0701/157 ลงวันที่ 6 ตุลาคม 2565</t>
  </si>
  <si>
    <t xml:space="preserve">                   ตามหนังสือสำนักงบประมาณ ที่ นร 0701/1461 ลงวันที่ 3 กุมภาพันธ์  2566</t>
  </si>
  <si>
    <t>กลุ่มงานจริยธรรมข้าราชการกรมการพัฒนาชุมชน</t>
  </si>
  <si>
    <t xml:space="preserve">                   สำนักงบประมาณได้โอนงบประมาณสำหรับไตรมาสที่ 3 (เดือนเมษายน 2566 - มิถุนายน 2566) เป็นเงิน 1,921,048,900.00  บาท</t>
  </si>
  <si>
    <t xml:space="preserve">                   สำนักงบประมาณได้โอนงบประมาณสำหรับไตรมาสที่ 4(เดือนกรกฎาคม 2566 - กันยายน 2566) เป็นเงิน  463,433,600.00  บาท (วันที่ 14 มิถุนายน 2566)</t>
  </si>
  <si>
    <t>2. งบลงทุน (ปรับปรุงอาคารฯ/บ้านพัก)</t>
  </si>
  <si>
    <t xml:space="preserve">                   ได้รับการโอนจัดสรรงบประมาณแผนบุคลากรภาครัฐ งบดำเนินงาน (รายการค่าเช่าบ้าน) จากกองทัพบก กระทรวงกลาโหม 5,853,500.00 บาท</t>
  </si>
  <si>
    <t xml:space="preserve">                  หนังสือ ด่วนที่สุด ที่ นร. 0704/14653 ลงวันที่ 22 สิงหาคม 2566</t>
  </si>
  <si>
    <t>ผลการใช้จ่าย+สำรองเงิน</t>
  </si>
  <si>
    <t xml:space="preserve">    ร้อยละ</t>
  </si>
  <si>
    <t>รายจ่ายลงทุน - งบดำเนินงาน</t>
  </si>
  <si>
    <t xml:space="preserve">                                                                    ไตรมาสที่ 1</t>
  </si>
  <si>
    <t>ไตรมาที่ 2</t>
  </si>
  <si>
    <t>ไตรมาสที่ 3</t>
  </si>
  <si>
    <t>ร้อยละ 100</t>
  </si>
  <si>
    <t>ร้อยละ 80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</si>
  <si>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 แบบสิทธิการใช้งานประเภทติดตั้งมาจากโรงงาน (OEM) และชุดโปรแกรมจัดการสำนักงาน แบบที่ 1 ที่มีลิขสิทธิ์ กรมการพัฒนาชุมชน แขวงทุ่งสองห้อง เขตหลักสี่ กรุงเทพมหานคร</t>
  </si>
  <si>
    <t>เครื่องพิมพ์ Multifunction แบบฉีดหมึกพร้อมติดตั้งถังหมึกพิมพ์ (Inkjet Tank Printer) กรมการพัฒนาชุมชน แขวงทุ่งสองห้อง เขตหลักสี่ กรุงเทพมหานคร</t>
  </si>
  <si>
    <t>ปรับปรุงศูนย์สารภี ตำบลขัวมุง อำเภอสารภี จังหวัดเชียงใหม่</t>
  </si>
  <si>
    <t>ปรับปรุงศูนย์ศึกษาและพัฒนาชุมชนอุบลราชชธานี ตำบลแจระแม อำเภอเมืองอุบลราชธานี จังหวัดอุบลราชธานี</t>
  </si>
  <si>
    <t>ก่อสร้างโดมอเนกประสงค์ ศูนย์ศึกษาและพัฒนาชุมชนลำปาง ตำบลปงแสนทอง อำเภอเมืองลำปาง จังหวัดลำปาง</t>
  </si>
  <si>
    <t>ก่อสร้างรั้วด้านหน้า ศูนย์ศึกษาและพัฒนาชุมชนลำปาง ตำบลปงแสนทอง อำเภอเมืองลำปาง จังหวัดลำปาง</t>
  </si>
  <si>
    <t>ก่อสร้างลานกิจกรรมกลางแจ้ง ศูนย์ศึกษาและพัฒนาชุมชนพิษณุโลก ตำบลวังทอง อำเภอวังทอง จังหวัดพิษณุโลก</t>
  </si>
  <si>
    <t>ก่อสร้างอาคารโรงอาหาร ขนาด 120 ที่นั่ง ศูนย์ศึกษาและพัฒนาชุมชนยะลา ตำบลสะเตง อำเภอเมืองยะลา จังหวัดยะลา</t>
  </si>
  <si>
    <t>ก่อสร้างระบบประปา แบบหอถังเหล็กเก็บน้ำ (ถังแชมเปญ) ขนาดความจุ 20 ลบ.ม. ศูนย์ศึกษาและพัฒนาชุมชนยะลา ตำบลสะเตง อำเภอเมืองยะลา จังหวัดยะลา</t>
  </si>
  <si>
    <t>สำนักงานพัฒนาชุมชนจังหวัด</t>
  </si>
  <si>
    <t>โครงการอ่างเก็บน้ำแม่ตาช้าง ตำบลป่าแดด 
อำเภอแม่สรวย จังหวัดเชียงราย</t>
  </si>
  <si>
    <t>รายการเงินสำรองจ่ายเพื่อกรณีฉุกเฉินหรือจำเป็น 
เพื่อเป็นค่าใช้จ่ายในการดำเนินโครงการศึกษาและพัฒนาองค์ความรู้เพื่อการพัฒนาผลิตภัณฑ์สู่สากล ประจำปี 2567 (Thai Tone Trend Book 2024)</t>
  </si>
  <si>
    <t>รายการค่าใช้จ่ายตามโครงการอันเนื่องมาจากพระราชดำริ โครงการต่อยอดโครงการปรับปรุงคลองผันน้ำร่องสัก และโครงการก่อสร้างฝายร่องขุยพร้อมระบบส่งน้ำอันเนื่องมาจากพระราชดำริ ตำบลบ้านปิน อำเภอดอกคำใต้ จังหวัดพะเยา</t>
  </si>
  <si>
    <t>รายการเงินสำรองจ่ายเพื่อกรณีฉุกเฉินหรือจำเป็น เพื่อเป็นค่าใช้จ่ายในโครงการยกระดับและพัฒนาวิชชาลัยชุมชน เพื่อการสร้างสรรค์งานผ้า งานคราฟท์ และงานหัตถกรรม หัตถศิลป์ไทย</t>
  </si>
  <si>
    <t>ครุภัณฑ์สำนักงาน ส่วนกลาง</t>
  </si>
  <si>
    <t>ครุภัณฑ์ไฟฟ้าและวิทยุ ส่วนกลาง</t>
  </si>
  <si>
    <t>ครุภัณฑ์โฆษณาและเผยแพร่ ส่วนกลาง</t>
  </si>
  <si>
    <t>ครุภัณฑ์คอมพิวเตอร์ ส่วนกลาง</t>
  </si>
  <si>
    <t>ครุภัณฑ์งานบ้านงานครัว ส่วนกลาง</t>
  </si>
  <si>
    <t>ครุภัณฑ์โฆษณาและเผยแพร่ โครงการปรับปรุงห้องสมุดเพื่อรองรับการใช้พื้นที่รูปแบบ Co-Working Space</t>
  </si>
  <si>
    <t>ครุภัณฑ์คอมพิวเตอร์ โครงการปรับปรุงห้องสมุดเพื่อรองรับการใช้พื้นที่รูปแบบ Co-Working Space</t>
  </si>
  <si>
    <t>โครงการปรับปรุงห้องสมุดเพื่อรองรับการใช้พื้นที่รูปแบบ Co-Working Space</t>
  </si>
  <si>
    <t>รายงานผลการใช้จ่ายงบประมาณรายจ่ายประจำปีงบประมาณ พ.ศ. 2568</t>
  </si>
  <si>
    <t>เป้าหมายการใช้จ่ายงบประมาณภาครัฐ ปีงบประมาณ พ.ศ. 2568 เป็นรายไตรมาส (สะสม) ดังนี้</t>
  </si>
  <si>
    <t xml:space="preserve">สถาบันการพัฒนาชุมชน </t>
  </si>
  <si>
    <t>รายงานผลการใช้จ่ายรายการรายจ่ายลงทุน ประจำปีงบประมาณ พ.ศ. 2568</t>
  </si>
  <si>
    <t>แผนงาน/ผลผลิต</t>
  </si>
  <si>
    <t xml:space="preserve">             ผลการใช้จ่าย               (ผลการเบิกจ่าย + PO)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</si>
  <si>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</si>
  <si>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</si>
  <si>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</si>
  <si>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</si>
  <si>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</si>
  <si>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</si>
  <si>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ส่วนกลาง 5 รายการ</t>
  </si>
  <si>
    <t>ศูนย์ศึกษาและพัฒนาชุมชน 2 รายการ</t>
  </si>
  <si>
    <t>สำนักงานพัฒนาชุมชนจังหวัด 8 รายการ</t>
  </si>
  <si>
    <t>ผลผลิตสร้างความมั่นคงทางอาชีพและรายได้</t>
  </si>
  <si>
    <t>ผลผลิตส่งเสริมเศรษฐกิจฐานราก การผลิต การตลาดและการจำหน่ายผลิตภัณฑ์ชุมชน</t>
  </si>
  <si>
    <t>ไตรมาสที่ 4</t>
  </si>
  <si>
    <t>ภาพรวม                                                          ร้อยละ 37</t>
  </si>
  <si>
    <t>ร้อยละ 61</t>
  </si>
  <si>
    <t>รายจ่ายประจำ                                                  ร้อยละ 36</t>
  </si>
  <si>
    <t>ร้อยละ 58</t>
  </si>
  <si>
    <t>ร้อยละ 81</t>
  </si>
  <si>
    <t>รายจ่ายลงทุน                                                   ร้อยละ 39</t>
  </si>
  <si>
    <t>ร้อยละ 66</t>
  </si>
  <si>
    <t>ร้อยละ 77</t>
  </si>
  <si>
    <t>รายงานผลการใช้จ่ายงบประมาณภาพรวม ประจำปีงบประมาณ พ.ศ. 2568</t>
  </si>
  <si>
    <t>สำนัก/กอง/ศูนย์ /สถาบัน 1 รายการ</t>
  </si>
  <si>
    <t>สำนัก/กอง/ศูนย์ /สถาบัน 7 รายการ</t>
  </si>
  <si>
    <t>รายงานผลการใช้จ่ายงบลงทุน ประจำปีงบประมาณ พ.ศ. 2568</t>
  </si>
  <si>
    <t>หน่วยดำเนินการ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</si>
  <si>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</si>
  <si>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>เครื่องถ่ายเอกสาร ระบบดิจิตอล (ขาว-ดำ) ความเร็ว 30 แผ่นต่อนาที 
จำนวน 141 เครื่อง ๆ ละ 120,000 บาท</t>
  </si>
  <si>
    <t>สแกนเนอร์ สำหรับงานเก็บเอกสารระดับศูนย์บริการ แบบที่ 1 
จำนวน 970 เครื่อง ๆ ละ 16,000 บาท</t>
  </si>
  <si>
    <t>จอสัมผัสอัจฉริยะ ขนาดไม่ต่ำกว่า 65 นิ้ว จำนวน 88 เครื่อง ๆ ละ 150,000 บาท</t>
  </si>
  <si>
    <t>ปรับปรุงสำนักงานพัฒนาชุมชนจังหวัดสมุทรปราการ</t>
  </si>
  <si>
    <t xml:space="preserve">ปรับปรุงบ้านพักข้าราชการ ระดับ 3 - 4 (A6,A7,ศรีมาลา) ศูนย์ศึกษาและพัฒนาชุมชนเพชรบุรี </t>
  </si>
  <si>
    <t>ปรับปรุงหอประชุมอเนกประสงค์ ศูนย์ศึกษาและพัฒนาชุมชนอุดรธานี</t>
  </si>
  <si>
    <t>ปรับปรุงบ้านพักรับรอง ศูนย์ศึกษาและพัฒนาชุมชนพิษณุโลก</t>
  </si>
  <si>
    <t>ครุภัณฑ์สำนักงาน ปรับปรุงสำนักงานพัฒนาชุมชนอำเภอท่าบ่อ จังหวัดหนองคาย</t>
  </si>
  <si>
    <t>ครุภัณฑ์โฆษณาและเผยแพร่ ปรับปรุงห้องประชุมสำนักงานพัฒนาชุมชนจังหวัดพังงา</t>
  </si>
  <si>
    <t>ปรับปรุงบ้านพักพัฒนาการจังหวัดมุกดาหาร สำนักงานพัฒนาชุมชนจังหวัดมุกดาหาร</t>
  </si>
  <si>
    <t>ปรับปรุงห้องประชุม สำนักงานพัฒนาชุมชนจังหวัดแม่ฮ่องสอน</t>
  </si>
  <si>
    <t>ครุภัณฑ์สำนักงาน ปรับปรุงสำนักงานพัฒนาชุมชนอำเภอดอนเจดีย์ 
จังหวัดสุพรรณบุรี</t>
  </si>
  <si>
    <t>ปรับปรุงสำนักงานพัฒนาชุมชนอำเภอเมืองสุพรรณบุรี จังหวัดสุพรรณบุรี</t>
  </si>
  <si>
    <t>ปรับปรุงสำนักงานพัฒนาชุมชนอำเภอหนองบัว จังหวัดนครสวรรค์</t>
  </si>
  <si>
    <t>จัดหาอุปกรณ์จัดเก็บและประมวลผลข้อมูลความจำเป็นพื้นฐาน (จปฐ.) และข้อมูลพื้นฐานระดับหมู่บ้าน (กชช. 2ค) กรมการพัฒนาชุมชน แขวงทุ่งสองห้อง 
เขตหลักสี่ กรุงเทพมหานคร</t>
  </si>
  <si>
    <t xml:space="preserve">โครงการพัฒนาหมู่บ้านเศรษฐกิจพอเพียง งานปรับปรุงพื้นที่ 
ตามแบบมาตรฐาน โคก หนอง นา ขนาด 1 ไร่ และขนาด 3 ไร่ 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</si>
  <si>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
อำเภอเพ็ญ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</si>
  <si>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ศูนย์ศึกษาและพัฒนาชุมชนยะลา ตำบลสะเตง 
อำเภอเมืองยะลา จังหวัดยะลา</t>
  </si>
  <si>
    <t>ครุภัณฑ์สำหรับก่อสร้างศูนย์ส่งเสริม พัฒนา และยกระดับเศรษฐกิจฐานราก
ด้วยโมเดลเศรษฐกิจใหม่ ตำบลบางลูกเสือ อำเภอองครักษ์ จังหวัดนครนายก</t>
  </si>
  <si>
    <t>ค่าปลูกป่าทดแทน ตำบลบางลูกเสือ อำเภอองครักษ์ จังหวัดนครนายก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</si>
  <si>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
จังหวัดอุดรธานี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</si>
  <si>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ศูนย์ศึกษาและพัฒนาชุมชนยะลา ตำบลสะเตง อำเภอเมืองยะลา จังหวัดยะลา</t>
  </si>
  <si>
    <t>ก่อสร้างศูนย์ส่งเสริม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 ระยะที่ 2</t>
  </si>
  <si>
    <t>ครุภัณฑ์งานบ้านงานครัว สำนักงานพัฒนาชุมชนจังหวัดแพร่ ตำบลในเวียง 
อำเภอเมืองแพร่ จังหวัดแพร่</t>
  </si>
  <si>
    <t>รายละเอียดการใช้จ่ายงบลงทุน ประจำปีงบประมาณ พ.ศ. 2568</t>
  </si>
  <si>
    <t xml:space="preserve">ส่วนกลาง </t>
  </si>
  <si>
    <t>สถาบันการพัฒนาชุมชน</t>
  </si>
  <si>
    <t>ประจำปีงบประมาณ พ.ศ. 2568</t>
  </si>
  <si>
    <t>โครงการสนับสนุนอาชีพครัวเรือนและพัฒนากลุ่มอาชีพในพี้นที่อุทกภัยเมืองนครศรีธรรมราช อันเนื่องมาจากพระราชดำริ จังหวัดนครศรีธรรมราช</t>
  </si>
  <si>
    <t xml:space="preserve"> 29 พ.ย.67</t>
  </si>
  <si>
    <t>คิดเป็น
ร้อยละ</t>
  </si>
  <si>
    <t>ครบกำหนด</t>
  </si>
  <si>
    <t>รวมทั้งสิ้น 398 รายการ</t>
  </si>
  <si>
    <t>งบประมาณตาม พรบ. 395 รายการ</t>
  </si>
  <si>
    <t>ส่วนกลาง 70 รายการ</t>
  </si>
  <si>
    <t>จังหวัด 311 รายการ</t>
  </si>
  <si>
    <t>ศูนย์ศึกษาและพัฒนาชุมชน 14 รายการ</t>
  </si>
  <si>
    <t>=SUM(E29:E30)</t>
  </si>
  <si>
    <t>งบกลาง 3 รายการ</t>
  </si>
  <si>
    <t>รายงานผลการเบิกจ่ายงบประมาณเงินกันไว้เบิกเหลื่อมปีงบประมาณ พ.ศ. 2567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</si>
  <si>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จำนวน 145 คัน</t>
  </si>
  <si>
    <t>ก่อสร้างศูนย์เรียนรู้ พัฒนา และยกระดับเศรษฐกิจฐานรากด้วยโมเดลเศรษฐกิจใหม่ ตำบลบางลูกเสือ อำเภอองครักษ์ จังหวัดนครนายก ระยะที่ 1</t>
  </si>
  <si>
    <t>จัดจ้างดำเนินโครงการการจัดงาน OTOP TO THE TOWN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</si>
  <si>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จำนวน 18 คัน</t>
  </si>
  <si>
    <t>จ้างขับเคลื่อนผู้นำชุมชนท่องเที่ยวต่อการรับรู้และการตลาด 4.0 จำนวน 3 งวด</t>
  </si>
  <si>
    <t xml:space="preserve">งานระบบไฟฟ้าศูนย์เรียนรู้ พัฒนา และยกระดับเศรษฐกิจฐานรากด้วยโมเดลเศรษฐกิจใหม่ ตำบลบางลูกเสือ อำเภอองครักษ์ จังหวัดนครนายก </t>
  </si>
  <si>
    <t>โครงเพิ่มประสิทธิภาพการเชื่อมโยงข้อมูลระบบ Big Data กรมการพัฒนาชุมชน</t>
  </si>
  <si>
    <t>อาคารศูนย์เรียนรู้อเนกประสงค์ 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</t>
  </si>
  <si>
    <t>เครื่องถ่ายเอกสาร ระบบดิจิตอล (ขาว-ดำ) ความเร็ว 30 แผ่นต่อนาที จำนวน 103 เครื่อง</t>
  </si>
  <si>
    <t>จ้างโครงการเพิ่มประสิทธิภาพเว็บไซต์บริการดิจิทัลของกรมการพัฒนาชุมชน (Digital Service) ที่เป็นไปตามมาตรฐานเว็บไซต์ภาครัฐ จำนวน 3 งวด</t>
  </si>
  <si>
    <t>จ้างโครงการบำรุงรักษาระบบประชุมทางไกลผ่านอินเทอร์เน็ต พร้อมอุปกรณ์ศูนย์ข้อมูลกลางเพื่อการตัดสินใจ จำนวน 2 งวด</t>
  </si>
  <si>
    <t xml:space="preserve">งานระบบประปาศูนย์เรียนรู้ พัฒนา และยกระดับเศรษฐกิจฐานรากด้วยโมเดลเศรษฐกิจใหม่ ตำบลบางลูกเสือ อำเภอองครักษ์ จังหวัดนครนายก </t>
  </si>
  <si>
    <t>เครื่องถ่ายเอกสาร ระบบดิจิตอล (ขาว-ดำ) ความเร็ว 30 แผ่นต่อนาที จำนวน 61 เครื่อง</t>
  </si>
  <si>
    <t>จ้างโครงการเพิ่มประสิทธิภาพเทคโนโลยีดิจิทัลและนวัตกรรมด้านการบริหารจัดการและใช้ประโยชน์จากข้อมูลเพื่อการพัฒนาชุมชน 3.2 เพิ่มประสิทธิภาพข้อมูลเชิงพื้นที่เพื่อการพัฒนาการบริหารคุณภาพชีวิตคนไทยอย่างยั่งยืน จำนวน 3 งวด</t>
  </si>
  <si>
    <t>จ้างดำเนินโครงการตลาดอะเมซิ่ง ของกินของใช้ ของดีทั่วไทย จำนวน 2 งวด</t>
  </si>
  <si>
    <t>ค่าบำรุงรักษาเครื่องคอมพิวเตอร์แม่ข่ายและอุปกรณ์จัดเก็บข้อมูล</t>
  </si>
  <si>
    <t>จ้างดำเนินโครงการบำรุงรักษาระบบป้องกันและรักษาความมั่นคงปลอดภัยระบบเทคโนโลยีสารสนเทศและการสื่อสาร</t>
  </si>
  <si>
    <t>ส่งเสริมและสนับสนุนการพัฒนาหมู่บ้านต้นแบบการน้อมนำแนวพระราชดำริไปประยุกต์ใช้</t>
  </si>
  <si>
    <t>โครงการพัฒนาระบบโปรแกรมการเรียนรู้ในรูปแบบออนไลน์ (E-Learning) กรมการพัฒนาชุมชน</t>
  </si>
  <si>
    <t>จ้างดำเนินโครงการจัดทำรายงานคุณภาพชีวิตของคนไทย 
จากข้อมูลความจำเป็นพื้นฐาน (จปฐ.) ปี 2567</t>
  </si>
  <si>
    <t>ครุภัณฑ์โครงการจัดหาระบบสื่อใหม่ (New Media) 
เพื่อขับเคลื่อนการสร้างภาพลักษณ์ กรมการพัฒนาชุมชน</t>
  </si>
  <si>
    <t>จัดจ้างบำรุงรักษาระบบ BPM (PO ซ้ำ)</t>
  </si>
  <si>
    <t>จ้างดำเนินโครงการนักออกแบบผ้าไทยใส่ให้สนุกรุ่นใหม่ 2567 (New Gen Young Designer 2024) จำนวน 3 งวด</t>
  </si>
  <si>
    <t>จ้างดำเนินโครงการพัฒนาผลิตภัณฑ์ OTOP Premium สู่สากล ประเภทอาหาร ประเภทเครื่องดื่ม และประเภทสมุนไพรที่ไม่ใช่อาหาร จำนวน 3 งวด</t>
  </si>
  <si>
    <t>ก่อสร้างรั้ว ศูนย์สารภีอุบลราชธานี ตำบลท่าช้าง 
อำเภอสว่างวีระวงศ์ จังหวัดอุบลราชธานี</t>
  </si>
  <si>
    <t>จ้างดำเนินโครงการการคัดสรรสุดยอดหนึ่งตำบล หนึ่งผลิตภัณฑ์ไทย ปี พ.ศ. 2567 (OTOP Product Champion : OPC) 11.3 การดำเนินการคัดสรรสุดยอดหนึ่งตำบล หนึ่งผลิตภัณฑ์ไทย ปี พ.ศ. 2567 กรุงเทพมหานคร และระดับประเทศ จำนวน 2 งวด</t>
  </si>
  <si>
    <t>จ้างดำเนินโครงการพัฒนาผลิตภัณฑ์ OTOP Premium สู่สากล ประเภทผ้า เครื่องแต่งกาย และประเภทของใช้ ของตกแต่ง ของที่ระลึก จำนวน 3 งวด</t>
  </si>
  <si>
    <t>จ้างดำเนินโครงการออกแบบและพัฒนาเว็บไซต์แฟชั่นแห่งความยั่งยืน (Sustainable Fashion) จำนวน 2 งวด</t>
  </si>
  <si>
    <t>จ้างโครงการจัดมหกรรมแสดงผลสำเร็จของผู้นำการเปลี่ยนแปลง 2.2 จัดมหกรรมส่งเสริมการใช้ประโยชน์จากแผนตำบล ทบทวนและจัดทำแผนพัฒนาบุคลากร กรมการพัฒนาชุมชน จำนวน 2 งวด</t>
  </si>
  <si>
    <t>จ้างดำเนินโครงการพัฒนาศักยภาพเยาวชนด้านผ้าไทยและงานหัตถกรรม หัตถศิลป์ สู่การเป็นผู้ประกอบการรุ่นใหม่ (New Gen 2024) จำนวน 3 งวด </t>
  </si>
  <si>
    <t>จ้างดำเนินโครงการส่งเสริมภูมิปัญญาและพัฒนาศักยภาพผ้าไทยและงานหัตถกรรม จำนวน 3 งวด</t>
  </si>
  <si>
    <t>จ้างดำเนินโครงการพัฒนารูปแบบชุมชนมิปัญญาเพื่อพัฒนาผลิตภัณฑ์ จำนวน 2 งวด</t>
  </si>
  <si>
    <t>จ้างทำหนังสือการส่งเสริมผู้ผลิต ผู้ประกอบการ otop เข้าสู่เศรษฐกิจสีเขียว จำนวน 1100 เล่ม</t>
  </si>
  <si>
    <t>จ้างเหมารถบัสปรับอากาศ เพื่อใช้ในข้าราชการโครงการพัฒนาข้าราชการที่อยู่ระหว่างทดลองปฏิบัติหน้าที่ราชการ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 จำวน 4 คัน</t>
  </si>
  <si>
    <t>จ้างทำคู่มือการใช้แพลตฟอร์มการตลาดออนไลน์ เพิ่มยอดขายด้วยคอนเทนต์ จำนวน 1000 เล่ม </t>
  </si>
  <si>
    <t>จ้างทำสื่อประชาสัมพันธ์เผยแพร่ผลความสำเร็จของผู้นำฯ ทำหนังสือ 1,000 เล่ม</t>
  </si>
  <si>
    <t>โครงการก้าวสู่ปีที่ 63 กรมการพัฒนาชุมชน อย่างยั่งยืน</t>
  </si>
  <si>
    <t>จ้างทำตรายางและป่ายชื่ออะคริลิค จำนวน 6 รายการ</t>
  </si>
  <si>
    <t>จัดซื้อวัสดุคอมพิวเตอร์ จำนวน 22 รายการ</t>
  </si>
  <si>
    <t>จ้างเหมารถบัสโดยสารปรับอากาศเพื่อใช้ในโครงการประชุมเชิงปฏิบัติการเพื่อกำหนดแนวทางการขับเคลื่อนการบริหารทรัพยากรบุคคลที่มีประสิทธิภาพ</t>
  </si>
  <si>
    <t>จ้างทำประกาศนียบัตรพร้อมปก 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</t>
  </si>
  <si>
    <t>จ้างทำเข็มวิทยฐานะ เพื่อใช้ในโครงการพัฒนาข้าราชการที่อยู่ระหว่างทดลองปฏิบัติหน้าที่ราชการ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</t>
  </si>
  <si>
    <t>จ้างดำเนินโครงการพัฒนาต่อยอดภุมปัญญาผลิตภัณฑ์ Young OTOP สู่สากล จำนวน 3 งวด</t>
  </si>
  <si>
    <t>จ้างดำเนินโครงการ Ethnic Model ผ้าชาติพันธุ์ จำนวน 3 งวด</t>
  </si>
  <si>
    <t>จ้างดำเนินโครงการพัฒนาศักยภาพผู้ประกอบการในการต่อยอดภูมิปัญญาผ้าไทยและงานหัตถกรรมด้วยนวัตกรรมสู่ความยั่งยืน จำนวน 2 งวด</t>
  </si>
  <si>
    <t>จัดซื้อวัสดุสำนักงานคอมพิวเตอร์ จำนวน 9 รายการ</t>
  </si>
  <si>
    <t>สรุปบทเรียนการพัฒนาศักยภาพศูนย์เรียนรู้การพัฒนาคุณภาพชีวิตตามหลักทฤษฎีใหม่ ประยุกต์สู่ โคก หนอง นา</t>
  </si>
  <si>
    <t>จัดจ้างทำเอกสารสนับสนุนส่งเสริมกระบวนการเรียนรู้การขับเคลื่อนการพัฒนาหมู่บ้านเศรษฐกิจพอเพียง (จัดทำและจัดพิมพ์หนังสือสรุปรายงานผลการน้อมนำแนวพระราชดำริของสมเด็จพระกนิษฐาธิราชเจ้ากรมสมเด็จพระเทพรัตนราชสุดา ฯ สยามบรมราชกุมารี สู่ปฏิบัติการปลูกผักสวนครัวเพื่อสร้างความมั่นคงทางอาหาร ประจำปีงบประมาณ พ.ศ. 2567) จำนวน 1000 เล่ม</t>
  </si>
  <si>
    <t>จ้างจัดนิทรรศการกิจกรรมกองทุนพัฒนาเด็กชนบทในพระราชูปถัมภ์</t>
  </si>
  <si>
    <t>ค่าจัางดำเนินโครงการจัดแสดงผลการดำเนินงานการเข้าถึงแหล่งทุนของประชาชน</t>
  </si>
  <si>
    <t>ค่าสาธารณูปโภค-ค่าบริการสื่อสารโทรคมนาคม</t>
  </si>
  <si>
    <t>ค่าวัสดุสำนักงาน</t>
  </si>
  <si>
    <t xml:space="preserve"> 9 ต.ค.67</t>
  </si>
  <si>
    <t xml:space="preserve"> 24 ส.ค.67</t>
  </si>
  <si>
    <t>จังหวัดชัยภูมิ 2 รายการ</t>
  </si>
  <si>
    <t xml:space="preserve"> 13 ก.ย.67</t>
  </si>
  <si>
    <t>จังหวัดมุกดาหาร 1 รายการ</t>
  </si>
  <si>
    <t xml:space="preserve"> 24 มี.ค.68</t>
  </si>
  <si>
    <t>จังหวัดแม่ฮ่องสอน 2 รายการ</t>
  </si>
  <si>
    <t xml:space="preserve"> 15 ต.ค.67</t>
  </si>
  <si>
    <t xml:space="preserve"> 25 ธ.ค.67</t>
  </si>
  <si>
    <t xml:space="preserve"> 24 ก.ย.67</t>
  </si>
  <si>
    <t>จังหวัดสระแก้ว 1 รายการ</t>
  </si>
  <si>
    <t xml:space="preserve"> 30 ก.ย.67</t>
  </si>
  <si>
    <t xml:space="preserve"> 4 ก.ย.67</t>
  </si>
  <si>
    <t>จังหวัดราชบุรี 3 รายการ</t>
  </si>
  <si>
    <t xml:space="preserve"> 24 ต.ค.67</t>
  </si>
  <si>
    <t xml:space="preserve"> 26 พ.ย.67</t>
  </si>
  <si>
    <t>จังหวัดเชียงใหม่ 14 รายการ</t>
  </si>
  <si>
    <t>จังหวัดยะลา 5 รายการ</t>
  </si>
  <si>
    <t xml:space="preserve"> 16 ต.ค.67</t>
  </si>
  <si>
    <t>จังหวัดตาก 10 รายการ</t>
  </si>
  <si>
    <t xml:space="preserve"> 5 ต.ค.67</t>
  </si>
  <si>
    <t>จังหวัดร้อยเอ็ด 6 รายการ</t>
  </si>
  <si>
    <t xml:space="preserve"> 31 ธ.ค.67</t>
  </si>
  <si>
    <t>จังหวัดนครศรีธรรมราช 4 รายการ</t>
  </si>
  <si>
    <t xml:space="preserve"> 23 ธ.ค.67</t>
  </si>
  <si>
    <t>จังหวัดยโสธร 9 รายการ</t>
  </si>
  <si>
    <t xml:space="preserve"> 25 ต.ค.67</t>
  </si>
  <si>
    <t>จังหวัดศรีสะเกษ 15 รายการ</t>
  </si>
  <si>
    <t xml:space="preserve"> 22 ม.ค.68</t>
  </si>
  <si>
    <t>จังหวัดสมุทรสาคร 6 รายการ</t>
  </si>
  <si>
    <t xml:space="preserve"> 27 ก.ย.67</t>
  </si>
  <si>
    <t>จังหวัดชุมพร 6 รายการ</t>
  </si>
  <si>
    <t xml:space="preserve"> 11 พ.ย.67</t>
  </si>
  <si>
    <t>จังหวัดตรัง 4 รายการ</t>
  </si>
  <si>
    <t>จังหวัดพัทลุง 16 รายการ</t>
  </si>
  <si>
    <t xml:space="preserve"> 6 ต.ค.67</t>
  </si>
  <si>
    <t xml:space="preserve"> 17 ต.ค.67</t>
  </si>
  <si>
    <t>จังหวัดประจวบคีรีขันธ์ 20 รายการ</t>
  </si>
  <si>
    <t xml:space="preserve"> 21 ต.ค.67</t>
  </si>
  <si>
    <t>จังหวัดหนองคาย 7 รายการ</t>
  </si>
  <si>
    <t xml:space="preserve"> 28 ม.ค.68</t>
  </si>
  <si>
    <t>จังหวัดลำพูน 3 รายการ</t>
  </si>
  <si>
    <t xml:space="preserve"> 11 ธ.ค.67</t>
  </si>
  <si>
    <t>จังหวัดบึงกาฬ 13 รายการ</t>
  </si>
  <si>
    <t xml:space="preserve"> 9 พ.ย.67</t>
  </si>
  <si>
    <t>จังหวัดเพชรบูรณ์ 9 รายการ</t>
  </si>
  <si>
    <t xml:space="preserve"> 7 พ.ย.67</t>
  </si>
  <si>
    <t>จังหวัดปราจีนบุรี 4 รายการ</t>
  </si>
  <si>
    <t xml:space="preserve"> 26 ต.ค.67</t>
  </si>
  <si>
    <t xml:space="preserve"> 30 ต.ค.67</t>
  </si>
  <si>
    <t xml:space="preserve"> 13 ต.ค.67</t>
  </si>
  <si>
    <t>จังหวัดอุดรธานี 7 รายการ</t>
  </si>
  <si>
    <t xml:space="preserve"> 30 พ.ย.67</t>
  </si>
  <si>
    <t>จังหวัดพะเยา 4 รายการ</t>
  </si>
  <si>
    <t xml:space="preserve"> 28 ต.ค.67</t>
  </si>
  <si>
    <t>จังหวัดสระบุรี 3 รายการ</t>
  </si>
  <si>
    <t xml:space="preserve"> 10 พ.ย.67</t>
  </si>
  <si>
    <t>จังหวัดอ่างทอง 2 รายการ</t>
  </si>
  <si>
    <t xml:space="preserve"> 27 ส.ค.67</t>
  </si>
  <si>
    <t xml:space="preserve"> 29 ก.ย.67</t>
  </si>
  <si>
    <t>จังหวัดปทุมธานี 2 รายการ</t>
  </si>
  <si>
    <t xml:space="preserve"> 18 ก.ย.67</t>
  </si>
  <si>
    <t>จังหวัดสุพรรณบุรี 5 รายการ</t>
  </si>
  <si>
    <t xml:space="preserve"> 25 พ.ย.67</t>
  </si>
  <si>
    <t>จังหวัดชัยนาท 1 รายการ</t>
  </si>
  <si>
    <t xml:space="preserve"> 10 ต.ค.67</t>
  </si>
  <si>
    <t>จังหวัดกระบี่ 3 รายการ</t>
  </si>
  <si>
    <t xml:space="preserve"> 12 พ.ย.67</t>
  </si>
  <si>
    <t>จังหวัดเลย 2 รายการ</t>
  </si>
  <si>
    <t>จังหวัดฉะเชิงเทรา 1 รายการ</t>
  </si>
  <si>
    <t>จังหวัดนครปฐม 2 รายการ</t>
  </si>
  <si>
    <t>จังหวัดสุราษฎร์ธานี 12 รายการ</t>
  </si>
  <si>
    <t xml:space="preserve"> 22 ต.ค.67</t>
  </si>
  <si>
    <t>จังหวัดพระนครศรีอยุธยา 2 รายการ</t>
  </si>
  <si>
    <t xml:space="preserve"> 20 ต.ค.67</t>
  </si>
  <si>
    <t>จังหวัดชลบุรี 2 รายการ</t>
  </si>
  <si>
    <t xml:space="preserve"> 7 ต.ค.67</t>
  </si>
  <si>
    <t>จังหวัดระยอง 1 รายการ</t>
  </si>
  <si>
    <t>จังหวัดอุบลราชธานี 3 รายการ</t>
  </si>
  <si>
    <t xml:space="preserve"> 27 ต.ค.67</t>
  </si>
  <si>
    <t>จังหวัดมหาสารคาม 9 รายการ</t>
  </si>
  <si>
    <t xml:space="preserve"> 1 ต.ค.67</t>
  </si>
  <si>
    <t>จังหวัดแพร่ 2 รายการ</t>
  </si>
  <si>
    <t>จังหวัดน่าน 4 รายการ</t>
  </si>
  <si>
    <t xml:space="preserve"> 23 ต.ค.67</t>
  </si>
  <si>
    <t>จังหวัดอุทัยธานี 1 รายการ</t>
  </si>
  <si>
    <t>จังหวัดพิษณุโลก 1 รายการ</t>
  </si>
  <si>
    <t>จังหวัดพิจิตร 1 รายการ</t>
  </si>
  <si>
    <t>จังหวัดสงขลา 2 รายการ</t>
  </si>
  <si>
    <t>จังหวัดนราธิวาส 1 รายการ</t>
  </si>
  <si>
    <t xml:space="preserve"> 12 ต.ค.67</t>
  </si>
  <si>
    <t>ศูนย์ศึกษาและพัฒนาชุมชนยะลา 3 รายการ</t>
  </si>
  <si>
    <t>ศูนย์ศึกษาและพัฒนาชุมชนลำปาง 2 รายการ</t>
  </si>
  <si>
    <t>ศูนย์ศึกษาและพัฒนาชุมชนพิษณุโลก 3 รายการ</t>
  </si>
  <si>
    <t>ศูนย์ศึกษาและพัฒนาชุมชนสระบุรี 1 รายการ</t>
  </si>
  <si>
    <t>ศูนย์ศึกษาและพัฒนาชุมชนชลบุรี 3 รายการ</t>
  </si>
  <si>
    <t>ศูนย์ศึกษาและพัฒนาชุมชนอุบลราชธานี 2 รายการ</t>
  </si>
  <si>
    <t>งบกลาง จำนวน 3 รายการ</t>
  </si>
  <si>
    <t xml:space="preserve"> 1 พ.ย.67</t>
  </si>
  <si>
    <t xml:space="preserve"> 3 ก.พ.68</t>
  </si>
  <si>
    <t xml:space="preserve">หมายเหตุ  :  สำนักงบประมาณได้โอนงบประมาณสำหรับไตรมาสที่ 1-2 (เดือนตุลาคม 2567 - มีนาคม 2568) เป็นเงิน 3,427,654,100.00  บาท  </t>
  </si>
  <si>
    <t>สำนักงานพัฒนาชุมชนจังหวัด 180 รายการ</t>
  </si>
  <si>
    <t>ผลการใช้จ่ายงบประมาณของหน่วยงานในสังกัดกระทรวงมหาดไทย ประจำปีงบประมาณ พ.ศ. 2568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</si>
  <si>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</si>
  <si>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</si>
  <si>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</si>
  <si>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</si>
  <si>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</si>
  <si>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</si>
  <si>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</si>
  <si>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</si>
  <si>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</si>
  <si>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</si>
  <si>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</si>
  <si>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</si>
  <si>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</si>
  <si>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2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</si>
  <si>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</si>
  <si>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</si>
  <si>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</si>
  <si>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</si>
  <si>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</si>
  <si>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</si>
  <si>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</si>
  <si>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</si>
  <si>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</si>
  <si>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</si>
  <si>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</si>
  <si>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สิ่งก่อสร้าง</t>
  </si>
  <si>
    <t>ครุภัณฑ์</t>
  </si>
  <si>
    <t>คงเหลือโอนกลับส่วนกลาง</t>
  </si>
  <si>
    <t>โอนเปลี่ยนแปลง
จากงบดำเนินงาน
เป็นงบลงทุน</t>
  </si>
  <si>
    <t>โอนเปลี่ยนแปลงพื้นที่/ในรายการงบลงทุน</t>
  </si>
  <si>
    <t>โอนเปลี่ยนแปลง
เป็นงบดำเนินงาน</t>
  </si>
  <si>
    <t>โอนเปลี่ยนแปลงเป็นงบดำเนินงาน</t>
  </si>
  <si>
    <t xml:space="preserve">โอนกลับส่วนกลาง </t>
  </si>
  <si>
    <t>โครงการประตูระบายน้ำศรีสองรัก อันเนื่องมาจากพระราชดำริ จังหวัดเลย</t>
  </si>
  <si>
    <t xml:space="preserve"> 13 ธ.ค.67</t>
  </si>
  <si>
    <t>สพจ.เลย</t>
  </si>
  <si>
    <t>โครงการพัฒนาลุ่มน้ำห้วยหลวงตอนล่าง จังหวัดหนองคาย</t>
  </si>
  <si>
    <t>สพจ.อุดรธานี</t>
  </si>
  <si>
    <t>รวม (ผลการเบิกจ่าย + PO)</t>
  </si>
  <si>
    <t>โอนกลับส่วนกลาง</t>
  </si>
  <si>
    <t>โครงการคลองระบายน้ำหลาก บางบาล-บางไทร 
จังหวัดพระนครศรีอยุธยา</t>
  </si>
  <si>
    <t xml:space="preserve"> 26 ธ.ค.67</t>
  </si>
  <si>
    <t>สพจ.พระนครศรีอยุธยา</t>
  </si>
  <si>
    <t>โครงการประตูระบายน้ำบ้านก่อพร้อมระบบส่งน้ำ 
จังหวัดสกลนคร</t>
  </si>
  <si>
    <t>สพจ.สกลนคร</t>
  </si>
  <si>
    <t>โครงการเก็บน้ำลำน้ำชี อันเนื่องมาจากพระราชดำริ 
จังหวัดชัยภูมิ</t>
  </si>
  <si>
    <t>สพจ.ชัยภูมิ</t>
  </si>
  <si>
    <t>โครงการอ่างเก็บน้ำน้ำกิ จังหวัดน่าน</t>
  </si>
  <si>
    <t>สพจ.น่าน</t>
  </si>
  <si>
    <t>โครงการอ่างเก็บน้ำคลองโพล้ จังหวัดระยอง</t>
  </si>
  <si>
    <t>สพจ.ระยอง</t>
  </si>
  <si>
    <t>จังหวัดกาญจนบุรี 2 รายการ (เบิกจ่ายครบถ้วนแล้ว)</t>
  </si>
  <si>
    <t>จังหวัดนครพนม 5 รายการ (เบิกจ่ายครบถ้วนแล้ว)</t>
  </si>
  <si>
    <t>จังหวัดนครราชสีมา 3 รายการ (เบิกจ่ายครบถ้วนแล้ว)</t>
  </si>
  <si>
    <t>คงเหลือรับจัดสรร</t>
  </si>
  <si>
    <t>ข้อมูลวันที่ 10 มกราคม 2568</t>
  </si>
  <si>
    <t>เบิกจ่ายร้อยละ</t>
  </si>
  <si>
    <t>วันที่เรียกรายงาน 16 มกราคม 2568</t>
  </si>
  <si>
    <t>ข้อมูล ณ วันที่ 10 มกราคม 2568</t>
  </si>
  <si>
    <t>สำรองเงิน
(CX)</t>
  </si>
  <si>
    <t>รวม (ผลการเบิกจ่าย+PO+สำรองเงิน)</t>
  </si>
  <si>
    <t>เพิ่มขึ้น/
(ลดลง)
(ร้อยละ)</t>
  </si>
  <si>
    <t xml:space="preserve">อยู่ระหว่างโอนเงิน
กลับส่วนกลาง
</t>
  </si>
  <si>
    <t>เขตตรวจ
ราชการ</t>
  </si>
  <si>
    <t>เบอร์โทร
พัฒนาการ
จังหวัด</t>
  </si>
  <si>
    <t>เบอร์โทร
อำนวยการ
จังหวัด</t>
  </si>
  <si>
    <t>ทบ.คุม ตา</t>
  </si>
  <si>
    <t>ผลต่าง</t>
  </si>
  <si>
    <t>ค่าจ้างไตรมาส -3-4</t>
  </si>
  <si>
    <t>ผู้ตรวจ</t>
  </si>
  <si>
    <t>นางสาวอรษา  โพธิ์ทอง</t>
  </si>
  <si>
    <t>084-8740608</t>
  </si>
  <si>
    <t>081-8224652</t>
  </si>
  <si>
    <t>18</t>
  </si>
  <si>
    <t>นายไพศาล  สุขปัญญา</t>
  </si>
  <si>
    <t>084-8740629</t>
  </si>
  <si>
    <t>081-8123354</t>
  </si>
  <si>
    <t>8</t>
  </si>
  <si>
    <t>นางปราณี  รัตนประยูร</t>
  </si>
  <si>
    <t>084-8740611</t>
  </si>
  <si>
    <t>081-8229240</t>
  </si>
  <si>
    <t>084-8740628</t>
  </si>
  <si>
    <t>081-8233415</t>
  </si>
  <si>
    <t>13</t>
  </si>
  <si>
    <t>นางอัจฉราวรรณ มณีขัติย์</t>
  </si>
  <si>
    <t>084-8740573</t>
  </si>
  <si>
    <t>081-8232403</t>
  </si>
  <si>
    <t>นางวิไลวรรณ  ไกรโสดา</t>
  </si>
  <si>
    <t>084-8740559</t>
  </si>
  <si>
    <t>081-8224961</t>
  </si>
  <si>
    <t>084-8740605</t>
  </si>
  <si>
    <t>081-8223481</t>
  </si>
  <si>
    <t>084-8740626</t>
  </si>
  <si>
    <t>081-8225870</t>
  </si>
  <si>
    <t>14</t>
  </si>
  <si>
    <t>084-8740634</t>
  </si>
  <si>
    <t>081-8212826</t>
  </si>
  <si>
    <t>17</t>
  </si>
  <si>
    <t>084-8740592</t>
  </si>
  <si>
    <t>081-8221482</t>
  </si>
  <si>
    <t>084-8740623</t>
  </si>
  <si>
    <t>081-8230742</t>
  </si>
  <si>
    <t>084-8740614</t>
  </si>
  <si>
    <t>081-8216746</t>
  </si>
  <si>
    <t>นายอาจณรงค์ สัตยพานิช</t>
  </si>
  <si>
    <t>084-8740599</t>
  </si>
  <si>
    <t>081-8229504</t>
  </si>
  <si>
    <t>084-8740589</t>
  </si>
  <si>
    <t>081-8232776</t>
  </si>
  <si>
    <t>084-8740571</t>
  </si>
  <si>
    <t>081-8234018</t>
  </si>
  <si>
    <t>084-8740627</t>
  </si>
  <si>
    <t>081-8209176</t>
  </si>
  <si>
    <t>นายไพบูลย์  บูรณสันติ</t>
  </si>
  <si>
    <t>084-8740596</t>
  </si>
  <si>
    <t>081-7551824</t>
  </si>
  <si>
    <t>10</t>
  </si>
  <si>
    <t>นายสินชัย ถนอมสิน</t>
  </si>
  <si>
    <t>084-8740633</t>
  </si>
  <si>
    <t>081-8225054</t>
  </si>
  <si>
    <t>นายวิฑูรย์  นวลนุกุล</t>
  </si>
  <si>
    <t>084-8740613</t>
  </si>
  <si>
    <t>081-8220831</t>
  </si>
  <si>
    <t>084-8740580</t>
  </si>
  <si>
    <t>081-8232557</t>
  </si>
  <si>
    <t>นายปรีชา  กิจติสันจกุล</t>
  </si>
  <si>
    <t>084-8740620</t>
  </si>
  <si>
    <t>081-8218761</t>
  </si>
  <si>
    <t>16</t>
  </si>
  <si>
    <t>นายก่อพงษ์  โกมลรัตน์</t>
  </si>
  <si>
    <t>084-8740587</t>
  </si>
  <si>
    <t>081-8201489</t>
  </si>
  <si>
    <t>084-8740561</t>
  </si>
  <si>
    <t>081-8229685</t>
  </si>
  <si>
    <t>084-8740568</t>
  </si>
  <si>
    <t>081-8229624</t>
  </si>
  <si>
    <t>9</t>
  </si>
  <si>
    <t>084-8740566</t>
  </si>
  <si>
    <t>081-8224698</t>
  </si>
  <si>
    <t>084-8740601</t>
  </si>
  <si>
    <t>081-8214916</t>
  </si>
  <si>
    <t>15</t>
  </si>
  <si>
    <t>084-8740583</t>
  </si>
  <si>
    <t>081-8201864</t>
  </si>
  <si>
    <t>084-8740593</t>
  </si>
  <si>
    <t>081-8220924</t>
  </si>
  <si>
    <t>084-8740572</t>
  </si>
  <si>
    <t>081-8224170</t>
  </si>
  <si>
    <t>084-8740598</t>
  </si>
  <si>
    <t>081-8229573</t>
  </si>
  <si>
    <t>11</t>
  </si>
  <si>
    <t>084-8740582</t>
  </si>
  <si>
    <t>081-8226728</t>
  </si>
  <si>
    <t>084-8740595</t>
  </si>
  <si>
    <t>081-8224865</t>
  </si>
  <si>
    <t>084-8740576</t>
  </si>
  <si>
    <t>081-8223967</t>
  </si>
  <si>
    <t>084-8740604</t>
  </si>
  <si>
    <t>081-8220583</t>
  </si>
  <si>
    <t>084-8740602</t>
  </si>
  <si>
    <t>081-8208351</t>
  </si>
  <si>
    <t>084-8740607</t>
  </si>
  <si>
    <t>081-8230356</t>
  </si>
  <si>
    <t>084-8740563</t>
  </si>
  <si>
    <t>081-8200367</t>
  </si>
  <si>
    <t>084-8740567</t>
  </si>
  <si>
    <t>081-8215983</t>
  </si>
  <si>
    <t>084-8740609</t>
  </si>
  <si>
    <t>081-8201291</t>
  </si>
  <si>
    <t>084-8740632</t>
  </si>
  <si>
    <t>081-8198794</t>
  </si>
  <si>
    <t>084-8740585</t>
  </si>
  <si>
    <t>081-8225624</t>
  </si>
  <si>
    <t>084-8740590</t>
  </si>
  <si>
    <t>081-8223069</t>
  </si>
  <si>
    <t>084-8740618</t>
  </si>
  <si>
    <t>081-8209504</t>
  </si>
  <si>
    <t>084-8740617</t>
  </si>
  <si>
    <t>081-8229361</t>
  </si>
  <si>
    <t>084-8740603</t>
  </si>
  <si>
    <t>081-7539352</t>
  </si>
  <si>
    <t>084-8740569</t>
  </si>
  <si>
    <t>081-8198547</t>
  </si>
  <si>
    <t>084-8740565</t>
  </si>
  <si>
    <t>081-8199643</t>
  </si>
  <si>
    <t>084-8740581</t>
  </si>
  <si>
    <t>081-8230969</t>
  </si>
  <si>
    <t>084-8740588</t>
  </si>
  <si>
    <t>081-8224085</t>
  </si>
  <si>
    <t>084-8740577</t>
  </si>
  <si>
    <t>081-8204003</t>
  </si>
  <si>
    <t>084-8740630</t>
  </si>
  <si>
    <t>081-8203138</t>
  </si>
  <si>
    <t>084-8740578</t>
  </si>
  <si>
    <t>081-8231797</t>
  </si>
  <si>
    <t>084-8740631</t>
  </si>
  <si>
    <t>081-8230021</t>
  </si>
  <si>
    <t>084-8740570</t>
  </si>
  <si>
    <t>081-8202936</t>
  </si>
  <si>
    <t>084-8740591</t>
  </si>
  <si>
    <t>081-8211871</t>
  </si>
  <si>
    <t>12</t>
  </si>
  <si>
    <t>นางสาวศันสนีย์ ทาสม</t>
  </si>
  <si>
    <t>084-8740575</t>
  </si>
  <si>
    <t>081-8224319</t>
  </si>
  <si>
    <t>084-8740597</t>
  </si>
  <si>
    <t>081-8203586</t>
  </si>
  <si>
    <t>084-8740615</t>
  </si>
  <si>
    <t>081-8224258</t>
  </si>
  <si>
    <t>084-8740579</t>
  </si>
  <si>
    <t>081-8197149</t>
  </si>
  <si>
    <t>084-8740562</t>
  </si>
  <si>
    <t>081-8203317</t>
  </si>
  <si>
    <t>084-8740600</t>
  </si>
  <si>
    <t>081-8221675</t>
  </si>
  <si>
    <t>084-8740625</t>
  </si>
  <si>
    <t>081-8223712</t>
  </si>
  <si>
    <t>084-8740624</t>
  </si>
  <si>
    <t>081-8200641</t>
  </si>
  <si>
    <t>084-8740622</t>
  </si>
  <si>
    <t>081-8205963</t>
  </si>
  <si>
    <t>084-8740619</t>
  </si>
  <si>
    <t>081-8214023</t>
  </si>
  <si>
    <t>084-8740586</t>
  </si>
  <si>
    <t>081-8220368</t>
  </si>
  <si>
    <t>084-8740621</t>
  </si>
  <si>
    <t>081-8232085</t>
  </si>
  <si>
    <t>081-3713976</t>
  </si>
  <si>
    <t>081-8234758</t>
  </si>
  <si>
    <t>084-8740594</t>
  </si>
  <si>
    <t>081-8221893</t>
  </si>
  <si>
    <t>084-8740584</t>
  </si>
  <si>
    <t>081-8225798</t>
  </si>
  <si>
    <t>084-8740560</t>
  </si>
  <si>
    <t>081-8229830</t>
  </si>
  <si>
    <t>084-8740610</t>
  </si>
  <si>
    <t>081-8227109</t>
  </si>
  <si>
    <t>084-8740574</t>
  </si>
  <si>
    <t>081-8021017</t>
  </si>
  <si>
    <t>084-8740564</t>
  </si>
  <si>
    <t>081-8230175</t>
  </si>
  <si>
    <t>084-8740616</t>
  </si>
  <si>
    <t>081-8209924</t>
  </si>
  <si>
    <t>084-8740612</t>
  </si>
  <si>
    <t>081-8202716</t>
  </si>
  <si>
    <t>ข้อมูลสะสมตั้งแต่วันที่ 1 ตุลาคม 2567  ถึงสิ้นงวดวันที่ 15 มกราคม 2568</t>
  </si>
  <si>
    <t>ข้อมูลสะสมตั้งแต่วันที่ 1 ตุลาคม 2567 ถึงวันที่ 15 มกราคม 2568</t>
  </si>
  <si>
    <t>ครุภัณฑ์คอมพิวเตอร์ ส่วนกลาง (เครื่องคอมพิวเตอร์โน้ตบุ๊ค (MacBook Air 13 นิ้ว) จำนวน 5 เครื่อง ๆ ละ 29,580 บาท</t>
  </si>
  <si>
    <t>ข้อมูลสะสมตั้งแต่วันที่ 29 พฤศจิกายน 2567 ถึงวันที่ 15 มกราคม 2568</t>
  </si>
  <si>
    <t xml:space="preserve"> 15 ต.ค.68</t>
  </si>
  <si>
    <t>จังหวัดกาฬสินธุ์ 1 รายการ (เบิกจ่ายครบถ้วนแล้ว)</t>
  </si>
  <si>
    <t>จังหวัดเชียงราย 17 รายการ</t>
  </si>
  <si>
    <t>จังหวัดสกลนคร 4 รายการ (เบิกจ่ายครบถ้วนแล้ว)</t>
  </si>
  <si>
    <t>จังหวัดขอนแก่น 13 รายการ (เบิกจ่ายครบถ้วนแล้ว)</t>
  </si>
  <si>
    <t>จังหวัดภูเก็ต 4 รายการ (เบิกจ่ายครบถ้วนแล้ว)</t>
  </si>
  <si>
    <t>จังหวัดพังงา 4 รายการ (เบิกจ่ายครบถ้วนแล้ว)</t>
  </si>
  <si>
    <t>จังหวัดลำปาง 1 รายการ (เบิกจ่ายครบถ้วนแล้ว)</t>
  </si>
  <si>
    <t>จังหวัดหนองบัวลำภู 6 รายการ (เบิกจ่ายครบถ้วนแล้ว)</t>
  </si>
  <si>
    <t>จังหวัดกำแพงเพชร 4 รายการ (เบิกจ่ายครบถ้วนแล้ว)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</si>
</sst>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_);_(* \(#,##0.000\);_(* &quot;-&quot;??_);_(@_)"/>
    <numFmt numFmtId="167" formatCode="0.000"/>
    <numFmt numFmtId="168" formatCode="_(* #,##0.0000_);_(* \(#,##0.0000\);_(* &quot;-&quot;??_);_(@_)"/>
    <numFmt numFmtId="169" formatCode="[$-101041E]d\ mmm\ yy;@"/>
    <numFmt numFmtId="170" formatCode="_-* #,##0.000_-;\-* #,##0.000_-;_-* &quot;-&quot;??_-;_-@_-"/>
    <numFmt numFmtId="171" formatCode="#,##0.000"/>
    <numFmt numFmtId="172" formatCode="_-* #,##0_-;\-* #,##0_-;_-* &quot;-&quot;??_-;_-@_-"/>
    <numFmt numFmtId="176" formatCode="0.00_);\(0.00\)"/>
  </numFmts>
  <fonts count="210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0"/>
      <name val="TH SarabunPSK"/>
      <family val="2"/>
    </font>
    <font>
      <b/>
      <sz val="16"/>
      <color indexed="8"/>
      <name val="TH SarabunPSK"/>
      <family val="2"/>
    </font>
    <font>
      <b/>
      <sz val="15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9"/>
      <name val="Calibri"/>
      <family val="2"/>
    </font>
    <font>
      <sz val="10"/>
      <name val="Arial"/>
      <family val="2"/>
    </font>
    <font>
      <sz val="15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b/>
      <sz val="10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b/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color rgb="FFFF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4"/>
      <color theme="0"/>
      <name val="Chulabhorn Likit Text Light"/>
      <family val="3"/>
    </font>
    <font>
      <sz val="9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9"/>
      <color theme="1"/>
      <name val="Chulabhorn Likit Text Light"/>
      <family val="3"/>
    </font>
    <font>
      <sz val="13"/>
      <name val="Chulabhorn Likit Text Light"/>
      <family val="3"/>
    </font>
    <font>
      <b/>
      <sz val="10"/>
      <name val="Arial"/>
      <family val="2"/>
    </font>
    <font>
      <sz val="16"/>
      <name val="Chulabhorn Likit Text Light"/>
      <family val="3"/>
    </font>
    <font>
      <sz val="10"/>
      <color rgb="FFFF0000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6"/>
      <color theme="1"/>
      <name val="Chulabhorn Likit Text Light"/>
      <family val="3"/>
    </font>
    <font>
      <b/>
      <sz val="20"/>
      <color theme="1"/>
      <name val="Chulabhorn Likit Text Light"/>
      <family val="3"/>
    </font>
    <font>
      <b/>
      <sz val="11"/>
      <color theme="1"/>
      <name val="Chulabhorn Likit Text Light"/>
      <family val="3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sz val="11"/>
      <name val="Chulabhorn Likit Text Light"/>
      <family val="3"/>
      <charset val="222"/>
    </font>
    <font>
      <sz val="11"/>
      <name val="Arial"/>
      <family val="2"/>
      <charset val="22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1"/>
      <name val="TH SarabunPSK"/>
      <family val="2"/>
      <charset val="222"/>
    </font>
    <font>
      <sz val="10"/>
      <color theme="1"/>
      <name val="Chulabhorn Likit Text Light"/>
      <family val="3"/>
    </font>
    <font>
      <sz val="10"/>
      <name val="Arial"/>
      <family val="2"/>
    </font>
    <font>
      <sz val="13"/>
      <color theme="1"/>
      <name val="Chulabhorn Likit Text Light"/>
      <family val="3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Chulabhorn Likit Text Light"/>
      <family val="3"/>
      <charset val="222"/>
    </font>
    <font>
      <sz val="16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8"/>
      <color theme="1"/>
      <name val="Chulabhorn Likit Text Light"/>
      <family val="3"/>
    </font>
    <font>
      <b/>
      <sz val="14"/>
      <color theme="1"/>
      <name val="TH SarabunPSK"/>
      <family val="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sz val="18"/>
      <color rgb="FFFF0000"/>
      <name val="TH SarabunPSK"/>
      <family val="2"/>
    </font>
    <font>
      <b/>
      <sz val="14"/>
      <color indexed="8"/>
      <name val="Chulabhorn Likit Text Light"/>
      <family val="3"/>
    </font>
    <font>
      <b/>
      <u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1"/>
      <name val="TH SarabunPSK"/>
      <family val="2"/>
      <charset val="222"/>
    </font>
    <font>
      <b/>
      <sz val="11"/>
      <name val="Chulabhorn Likit Text Light"/>
      <family val="3"/>
      <charset val="222"/>
    </font>
    <font>
      <b/>
      <u/>
      <sz val="11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b/>
      <sz val="16"/>
      <color theme="1"/>
      <name val="Chulabhorn Likit Text Light"/>
      <family val="3"/>
      <charset val="222"/>
    </font>
    <font>
      <b/>
      <sz val="16"/>
      <color theme="1"/>
      <name val="TH SarabunPSK"/>
      <family val="2"/>
      <charset val="222"/>
    </font>
    <font>
      <b/>
      <sz val="12"/>
      <color theme="4"/>
      <name val="Chulabhorn Likit Text Light"/>
      <family val="3"/>
    </font>
    <font>
      <b/>
      <sz val="12"/>
      <color rgb="FFFF0000"/>
      <name val="Chulabhorn Likit Text Light"/>
      <family val="3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b/>
      <sz val="14"/>
      <name val="Chulabhorn Likit Text Light"/>
      <family val="3"/>
      <charset val="222"/>
    </font>
    <font>
      <sz val="17"/>
      <name val="TH SarabunPSK"/>
      <family val="2"/>
      <charset val="222"/>
    </font>
    <font>
      <sz val="14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12"/>
      <color theme="0"/>
      <name val="TH SarabunPSK"/>
      <family val="2"/>
      <charset val="222"/>
    </font>
    <font>
      <sz val="16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0CB4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80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80" fillId="0" borderId="0" applyFont="0" applyFill="0" applyBorder="0" applyAlignment="0" applyProtection="0"/>
    <xf numFmtId="0" fontId="87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9" fillId="0" borderId="0"/>
    <xf numFmtId="0" fontId="89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91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80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80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89" fillId="0" borderId="0"/>
    <xf numFmtId="43" fontId="8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9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93" fillId="0" borderId="0"/>
    <xf numFmtId="0" fontId="46" fillId="0" borderId="0"/>
    <xf numFmtId="0" fontId="46" fillId="0" borderId="0"/>
    <xf numFmtId="0" fontId="45" fillId="0" borderId="0"/>
    <xf numFmtId="0" fontId="9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97" fillId="0" borderId="0"/>
    <xf numFmtId="0" fontId="37" fillId="0" borderId="0"/>
    <xf numFmtId="0" fontId="59" fillId="0" borderId="0"/>
    <xf numFmtId="0" fontId="37" fillId="0" borderId="0"/>
    <xf numFmtId="0" fontId="98" fillId="0" borderId="0"/>
    <xf numFmtId="43" fontId="98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97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99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100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101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102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102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16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18" fillId="0" borderId="0"/>
    <xf numFmtId="0" fontId="17" fillId="11" borderId="39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19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20" fillId="0" borderId="0"/>
    <xf numFmtId="0" fontId="14" fillId="0" borderId="0"/>
    <xf numFmtId="43" fontId="14" fillId="0" borderId="0" applyFont="0" applyFill="0" applyBorder="0" applyAlignment="0" applyProtection="0"/>
    <xf numFmtId="0" fontId="124" fillId="0" borderId="0"/>
    <xf numFmtId="43" fontId="89" fillId="0" borderId="0" applyFont="0" applyFill="0" applyBorder="0" applyAlignment="0" applyProtection="0"/>
    <xf numFmtId="0" fontId="89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32" fillId="0" borderId="0"/>
    <xf numFmtId="0" fontId="132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39" applyNumberFormat="0" applyFont="0" applyAlignment="0" applyProtection="0"/>
    <xf numFmtId="0" fontId="6" fillId="11" borderId="39" applyNumberFormat="0" applyFont="0" applyAlignment="0" applyProtection="0"/>
    <xf numFmtId="43" fontId="8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34" fillId="0" borderId="0"/>
    <xf numFmtId="0" fontId="3" fillId="0" borderId="0"/>
    <xf numFmtId="0" fontId="80" fillId="0" borderId="0"/>
    <xf numFmtId="0" fontId="135" fillId="0" borderId="0"/>
    <xf numFmtId="0" fontId="136" fillId="0" borderId="0"/>
    <xf numFmtId="0" fontId="2" fillId="0" borderId="0"/>
    <xf numFmtId="0" fontId="138" fillId="0" borderId="0"/>
    <xf numFmtId="0" fontId="139" fillId="0" borderId="0"/>
    <xf numFmtId="0" fontId="140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45" fillId="0" borderId="0"/>
    <xf numFmtId="0" fontId="147" fillId="0" borderId="0"/>
    <xf numFmtId="0" fontId="59" fillId="0" borderId="0"/>
    <xf numFmtId="0" fontId="152" fillId="0" borderId="0"/>
    <xf numFmtId="0" fontId="157" fillId="0" borderId="0"/>
    <xf numFmtId="0" fontId="157" fillId="0" borderId="0"/>
    <xf numFmtId="0" fontId="160" fillId="0" borderId="0"/>
  </cellStyleXfs>
  <cellXfs count="1083">
    <xf numFmtId="0" fontId="0" fillId="0" borderId="0" xfId="0"/>
    <xf numFmtId="0" fontId="70" fillId="0" borderId="0" xfId="0" applyFont="1"/>
    <xf numFmtId="0" fontId="72" fillId="0" borderId="0" xfId="0" applyFont="1"/>
    <xf numFmtId="0" fontId="72" fillId="6" borderId="0" xfId="0" applyFont="1" applyFill="1"/>
    <xf numFmtId="0" fontId="72" fillId="6" borderId="0" xfId="0" applyFont="1" applyFill="1" applyAlignment="1">
      <alignment horizontal="left" vertical="top"/>
    </xf>
    <xf numFmtId="0" fontId="84" fillId="0" borderId="0" xfId="0" applyFont="1"/>
    <xf numFmtId="0" fontId="59" fillId="0" borderId="0" xfId="15"/>
    <xf numFmtId="0" fontId="90" fillId="0" borderId="0" xfId="15" applyFont="1"/>
    <xf numFmtId="0" fontId="91" fillId="0" borderId="0" xfId="33"/>
    <xf numFmtId="0" fontId="96" fillId="0" borderId="0" xfId="15" applyFont="1"/>
    <xf numFmtId="0" fontId="95" fillId="0" borderId="0" xfId="15" applyFont="1"/>
    <xf numFmtId="0" fontId="74" fillId="0" borderId="0" xfId="10" applyFont="1" applyAlignment="1">
      <alignment vertical="center"/>
    </xf>
    <xf numFmtId="0" fontId="74" fillId="0" borderId="0" xfId="10" applyFont="1"/>
    <xf numFmtId="165" fontId="74" fillId="0" borderId="0" xfId="10" applyNumberFormat="1" applyFont="1"/>
    <xf numFmtId="0" fontId="83" fillId="0" borderId="0" xfId="10" applyFont="1"/>
    <xf numFmtId="0" fontId="91" fillId="0" borderId="0" xfId="33" applyAlignment="1">
      <alignment vertical="center"/>
    </xf>
    <xf numFmtId="0" fontId="95" fillId="0" borderId="0" xfId="15" applyFont="1" applyAlignment="1">
      <alignment vertical="top"/>
    </xf>
    <xf numFmtId="0" fontId="59" fillId="0" borderId="0" xfId="15" applyAlignment="1">
      <alignment vertical="top"/>
    </xf>
    <xf numFmtId="0" fontId="129" fillId="0" borderId="0" xfId="15" applyFont="1" applyAlignment="1">
      <alignment vertical="center"/>
    </xf>
    <xf numFmtId="0" fontId="105" fillId="0" borderId="0" xfId="15" applyFont="1" applyAlignment="1">
      <alignment horizontal="center"/>
    </xf>
    <xf numFmtId="0" fontId="105" fillId="0" borderId="0" xfId="15" applyFont="1" applyAlignment="1">
      <alignment horizontal="center" vertical="center"/>
    </xf>
    <xf numFmtId="0" fontId="105" fillId="0" borderId="0" xfId="15" applyFont="1" applyAlignment="1">
      <alignment horizontal="left"/>
    </xf>
    <xf numFmtId="0" fontId="105" fillId="0" borderId="0" xfId="15" applyFont="1"/>
    <xf numFmtId="165" fontId="105" fillId="0" borderId="0" xfId="3" applyFont="1"/>
    <xf numFmtId="2" fontId="105" fillId="0" borderId="0" xfId="15" applyNumberFormat="1" applyFont="1"/>
    <xf numFmtId="0" fontId="105" fillId="0" borderId="20" xfId="15" applyFont="1" applyBorder="1" applyAlignment="1">
      <alignment horizontal="center"/>
    </xf>
    <xf numFmtId="165" fontId="105" fillId="0" borderId="20" xfId="3" applyFont="1" applyBorder="1" applyAlignment="1">
      <alignment horizontal="center"/>
    </xf>
    <xf numFmtId="0" fontId="105" fillId="0" borderId="3" xfId="15" applyFont="1" applyBorder="1"/>
    <xf numFmtId="0" fontId="105" fillId="0" borderId="3" xfId="15" applyFont="1" applyBorder="1" applyAlignment="1">
      <alignment horizontal="center"/>
    </xf>
    <xf numFmtId="165" fontId="123" fillId="0" borderId="0" xfId="3" applyFont="1"/>
    <xf numFmtId="0" fontId="131" fillId="0" borderId="0" xfId="15" applyFont="1"/>
    <xf numFmtId="165" fontId="131" fillId="0" borderId="0" xfId="3" applyFont="1"/>
    <xf numFmtId="0" fontId="131" fillId="0" borderId="0" xfId="15" applyFont="1" applyAlignment="1">
      <alignment horizontal="center"/>
    </xf>
    <xf numFmtId="0" fontId="123" fillId="0" borderId="3" xfId="33" applyFont="1" applyBorder="1" applyAlignment="1">
      <alignment horizontal="center"/>
    </xf>
    <xf numFmtId="165" fontId="123" fillId="0" borderId="3" xfId="3" applyFont="1" applyBorder="1" applyAlignment="1">
      <alignment horizontal="center"/>
    </xf>
    <xf numFmtId="0" fontId="105" fillId="0" borderId="0" xfId="33" applyFont="1"/>
    <xf numFmtId="0" fontId="130" fillId="0" borderId="0" xfId="33" applyFont="1"/>
    <xf numFmtId="0" fontId="123" fillId="0" borderId="0" xfId="33" applyFont="1" applyAlignment="1">
      <alignment horizontal="center"/>
    </xf>
    <xf numFmtId="0" fontId="123" fillId="0" borderId="0" xfId="33" applyFont="1"/>
    <xf numFmtId="0" fontId="105" fillId="0" borderId="20" xfId="15" applyFont="1" applyBorder="1" applyAlignment="1">
      <alignment horizontal="left"/>
    </xf>
    <xf numFmtId="0" fontId="105" fillId="0" borderId="3" xfId="33" applyFont="1" applyBorder="1"/>
    <xf numFmtId="165" fontId="105" fillId="0" borderId="3" xfId="3" applyFont="1" applyBorder="1"/>
    <xf numFmtId="2" fontId="105" fillId="0" borderId="3" xfId="33" applyNumberFormat="1" applyFont="1" applyBorder="1"/>
    <xf numFmtId="0" fontId="105" fillId="0" borderId="6" xfId="15" applyFont="1" applyBorder="1" applyAlignment="1">
      <alignment horizontal="center"/>
    </xf>
    <xf numFmtId="0" fontId="105" fillId="0" borderId="6" xfId="15" applyFont="1" applyBorder="1" applyAlignment="1">
      <alignment horizontal="center" vertical="center"/>
    </xf>
    <xf numFmtId="165" fontId="105" fillId="0" borderId="6" xfId="3" applyFont="1" applyBorder="1" applyAlignment="1">
      <alignment horizontal="center"/>
    </xf>
    <xf numFmtId="0" fontId="104" fillId="0" borderId="6" xfId="15" applyFont="1" applyBorder="1" applyAlignment="1">
      <alignment horizontal="center" vertical="center"/>
    </xf>
    <xf numFmtId="2" fontId="104" fillId="0" borderId="6" xfId="15" applyNumberFormat="1" applyFont="1" applyBorder="1" applyAlignment="1">
      <alignment horizontal="center" vertical="center"/>
    </xf>
    <xf numFmtId="165" fontId="104" fillId="0" borderId="6" xfId="3" applyFont="1" applyBorder="1" applyAlignment="1">
      <alignment horizontal="center" vertical="center"/>
    </xf>
    <xf numFmtId="165" fontId="106" fillId="0" borderId="38" xfId="185" applyFont="1" applyFill="1" applyBorder="1" applyAlignment="1">
      <alignment vertical="center"/>
    </xf>
    <xf numFmtId="165" fontId="106" fillId="0" borderId="11" xfId="185" applyFont="1" applyFill="1" applyBorder="1" applyAlignment="1">
      <alignment vertical="center"/>
    </xf>
    <xf numFmtId="0" fontId="105" fillId="0" borderId="13" xfId="15" applyFont="1" applyBorder="1"/>
    <xf numFmtId="0" fontId="105" fillId="0" borderId="13" xfId="15" applyFont="1" applyBorder="1" applyAlignment="1">
      <alignment horizontal="center"/>
    </xf>
    <xf numFmtId="165" fontId="112" fillId="0" borderId="13" xfId="185" applyFont="1" applyBorder="1" applyAlignment="1">
      <alignment wrapText="1"/>
    </xf>
    <xf numFmtId="165" fontId="112" fillId="0" borderId="3" xfId="185" applyFont="1" applyBorder="1" applyAlignment="1">
      <alignment wrapText="1"/>
    </xf>
    <xf numFmtId="0" fontId="106" fillId="0" borderId="3" xfId="183" applyFont="1" applyBorder="1" applyAlignment="1">
      <alignment vertical="center"/>
    </xf>
    <xf numFmtId="165" fontId="106" fillId="0" borderId="3" xfId="185" applyFont="1" applyFill="1" applyBorder="1" applyAlignment="1">
      <alignment vertical="center"/>
    </xf>
    <xf numFmtId="0" fontId="106" fillId="0" borderId="3" xfId="183" applyFont="1" applyBorder="1" applyAlignment="1">
      <alignment horizontal="left" vertical="center"/>
    </xf>
    <xf numFmtId="0" fontId="106" fillId="0" borderId="3" xfId="183" applyFont="1" applyBorder="1" applyAlignment="1">
      <alignment horizontal="center" vertical="center"/>
    </xf>
    <xf numFmtId="0" fontId="106" fillId="0" borderId="13" xfId="183" applyFont="1" applyBorder="1" applyAlignment="1">
      <alignment vertical="center"/>
    </xf>
    <xf numFmtId="165" fontId="106" fillId="0" borderId="13" xfId="185" applyFont="1" applyFill="1" applyBorder="1" applyAlignment="1">
      <alignment vertical="center"/>
    </xf>
    <xf numFmtId="43" fontId="121" fillId="0" borderId="0" xfId="55" applyFont="1" applyFill="1" applyAlignment="1">
      <alignment vertical="center"/>
    </xf>
    <xf numFmtId="43" fontId="121" fillId="0" borderId="0" xfId="55" applyFont="1" applyFill="1" applyAlignment="1">
      <alignment horizontal="center" vertical="center"/>
    </xf>
    <xf numFmtId="0" fontId="144" fillId="0" borderId="0" xfId="33" applyFont="1" applyAlignment="1">
      <alignment vertical="center"/>
    </xf>
    <xf numFmtId="0" fontId="144" fillId="0" borderId="0" xfId="33" applyFont="1"/>
    <xf numFmtId="165" fontId="128" fillId="5" borderId="3" xfId="3" applyFont="1" applyFill="1" applyBorder="1" applyAlignment="1">
      <alignment horizontal="center" vertical="center"/>
    </xf>
    <xf numFmtId="165" fontId="128" fillId="0" borderId="18" xfId="3" applyFont="1" applyFill="1" applyBorder="1" applyAlignment="1">
      <alignment horizontal="center" vertical="center"/>
    </xf>
    <xf numFmtId="165" fontId="128" fillId="0" borderId="3" xfId="3" applyFont="1" applyFill="1" applyBorder="1" applyAlignment="1">
      <alignment horizontal="center" vertical="center"/>
    </xf>
    <xf numFmtId="165" fontId="128" fillId="4" borderId="3" xfId="3" applyFont="1" applyFill="1" applyBorder="1" applyAlignment="1">
      <alignment horizontal="center" vertical="center"/>
    </xf>
    <xf numFmtId="165" fontId="128" fillId="4" borderId="3" xfId="3" applyFont="1" applyFill="1" applyBorder="1" applyAlignment="1">
      <alignment vertical="center"/>
    </xf>
    <xf numFmtId="165" fontId="128" fillId="8" borderId="3" xfId="3" applyFont="1" applyFill="1" applyBorder="1" applyAlignment="1">
      <alignment horizontal="center" vertical="center"/>
    </xf>
    <xf numFmtId="165" fontId="128" fillId="8" borderId="3" xfId="3" applyFont="1" applyFill="1" applyBorder="1" applyAlignment="1">
      <alignment vertical="center"/>
    </xf>
    <xf numFmtId="165" fontId="128" fillId="0" borderId="14" xfId="3" applyFont="1" applyFill="1" applyBorder="1" applyAlignment="1">
      <alignment horizontal="center" vertical="center"/>
    </xf>
    <xf numFmtId="165" fontId="128" fillId="0" borderId="14" xfId="3" applyFont="1" applyFill="1" applyBorder="1" applyAlignment="1">
      <alignment vertical="center"/>
    </xf>
    <xf numFmtId="165" fontId="128" fillId="0" borderId="11" xfId="3" applyFont="1" applyFill="1" applyBorder="1" applyAlignment="1">
      <alignment horizontal="center" vertical="center"/>
    </xf>
    <xf numFmtId="165" fontId="128" fillId="0" borderId="11" xfId="3" applyFont="1" applyFill="1" applyBorder="1" applyAlignment="1">
      <alignment vertical="center"/>
    </xf>
    <xf numFmtId="165" fontId="128" fillId="0" borderId="0" xfId="3" applyFont="1" applyFill="1" applyAlignment="1">
      <alignment vertical="center"/>
    </xf>
    <xf numFmtId="165" fontId="128" fillId="0" borderId="18" xfId="3" applyFont="1" applyFill="1" applyBorder="1" applyAlignment="1">
      <alignment vertical="center"/>
    </xf>
    <xf numFmtId="165" fontId="128" fillId="0" borderId="9" xfId="3" applyFont="1" applyFill="1" applyBorder="1" applyAlignment="1">
      <alignment horizontal="center" vertical="center"/>
    </xf>
    <xf numFmtId="165" fontId="128" fillId="0" borderId="9" xfId="3" applyFont="1" applyFill="1" applyBorder="1" applyAlignment="1">
      <alignment vertical="center"/>
    </xf>
    <xf numFmtId="165" fontId="106" fillId="0" borderId="0" xfId="3" applyFont="1"/>
    <xf numFmtId="165" fontId="112" fillId="0" borderId="3" xfId="206" applyFont="1" applyFill="1" applyBorder="1" applyAlignment="1">
      <alignment vertical="center"/>
    </xf>
    <xf numFmtId="43" fontId="74" fillId="0" borderId="0" xfId="10" applyNumberFormat="1" applyFont="1"/>
    <xf numFmtId="0" fontId="111" fillId="9" borderId="6" xfId="10" applyFont="1" applyFill="1" applyBorder="1" applyAlignment="1">
      <alignment horizontal="center" vertical="center"/>
    </xf>
    <xf numFmtId="0" fontId="111" fillId="9" borderId="6" xfId="10" applyFont="1" applyFill="1" applyBorder="1" applyAlignment="1">
      <alignment horizontal="left" vertical="center"/>
    </xf>
    <xf numFmtId="0" fontId="106" fillId="0" borderId="27" xfId="10" applyFont="1" applyBorder="1" applyAlignment="1">
      <alignment horizontal="center"/>
    </xf>
    <xf numFmtId="0" fontId="106" fillId="0" borderId="27" xfId="10" applyFont="1" applyBorder="1" applyAlignment="1">
      <alignment horizontal="left"/>
    </xf>
    <xf numFmtId="0" fontId="106" fillId="0" borderId="0" xfId="10" applyFont="1" applyAlignment="1">
      <alignment horizontal="center"/>
    </xf>
    <xf numFmtId="0" fontId="112" fillId="0" borderId="0" xfId="10" applyFont="1" applyAlignment="1">
      <alignment horizontal="center"/>
    </xf>
    <xf numFmtId="0" fontId="112" fillId="0" borderId="0" xfId="10" applyFont="1" applyAlignment="1">
      <alignment horizontal="left"/>
    </xf>
    <xf numFmtId="165" fontId="128" fillId="0" borderId="2" xfId="3" applyFont="1" applyFill="1" applyBorder="1" applyAlignment="1">
      <alignment vertical="center"/>
    </xf>
    <xf numFmtId="165" fontId="128" fillId="0" borderId="3" xfId="3" applyFont="1" applyFill="1" applyBorder="1" applyAlignment="1">
      <alignment vertical="center"/>
    </xf>
    <xf numFmtId="0" fontId="106" fillId="0" borderId="13" xfId="183" applyFont="1" applyBorder="1" applyAlignment="1">
      <alignment horizontal="center" vertical="center"/>
    </xf>
    <xf numFmtId="0" fontId="154" fillId="0" borderId="0" xfId="33" applyFont="1"/>
    <xf numFmtId="165" fontId="106" fillId="0" borderId="0" xfId="3" applyFont="1" applyAlignment="1">
      <alignment horizontal="center" vertical="center"/>
    </xf>
    <xf numFmtId="0" fontId="105" fillId="0" borderId="3" xfId="33" applyFont="1" applyBorder="1" applyAlignment="1">
      <alignment horizontal="center"/>
    </xf>
    <xf numFmtId="43" fontId="107" fillId="0" borderId="8" xfId="37" applyFont="1" applyBorder="1" applyAlignment="1">
      <alignment horizontal="center" vertical="center" wrapText="1"/>
    </xf>
    <xf numFmtId="165" fontId="112" fillId="6" borderId="3" xfId="185" applyFont="1" applyFill="1" applyBorder="1" applyAlignment="1">
      <alignment wrapText="1"/>
    </xf>
    <xf numFmtId="0" fontId="106" fillId="0" borderId="3" xfId="305" applyFont="1" applyBorder="1" applyAlignment="1">
      <alignment vertical="center"/>
    </xf>
    <xf numFmtId="0" fontId="106" fillId="0" borderId="3" xfId="305" applyFont="1" applyBorder="1" applyAlignment="1">
      <alignment horizontal="left" vertical="center"/>
    </xf>
    <xf numFmtId="165" fontId="148" fillId="0" borderId="0" xfId="185" applyFont="1" applyFill="1" applyBorder="1"/>
    <xf numFmtId="165" fontId="148" fillId="6" borderId="0" xfId="185" applyFont="1" applyFill="1" applyBorder="1"/>
    <xf numFmtId="2" fontId="148" fillId="6" borderId="0" xfId="185" applyNumberFormat="1" applyFont="1" applyFill="1" applyBorder="1"/>
    <xf numFmtId="165" fontId="148" fillId="6" borderId="0" xfId="185" applyFont="1" applyFill="1" applyBorder="1" applyAlignment="1">
      <alignment horizontal="center"/>
    </xf>
    <xf numFmtId="165" fontId="149" fillId="6" borderId="3" xfId="185" applyFont="1" applyFill="1" applyBorder="1" applyAlignment="1" applyProtection="1">
      <alignment horizontal="center" vertical="center"/>
    </xf>
    <xf numFmtId="2" fontId="149" fillId="6" borderId="3" xfId="185" applyNumberFormat="1" applyFont="1" applyFill="1" applyBorder="1" applyAlignment="1" applyProtection="1">
      <alignment horizontal="center" vertical="center"/>
    </xf>
    <xf numFmtId="165" fontId="148" fillId="0" borderId="18" xfId="185" applyFont="1" applyFill="1" applyBorder="1" applyAlignment="1">
      <alignment horizontal="left"/>
    </xf>
    <xf numFmtId="165" fontId="148" fillId="6" borderId="18" xfId="185" applyFont="1" applyFill="1" applyBorder="1"/>
    <xf numFmtId="2" fontId="148" fillId="6" borderId="18" xfId="185" applyNumberFormat="1" applyFont="1" applyFill="1" applyBorder="1"/>
    <xf numFmtId="165" fontId="148" fillId="6" borderId="18" xfId="185" applyFont="1" applyFill="1" applyBorder="1" applyAlignment="1">
      <alignment horizontal="left"/>
    </xf>
    <xf numFmtId="165" fontId="149" fillId="6" borderId="18" xfId="185" applyFont="1" applyFill="1" applyBorder="1" applyAlignment="1" applyProtection="1">
      <alignment horizontal="center" shrinkToFit="1"/>
    </xf>
    <xf numFmtId="165" fontId="148" fillId="6" borderId="18" xfId="185" applyFont="1" applyFill="1" applyBorder="1" applyAlignment="1">
      <alignment horizontal="center"/>
    </xf>
    <xf numFmtId="165" fontId="148" fillId="0" borderId="0" xfId="185" applyFont="1" applyFill="1" applyBorder="1" applyAlignment="1">
      <alignment horizontal="left"/>
    </xf>
    <xf numFmtId="165" fontId="148" fillId="6" borderId="0" xfId="185" applyFont="1" applyFill="1" applyBorder="1" applyAlignment="1">
      <alignment horizontal="left"/>
    </xf>
    <xf numFmtId="2" fontId="148" fillId="6" borderId="0" xfId="185" applyNumberFormat="1" applyFont="1" applyFill="1" applyBorder="1" applyAlignment="1">
      <alignment horizontal="center"/>
    </xf>
    <xf numFmtId="165" fontId="106" fillId="0" borderId="0" xfId="185" applyFont="1" applyFill="1" applyBorder="1"/>
    <xf numFmtId="2" fontId="106" fillId="0" borderId="0" xfId="185" applyNumberFormat="1" applyFont="1" applyFill="1" applyBorder="1"/>
    <xf numFmtId="165" fontId="106" fillId="0" borderId="0" xfId="185" applyFont="1" applyFill="1" applyBorder="1" applyAlignment="1" applyProtection="1">
      <alignment horizontal="center"/>
    </xf>
    <xf numFmtId="2" fontId="106" fillId="0" borderId="0" xfId="185" applyNumberFormat="1" applyFont="1" applyFill="1" applyBorder="1" applyAlignment="1" applyProtection="1">
      <alignment horizontal="center"/>
    </xf>
    <xf numFmtId="165" fontId="112" fillId="0" borderId="0" xfId="185" applyFont="1" applyFill="1" applyBorder="1"/>
    <xf numFmtId="165" fontId="112" fillId="0" borderId="0" xfId="185" applyFont="1" applyFill="1" applyBorder="1" applyAlignment="1" applyProtection="1">
      <alignment horizontal="center"/>
    </xf>
    <xf numFmtId="2" fontId="112" fillId="0" borderId="0" xfId="185" applyNumberFormat="1" applyFont="1" applyFill="1" applyBorder="1" applyAlignment="1" applyProtection="1">
      <alignment horizontal="center"/>
    </xf>
    <xf numFmtId="165" fontId="114" fillId="6" borderId="0" xfId="185" applyFont="1" applyFill="1" applyBorder="1" applyAlignment="1">
      <alignment horizontal="left"/>
    </xf>
    <xf numFmtId="165" fontId="114" fillId="6" borderId="0" xfId="185" applyFont="1" applyFill="1" applyBorder="1"/>
    <xf numFmtId="165" fontId="155" fillId="6" borderId="0" xfId="185" applyFont="1" applyFill="1" applyBorder="1"/>
    <xf numFmtId="165" fontId="109" fillId="6" borderId="0" xfId="185" applyFont="1" applyFill="1" applyBorder="1"/>
    <xf numFmtId="165" fontId="156" fillId="6" borderId="0" xfId="185" applyFont="1" applyFill="1" applyBorder="1"/>
    <xf numFmtId="165" fontId="112" fillId="6" borderId="0" xfId="185" applyFont="1" applyFill="1" applyBorder="1"/>
    <xf numFmtId="165" fontId="112" fillId="0" borderId="0" xfId="185" applyFont="1" applyFill="1" applyProtection="1">
      <protection locked="0"/>
    </xf>
    <xf numFmtId="165" fontId="106" fillId="0" borderId="0" xfId="185" applyFont="1" applyFill="1" applyProtection="1">
      <protection locked="0"/>
    </xf>
    <xf numFmtId="43" fontId="78" fillId="0" borderId="0" xfId="55" applyFont="1"/>
    <xf numFmtId="43" fontId="74" fillId="0" borderId="0" xfId="55" applyFont="1" applyAlignment="1">
      <alignment vertical="center"/>
    </xf>
    <xf numFmtId="43" fontId="74" fillId="0" borderId="0" xfId="55" applyFont="1"/>
    <xf numFmtId="43" fontId="78" fillId="0" borderId="0" xfId="55" applyFont="1" applyFill="1"/>
    <xf numFmtId="43" fontId="83" fillId="0" borderId="0" xfId="55" applyFont="1" applyFill="1"/>
    <xf numFmtId="43" fontId="83" fillId="0" borderId="0" xfId="55" applyFont="1"/>
    <xf numFmtId="43" fontId="112" fillId="6" borderId="11" xfId="37" applyFont="1" applyFill="1" applyBorder="1" applyAlignment="1">
      <alignment horizontal="center"/>
    </xf>
    <xf numFmtId="43" fontId="112" fillId="6" borderId="9" xfId="37" applyFont="1" applyFill="1" applyBorder="1" applyAlignment="1">
      <alignment horizontal="center"/>
    </xf>
    <xf numFmtId="2" fontId="106" fillId="0" borderId="0" xfId="185" applyNumberFormat="1" applyFont="1" applyFill="1" applyBorder="1" applyAlignment="1">
      <alignment horizontal="center" vertical="center"/>
    </xf>
    <xf numFmtId="2" fontId="106" fillId="0" borderId="0" xfId="185" applyNumberFormat="1" applyFont="1" applyFill="1" applyBorder="1" applyAlignment="1" applyProtection="1">
      <alignment horizontal="center" vertical="center"/>
    </xf>
    <xf numFmtId="0" fontId="159" fillId="0" borderId="13" xfId="147" applyFont="1" applyBorder="1" applyAlignment="1">
      <alignment horizontal="center"/>
    </xf>
    <xf numFmtId="0" fontId="112" fillId="0" borderId="13" xfId="305" applyFont="1" applyBorder="1" applyAlignment="1">
      <alignment wrapText="1" shrinkToFit="1"/>
    </xf>
    <xf numFmtId="0" fontId="159" fillId="0" borderId="3" xfId="15" applyFont="1" applyBorder="1" applyAlignment="1">
      <alignment horizontal="center"/>
    </xf>
    <xf numFmtId="0" fontId="159" fillId="0" borderId="3" xfId="147" applyFont="1" applyBorder="1" applyAlignment="1">
      <alignment horizontal="center"/>
    </xf>
    <xf numFmtId="0" fontId="112" fillId="6" borderId="3" xfId="305" applyFont="1" applyFill="1" applyBorder="1" applyAlignment="1">
      <alignment wrapText="1" shrinkToFit="1"/>
    </xf>
    <xf numFmtId="0" fontId="112" fillId="0" borderId="3" xfId="305" applyFont="1" applyBorder="1" applyAlignment="1">
      <alignment wrapText="1" shrinkToFit="1"/>
    </xf>
    <xf numFmtId="0" fontId="112" fillId="6" borderId="3" xfId="305" applyFont="1" applyFill="1" applyBorder="1" applyAlignment="1">
      <alignment shrinkToFit="1"/>
    </xf>
    <xf numFmtId="0" fontId="159" fillId="0" borderId="3" xfId="147" applyFont="1" applyBorder="1" applyAlignment="1">
      <alignment horizontal="center" vertical="top"/>
    </xf>
    <xf numFmtId="0" fontId="159" fillId="0" borderId="13" xfId="15" applyFont="1" applyBorder="1" applyAlignment="1">
      <alignment vertical="center"/>
    </xf>
    <xf numFmtId="0" fontId="159" fillId="0" borderId="3" xfId="15" applyFont="1" applyBorder="1" applyAlignment="1">
      <alignment vertical="center"/>
    </xf>
    <xf numFmtId="0" fontId="131" fillId="0" borderId="0" xfId="15" applyFont="1" applyAlignment="1">
      <alignment vertical="center"/>
    </xf>
    <xf numFmtId="0" fontId="105" fillId="0" borderId="0" xfId="15" applyFont="1" applyAlignment="1">
      <alignment vertical="center"/>
    </xf>
    <xf numFmtId="2" fontId="106" fillId="0" borderId="0" xfId="185" applyNumberFormat="1" applyFont="1" applyFill="1" applyBorder="1" applyAlignment="1"/>
    <xf numFmtId="0" fontId="74" fillId="0" borderId="0" xfId="0" applyFont="1" applyAlignment="1">
      <alignment vertical="center"/>
    </xf>
    <xf numFmtId="0" fontId="92" fillId="0" borderId="0" xfId="0" applyFont="1"/>
    <xf numFmtId="0" fontId="92" fillId="0" borderId="0" xfId="0" applyFont="1" applyAlignment="1">
      <alignment vertical="center"/>
    </xf>
    <xf numFmtId="0" fontId="106" fillId="5" borderId="3" xfId="0" applyFont="1" applyFill="1" applyBorder="1" applyAlignment="1">
      <alignment horizontal="center" vertical="center"/>
    </xf>
    <xf numFmtId="0" fontId="85" fillId="0" borderId="0" xfId="0" applyFont="1" applyAlignment="1">
      <alignment vertical="center"/>
    </xf>
    <xf numFmtId="0" fontId="106" fillId="5" borderId="3" xfId="0" applyFont="1" applyFill="1" applyBorder="1" applyAlignment="1">
      <alignment horizontal="left" vertical="center"/>
    </xf>
    <xf numFmtId="0" fontId="106" fillId="0" borderId="14" xfId="0" applyFont="1" applyBorder="1" applyAlignment="1">
      <alignment horizontal="left" vertical="center"/>
    </xf>
    <xf numFmtId="0" fontId="106" fillId="0" borderId="9" xfId="0" applyFont="1" applyBorder="1" applyAlignment="1">
      <alignment horizontal="left" vertical="center"/>
    </xf>
    <xf numFmtId="0" fontId="106" fillId="0" borderId="11" xfId="0" applyFont="1" applyBorder="1" applyAlignment="1">
      <alignment horizontal="left" vertical="center"/>
    </xf>
    <xf numFmtId="165" fontId="92" fillId="0" borderId="0" xfId="0" applyNumberFormat="1" applyFont="1" applyAlignment="1">
      <alignment vertical="center"/>
    </xf>
    <xf numFmtId="0" fontId="106" fillId="4" borderId="3" xfId="0" applyFont="1" applyFill="1" applyBorder="1" applyAlignment="1">
      <alignment vertical="center"/>
    </xf>
    <xf numFmtId="0" fontId="106" fillId="8" borderId="3" xfId="0" applyFont="1" applyFill="1" applyBorder="1" applyAlignment="1">
      <alignment vertical="center" wrapText="1"/>
    </xf>
    <xf numFmtId="0" fontId="106" fillId="4" borderId="3" xfId="0" applyFont="1" applyFill="1" applyBorder="1" applyAlignment="1">
      <alignment vertical="center" wrapText="1"/>
    </xf>
    <xf numFmtId="0" fontId="85" fillId="0" borderId="16" xfId="0" applyFont="1" applyBorder="1" applyAlignment="1">
      <alignment vertical="center"/>
    </xf>
    <xf numFmtId="0" fontId="85" fillId="0" borderId="21" xfId="0" applyFont="1" applyBorder="1" applyAlignment="1">
      <alignment vertical="center"/>
    </xf>
    <xf numFmtId="0" fontId="85" fillId="0" borderId="29" xfId="0" applyFont="1" applyBorder="1" applyAlignment="1">
      <alignment vertical="center"/>
    </xf>
    <xf numFmtId="0" fontId="85" fillId="0" borderId="30" xfId="0" applyFont="1" applyBorder="1" applyAlignment="1">
      <alignment vertical="center"/>
    </xf>
    <xf numFmtId="0" fontId="106" fillId="0" borderId="18" xfId="0" applyFont="1" applyBorder="1" applyAlignment="1">
      <alignment horizontal="left" vertical="center"/>
    </xf>
    <xf numFmtId="0" fontId="106" fillId="0" borderId="3" xfId="0" applyFont="1" applyBorder="1" applyAlignment="1">
      <alignment horizontal="left" vertical="center"/>
    </xf>
    <xf numFmtId="0" fontId="106" fillId="0" borderId="0" xfId="0" applyFont="1"/>
    <xf numFmtId="0" fontId="159" fillId="0" borderId="38" xfId="15" applyFont="1" applyBorder="1" applyAlignment="1">
      <alignment horizontal="center"/>
    </xf>
    <xf numFmtId="0" fontId="72" fillId="0" borderId="3" xfId="321" applyFont="1" applyBorder="1" applyAlignment="1">
      <alignment horizontal="center" vertical="center"/>
    </xf>
    <xf numFmtId="0" fontId="72" fillId="0" borderId="3" xfId="15" applyFont="1" applyBorder="1" applyAlignment="1">
      <alignment horizontal="center" vertical="center"/>
    </xf>
    <xf numFmtId="165" fontId="72" fillId="0" borderId="3" xfId="3" applyFont="1" applyBorder="1" applyAlignment="1">
      <alignment horizontal="center" vertical="center"/>
    </xf>
    <xf numFmtId="0" fontId="72" fillId="0" borderId="3" xfId="321" applyFont="1" applyBorder="1" applyAlignment="1">
      <alignment horizontal="right" vertical="center"/>
    </xf>
    <xf numFmtId="0" fontId="88" fillId="0" borderId="0" xfId="33" applyFont="1" applyAlignment="1">
      <alignment horizontal="center"/>
    </xf>
    <xf numFmtId="0" fontId="88" fillId="0" borderId="0" xfId="33" applyFont="1" applyAlignment="1">
      <alignment horizontal="left"/>
    </xf>
    <xf numFmtId="165" fontId="88" fillId="0" borderId="0" xfId="3" applyFont="1" applyFill="1" applyBorder="1" applyAlignment="1">
      <alignment horizontal="center"/>
    </xf>
    <xf numFmtId="2" fontId="88" fillId="0" borderId="0" xfId="33" applyNumberFormat="1" applyFont="1" applyAlignment="1">
      <alignment horizontal="right"/>
    </xf>
    <xf numFmtId="165" fontId="150" fillId="5" borderId="6" xfId="185" applyFont="1" applyFill="1" applyBorder="1" applyAlignment="1"/>
    <xf numFmtId="2" fontId="149" fillId="5" borderId="6" xfId="185" applyNumberFormat="1" applyFont="1" applyFill="1" applyBorder="1" applyAlignment="1" applyProtection="1">
      <alignment horizontal="center" shrinkToFit="1"/>
    </xf>
    <xf numFmtId="43" fontId="107" fillId="0" borderId="8" xfId="37" applyFont="1" applyFill="1" applyBorder="1" applyAlignment="1">
      <alignment horizontal="center" vertical="center"/>
    </xf>
    <xf numFmtId="43" fontId="85" fillId="0" borderId="0" xfId="0" applyNumberFormat="1" applyFont="1" applyAlignment="1">
      <alignment vertical="center"/>
    </xf>
    <xf numFmtId="165" fontId="128" fillId="0" borderId="3" xfId="3" applyFont="1" applyBorder="1" applyAlignment="1">
      <alignment horizontal="center" vertical="center"/>
    </xf>
    <xf numFmtId="168" fontId="128" fillId="4" borderId="3" xfId="3" applyNumberFormat="1" applyFont="1" applyFill="1" applyBorder="1" applyAlignment="1">
      <alignment horizontal="center" vertical="center"/>
    </xf>
    <xf numFmtId="168" fontId="128" fillId="8" borderId="3" xfId="3" applyNumberFormat="1" applyFont="1" applyFill="1" applyBorder="1" applyAlignment="1">
      <alignment horizontal="center" vertical="center"/>
    </xf>
    <xf numFmtId="166" fontId="128" fillId="0" borderId="3" xfId="3" applyNumberFormat="1" applyFont="1" applyFill="1" applyBorder="1" applyAlignment="1">
      <alignment horizontal="center" vertical="center"/>
    </xf>
    <xf numFmtId="0" fontId="151" fillId="0" borderId="3" xfId="0" applyFont="1" applyBorder="1" applyAlignment="1">
      <alignment horizontal="left" vertical="center"/>
    </xf>
    <xf numFmtId="165" fontId="161" fillId="0" borderId="3" xfId="3" applyFont="1" applyFill="1" applyBorder="1" applyAlignment="1">
      <alignment horizontal="center" vertical="center"/>
    </xf>
    <xf numFmtId="165" fontId="161" fillId="0" borderId="3" xfId="3" applyFont="1" applyFill="1" applyBorder="1" applyAlignment="1">
      <alignment vertical="center"/>
    </xf>
    <xf numFmtId="0" fontId="162" fillId="0" borderId="21" xfId="0" applyFont="1" applyBorder="1" applyAlignment="1">
      <alignment vertical="center"/>
    </xf>
    <xf numFmtId="0" fontId="162" fillId="0" borderId="0" xfId="0" applyFont="1" applyAlignment="1">
      <alignment vertical="center"/>
    </xf>
    <xf numFmtId="0" fontId="162" fillId="0" borderId="16" xfId="0" applyFont="1" applyBorder="1" applyAlignment="1">
      <alignment vertical="center"/>
    </xf>
    <xf numFmtId="0" fontId="106" fillId="25" borderId="3" xfId="0" applyFont="1" applyFill="1" applyBorder="1" applyAlignment="1">
      <alignment vertical="center" wrapText="1"/>
    </xf>
    <xf numFmtId="165" fontId="128" fillId="25" borderId="3" xfId="3" applyFont="1" applyFill="1" applyBorder="1" applyAlignment="1">
      <alignment horizontal="center" vertical="center"/>
    </xf>
    <xf numFmtId="165" fontId="128" fillId="25" borderId="3" xfId="3" applyFont="1" applyFill="1" applyBorder="1" applyAlignment="1">
      <alignment vertical="center"/>
    </xf>
    <xf numFmtId="165" fontId="128" fillId="0" borderId="22" xfId="3" applyFont="1" applyFill="1" applyBorder="1" applyAlignment="1">
      <alignment horizontal="center" vertical="center"/>
    </xf>
    <xf numFmtId="165" fontId="128" fillId="0" borderId="20" xfId="3" applyFont="1" applyFill="1" applyBorder="1" applyAlignment="1">
      <alignment horizontal="center" vertical="center"/>
    </xf>
    <xf numFmtId="165" fontId="128" fillId="0" borderId="8" xfId="3" applyFont="1" applyFill="1" applyBorder="1" applyAlignment="1">
      <alignment horizontal="center" vertical="center"/>
    </xf>
    <xf numFmtId="165" fontId="122" fillId="0" borderId="0" xfId="3" applyFont="1" applyFill="1" applyAlignment="1">
      <alignment horizontal="center" vertical="center"/>
    </xf>
    <xf numFmtId="165" fontId="122" fillId="0" borderId="0" xfId="3" applyFont="1"/>
    <xf numFmtId="165" fontId="122" fillId="0" borderId="0" xfId="3" applyFont="1" applyAlignment="1">
      <alignment horizontal="center" vertical="center"/>
    </xf>
    <xf numFmtId="165" fontId="114" fillId="0" borderId="0" xfId="3" applyFont="1" applyAlignment="1">
      <alignment vertical="center"/>
    </xf>
    <xf numFmtId="165" fontId="114" fillId="0" borderId="0" xfId="3" applyFont="1"/>
    <xf numFmtId="165" fontId="114" fillId="0" borderId="0" xfId="3" applyFont="1" applyFill="1" applyAlignment="1">
      <alignment horizontal="center" vertical="center"/>
    </xf>
    <xf numFmtId="165" fontId="114" fillId="0" borderId="0" xfId="3" applyFont="1" applyAlignment="1">
      <alignment horizontal="center" vertical="center"/>
    </xf>
    <xf numFmtId="165" fontId="106" fillId="0" borderId="0" xfId="3" applyFont="1" applyAlignment="1">
      <alignment vertical="center"/>
    </xf>
    <xf numFmtId="165" fontId="106" fillId="0" borderId="0" xfId="3" applyFont="1" applyFill="1" applyAlignment="1">
      <alignment horizontal="center" vertical="center"/>
    </xf>
    <xf numFmtId="2" fontId="114" fillId="6" borderId="0" xfId="185" applyNumberFormat="1" applyFont="1" applyFill="1" applyBorder="1"/>
    <xf numFmtId="167" fontId="114" fillId="6" borderId="0" xfId="185" applyNumberFormat="1" applyFont="1" applyFill="1" applyBorder="1" applyAlignment="1">
      <alignment horizontal="center"/>
    </xf>
    <xf numFmtId="2" fontId="112" fillId="6" borderId="0" xfId="185" applyNumberFormat="1" applyFont="1" applyFill="1" applyBorder="1"/>
    <xf numFmtId="167" fontId="112" fillId="6" borderId="0" xfId="185" applyNumberFormat="1" applyFont="1" applyFill="1" applyBorder="1" applyAlignment="1">
      <alignment horizontal="center"/>
    </xf>
    <xf numFmtId="2" fontId="112" fillId="0" borderId="0" xfId="185" applyNumberFormat="1" applyFont="1" applyFill="1" applyBorder="1"/>
    <xf numFmtId="167" fontId="112" fillId="0" borderId="0" xfId="185" applyNumberFormat="1" applyFont="1" applyFill="1" applyBorder="1" applyAlignment="1">
      <alignment horizontal="center"/>
    </xf>
    <xf numFmtId="167" fontId="106" fillId="0" borderId="0" xfId="185" applyNumberFormat="1" applyFont="1" applyFill="1" applyBorder="1" applyAlignment="1">
      <alignment horizontal="center"/>
    </xf>
    <xf numFmtId="43" fontId="107" fillId="0" borderId="3" xfId="37" applyFont="1" applyFill="1" applyBorder="1" applyAlignment="1">
      <alignment horizontal="center" vertical="center" wrapText="1"/>
    </xf>
    <xf numFmtId="0" fontId="107" fillId="9" borderId="6" xfId="10" applyFont="1" applyFill="1" applyBorder="1" applyAlignment="1">
      <alignment horizontal="center" vertical="center"/>
    </xf>
    <xf numFmtId="43" fontId="107" fillId="9" borderId="6" xfId="37" applyFont="1" applyFill="1" applyBorder="1" applyAlignment="1">
      <alignment horizontal="center"/>
    </xf>
    <xf numFmtId="43" fontId="106" fillId="0" borderId="27" xfId="37" applyFont="1" applyFill="1" applyBorder="1" applyAlignment="1">
      <alignment horizontal="center"/>
    </xf>
    <xf numFmtId="43" fontId="106" fillId="0" borderId="0" xfId="37" applyFont="1" applyFill="1" applyAlignment="1">
      <alignment horizontal="center"/>
    </xf>
    <xf numFmtId="43" fontId="106" fillId="0" borderId="0" xfId="37" applyFont="1" applyAlignment="1">
      <alignment horizontal="center"/>
    </xf>
    <xf numFmtId="0" fontId="127" fillId="0" borderId="0" xfId="33" applyFont="1"/>
    <xf numFmtId="0" fontId="127" fillId="0" borderId="0" xfId="33" applyFont="1" applyAlignment="1">
      <alignment horizontal="center"/>
    </xf>
    <xf numFmtId="165" fontId="127" fillId="0" borderId="0" xfId="3" applyFont="1"/>
    <xf numFmtId="0" fontId="105" fillId="0" borderId="3" xfId="33" applyFont="1" applyBorder="1" applyAlignment="1">
      <alignment horizontal="center" vertical="center"/>
    </xf>
    <xf numFmtId="0" fontId="159" fillId="6" borderId="3" xfId="125" applyFont="1" applyFill="1" applyBorder="1" applyAlignment="1">
      <alignment horizontal="left" vertical="center"/>
    </xf>
    <xf numFmtId="0" fontId="159" fillId="6" borderId="3" xfId="125" applyFont="1" applyFill="1" applyBorder="1" applyAlignment="1">
      <alignment horizontal="center" vertical="center"/>
    </xf>
    <xf numFmtId="43" fontId="159" fillId="0" borderId="3" xfId="37" applyFont="1" applyFill="1" applyBorder="1" applyAlignment="1">
      <alignment vertical="center"/>
    </xf>
    <xf numFmtId="165" fontId="165" fillId="0" borderId="3" xfId="3" applyFont="1" applyFill="1" applyBorder="1" applyAlignment="1">
      <alignment horizontal="center" vertical="center"/>
    </xf>
    <xf numFmtId="43" fontId="113" fillId="6" borderId="18" xfId="37" applyFont="1" applyFill="1" applyBorder="1" applyAlignment="1">
      <alignment horizontal="center"/>
    </xf>
    <xf numFmtId="165" fontId="128" fillId="6" borderId="3" xfId="3" applyFont="1" applyFill="1" applyBorder="1" applyAlignment="1">
      <alignment horizontal="center" vertical="center"/>
    </xf>
    <xf numFmtId="0" fontId="106" fillId="8" borderId="3" xfId="0" applyFont="1" applyFill="1" applyBorder="1" applyAlignment="1">
      <alignment vertical="center"/>
    </xf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2" fontId="106" fillId="0" borderId="0" xfId="0" applyNumberFormat="1" applyFont="1" applyAlignment="1">
      <alignment horizontal="center" vertical="center"/>
    </xf>
    <xf numFmtId="0" fontId="78" fillId="0" borderId="0" xfId="0" applyFont="1"/>
    <xf numFmtId="0" fontId="88" fillId="6" borderId="0" xfId="0" applyFont="1" applyFill="1"/>
    <xf numFmtId="0" fontId="114" fillId="6" borderId="0" xfId="0" applyFont="1" applyFill="1"/>
    <xf numFmtId="0" fontId="112" fillId="0" borderId="0" xfId="0" applyFont="1" applyAlignment="1">
      <alignment horizontal="center"/>
    </xf>
    <xf numFmtId="0" fontId="112" fillId="0" borderId="0" xfId="0" applyFont="1"/>
    <xf numFmtId="167" fontId="112" fillId="0" borderId="0" xfId="0" applyNumberFormat="1" applyFont="1" applyAlignment="1">
      <alignment horizontal="center"/>
    </xf>
    <xf numFmtId="21" fontId="112" fillId="0" borderId="0" xfId="0" applyNumberFormat="1" applyFont="1"/>
    <xf numFmtId="0" fontId="114" fillId="6" borderId="0" xfId="0" applyFont="1" applyFill="1" applyAlignment="1">
      <alignment horizontal="left"/>
    </xf>
    <xf numFmtId="0" fontId="114" fillId="6" borderId="0" xfId="0" applyFont="1" applyFill="1" applyAlignment="1">
      <alignment horizontal="left" indent="2"/>
    </xf>
    <xf numFmtId="2" fontId="114" fillId="6" borderId="0" xfId="0" applyNumberFormat="1" applyFont="1" applyFill="1"/>
    <xf numFmtId="0" fontId="78" fillId="6" borderId="0" xfId="0" applyFont="1" applyFill="1"/>
    <xf numFmtId="0" fontId="112" fillId="6" borderId="0" xfId="0" applyFont="1" applyFill="1"/>
    <xf numFmtId="0" fontId="112" fillId="6" borderId="0" xfId="0" applyFont="1" applyFill="1" applyAlignment="1">
      <alignment horizontal="left"/>
    </xf>
    <xf numFmtId="0" fontId="112" fillId="0" borderId="0" xfId="0" applyFont="1" applyAlignment="1">
      <alignment horizontal="left"/>
    </xf>
    <xf numFmtId="0" fontId="108" fillId="6" borderId="0" xfId="0" applyFont="1" applyFill="1"/>
    <xf numFmtId="0" fontId="148" fillId="6" borderId="0" xfId="0" applyFont="1" applyFill="1"/>
    <xf numFmtId="0" fontId="70" fillId="6" borderId="0" xfId="0" applyFont="1" applyFill="1"/>
    <xf numFmtId="2" fontId="149" fillId="6" borderId="3" xfId="0" applyNumberFormat="1" applyFont="1" applyFill="1" applyBorder="1" applyAlignment="1">
      <alignment horizontal="center" vertical="center"/>
    </xf>
    <xf numFmtId="0" fontId="148" fillId="6" borderId="18" xfId="0" applyFont="1" applyFill="1" applyBorder="1"/>
    <xf numFmtId="0" fontId="108" fillId="6" borderId="0" xfId="0" applyFont="1" applyFill="1" applyAlignment="1">
      <alignment horizontal="left"/>
    </xf>
    <xf numFmtId="2" fontId="148" fillId="0" borderId="0" xfId="0" applyNumberFormat="1" applyFont="1"/>
    <xf numFmtId="0" fontId="72" fillId="6" borderId="0" xfId="0" applyFont="1" applyFill="1" applyAlignment="1">
      <alignment horizontal="left" vertical="top" wrapText="1"/>
    </xf>
    <xf numFmtId="0" fontId="133" fillId="0" borderId="0" xfId="0" applyFont="1"/>
    <xf numFmtId="0" fontId="78" fillId="0" borderId="0" xfId="110" applyFont="1"/>
    <xf numFmtId="0" fontId="82" fillId="0" borderId="0" xfId="110" applyFont="1"/>
    <xf numFmtId="165" fontId="125" fillId="10" borderId="3" xfId="317" applyFont="1" applyFill="1" applyBorder="1" applyAlignment="1">
      <alignment horizontal="center" vertical="center" wrapText="1"/>
    </xf>
    <xf numFmtId="0" fontId="168" fillId="0" borderId="0" xfId="110" applyFont="1" applyAlignment="1">
      <alignment horizontal="center" vertical="center"/>
    </xf>
    <xf numFmtId="43" fontId="76" fillId="0" borderId="0" xfId="55" applyFont="1" applyAlignment="1">
      <alignment horizontal="center" vertical="center"/>
    </xf>
    <xf numFmtId="43" fontId="76" fillId="0" borderId="0" xfId="55" applyFont="1"/>
    <xf numFmtId="0" fontId="76" fillId="0" borderId="0" xfId="110" applyFont="1" applyAlignment="1">
      <alignment horizontal="center" vertical="center"/>
    </xf>
    <xf numFmtId="0" fontId="77" fillId="0" borderId="0" xfId="110" applyFont="1" applyAlignment="1">
      <alignment horizontal="center" vertical="center"/>
    </xf>
    <xf numFmtId="43" fontId="126" fillId="0" borderId="3" xfId="55" applyFont="1" applyFill="1" applyBorder="1" applyAlignment="1">
      <alignment horizontal="center" vertical="center"/>
    </xf>
    <xf numFmtId="43" fontId="141" fillId="0" borderId="3" xfId="110" applyNumberFormat="1" applyFont="1" applyBorder="1" applyAlignment="1">
      <alignment vertical="center"/>
    </xf>
    <xf numFmtId="43" fontId="141" fillId="0" borderId="3" xfId="55" applyFont="1" applyFill="1" applyBorder="1" applyAlignment="1">
      <alignment horizontal="center" vertical="top"/>
    </xf>
    <xf numFmtId="43" fontId="141" fillId="0" borderId="3" xfId="55" applyFont="1" applyFill="1" applyBorder="1" applyAlignment="1">
      <alignment vertical="center"/>
    </xf>
    <xf numFmtId="43" fontId="78" fillId="0" borderId="0" xfId="55" applyFont="1" applyFill="1" applyAlignment="1">
      <alignment vertical="center"/>
    </xf>
    <xf numFmtId="0" fontId="78" fillId="0" borderId="0" xfId="110" applyFont="1" applyAlignment="1">
      <alignment vertical="center"/>
    </xf>
    <xf numFmtId="43" fontId="126" fillId="24" borderId="3" xfId="110" applyNumberFormat="1" applyFont="1" applyFill="1" applyBorder="1" applyAlignment="1">
      <alignment vertical="center"/>
    </xf>
    <xf numFmtId="43" fontId="126" fillId="7" borderId="3" xfId="55" applyFont="1" applyFill="1" applyBorder="1" applyAlignment="1">
      <alignment vertical="center"/>
    </xf>
    <xf numFmtId="0" fontId="141" fillId="0" borderId="3" xfId="110" applyFont="1" applyBorder="1" applyAlignment="1">
      <alignment horizontal="center" vertical="center"/>
    </xf>
    <xf numFmtId="0" fontId="141" fillId="0" borderId="3" xfId="110" applyFont="1" applyBorder="1" applyAlignment="1">
      <alignment vertical="center" wrapText="1"/>
    </xf>
    <xf numFmtId="43" fontId="141" fillId="0" borderId="3" xfId="55" applyFont="1" applyFill="1" applyBorder="1" applyAlignment="1">
      <alignment horizontal="center" vertical="center"/>
    </xf>
    <xf numFmtId="43" fontId="126" fillId="0" borderId="3" xfId="55" applyFont="1" applyFill="1" applyBorder="1" applyAlignment="1">
      <alignment vertical="center"/>
    </xf>
    <xf numFmtId="43" fontId="126" fillId="0" borderId="3" xfId="110" applyNumberFormat="1" applyFont="1" applyBorder="1" applyAlignment="1">
      <alignment vertical="center"/>
    </xf>
    <xf numFmtId="0" fontId="141" fillId="0" borderId="3" xfId="110" applyFont="1" applyBorder="1" applyAlignment="1">
      <alignment vertical="center"/>
    </xf>
    <xf numFmtId="0" fontId="121" fillId="0" borderId="0" xfId="110" applyFont="1" applyAlignment="1">
      <alignment horizontal="center" vertical="center"/>
    </xf>
    <xf numFmtId="0" fontId="121" fillId="0" borderId="0" xfId="110" applyFont="1" applyAlignment="1">
      <alignment vertical="center"/>
    </xf>
    <xf numFmtId="43" fontId="121" fillId="0" borderId="0" xfId="55" applyFont="1" applyAlignment="1">
      <alignment vertical="center"/>
    </xf>
    <xf numFmtId="43" fontId="122" fillId="0" borderId="0" xfId="55" applyFont="1" applyFill="1" applyAlignment="1">
      <alignment vertical="center"/>
    </xf>
    <xf numFmtId="43" fontId="122" fillId="0" borderId="0" xfId="55" applyFont="1" applyFill="1" applyAlignment="1">
      <alignment horizontal="center" vertical="top"/>
    </xf>
    <xf numFmtId="43" fontId="122" fillId="0" borderId="0" xfId="55" applyFont="1" applyFill="1" applyAlignment="1">
      <alignment horizontal="center" vertical="center"/>
    </xf>
    <xf numFmtId="43" fontId="121" fillId="0" borderId="0" xfId="55" applyFont="1" applyFill="1" applyAlignment="1">
      <alignment horizontal="center" vertical="top"/>
    </xf>
    <xf numFmtId="43" fontId="121" fillId="0" borderId="0" xfId="55" applyFont="1" applyAlignment="1">
      <alignment horizontal="center" vertical="top"/>
    </xf>
    <xf numFmtId="43" fontId="121" fillId="0" borderId="0" xfId="55" applyFont="1" applyAlignment="1">
      <alignment horizontal="center" vertical="center"/>
    </xf>
    <xf numFmtId="0" fontId="74" fillId="0" borderId="0" xfId="0" applyFont="1" applyAlignment="1">
      <alignment horizontal="center"/>
    </xf>
    <xf numFmtId="0" fontId="148" fillId="0" borderId="0" xfId="0" applyFont="1" applyAlignment="1">
      <alignment horizontal="left" vertical="center"/>
    </xf>
    <xf numFmtId="165" fontId="148" fillId="0" borderId="0" xfId="3" applyFont="1" applyFill="1" applyBorder="1" applyAlignment="1">
      <alignment horizontal="center" vertical="center"/>
    </xf>
    <xf numFmtId="165" fontId="148" fillId="0" borderId="0" xfId="3" applyFont="1" applyFill="1" applyBorder="1" applyAlignment="1">
      <alignment vertical="center"/>
    </xf>
    <xf numFmtId="165" fontId="165" fillId="0" borderId="27" xfId="3" applyFont="1" applyFill="1" applyBorder="1" applyAlignment="1">
      <alignment horizontal="center" vertical="center"/>
    </xf>
    <xf numFmtId="0" fontId="169" fillId="0" borderId="0" xfId="0" applyFont="1" applyAlignment="1">
      <alignment vertical="center"/>
    </xf>
    <xf numFmtId="165" fontId="170" fillId="0" borderId="0" xfId="3" applyFont="1" applyAlignment="1">
      <alignment vertical="center"/>
    </xf>
    <xf numFmtId="165" fontId="170" fillId="0" borderId="0" xfId="3" applyFont="1"/>
    <xf numFmtId="165" fontId="148" fillId="0" borderId="0" xfId="3" applyFont="1" applyFill="1" applyAlignment="1">
      <alignment horizontal="center" vertical="center"/>
    </xf>
    <xf numFmtId="165" fontId="148" fillId="0" borderId="0" xfId="3" applyFont="1"/>
    <xf numFmtId="165" fontId="148" fillId="0" borderId="0" xfId="3" applyFont="1" applyAlignment="1">
      <alignment horizontal="center" vertical="center"/>
    </xf>
    <xf numFmtId="0" fontId="169" fillId="0" borderId="0" xfId="0" applyFont="1"/>
    <xf numFmtId="0" fontId="171" fillId="0" borderId="0" xfId="0" applyFont="1" applyAlignment="1">
      <alignment horizontal="left" vertical="center"/>
    </xf>
    <xf numFmtId="0" fontId="171" fillId="0" borderId="0" xfId="0" applyFont="1" applyAlignment="1">
      <alignment horizontal="right" vertical="center"/>
    </xf>
    <xf numFmtId="165" fontId="171" fillId="0" borderId="0" xfId="3" applyFont="1" applyAlignment="1">
      <alignment vertical="center"/>
    </xf>
    <xf numFmtId="0" fontId="171" fillId="0" borderId="0" xfId="0" applyFont="1" applyAlignment="1">
      <alignment horizontal="left"/>
    </xf>
    <xf numFmtId="0" fontId="171" fillId="0" borderId="0" xfId="0" applyFont="1" applyAlignment="1">
      <alignment horizontal="right"/>
    </xf>
    <xf numFmtId="0" fontId="172" fillId="0" borderId="0" xfId="0" applyFont="1"/>
    <xf numFmtId="165" fontId="171" fillId="0" borderId="0" xfId="3" applyFont="1"/>
    <xf numFmtId="0" fontId="148" fillId="0" borderId="0" xfId="0" applyFont="1"/>
    <xf numFmtId="165" fontId="148" fillId="0" borderId="0" xfId="3" applyFont="1" applyAlignment="1">
      <alignment vertical="center"/>
    </xf>
    <xf numFmtId="0" fontId="148" fillId="0" borderId="11" xfId="0" applyFont="1" applyBorder="1" applyAlignment="1">
      <alignment horizontal="center"/>
    </xf>
    <xf numFmtId="0" fontId="148" fillId="0" borderId="11" xfId="0" applyFont="1" applyBorder="1"/>
    <xf numFmtId="165" fontId="148" fillId="0" borderId="11" xfId="185" applyFont="1" applyFill="1" applyBorder="1" applyAlignment="1"/>
    <xf numFmtId="0" fontId="166" fillId="0" borderId="0" xfId="0" applyFont="1"/>
    <xf numFmtId="0" fontId="151" fillId="0" borderId="11" xfId="0" applyFont="1" applyBorder="1" applyAlignment="1">
      <alignment horizontal="center"/>
    </xf>
    <xf numFmtId="0" fontId="151" fillId="0" borderId="11" xfId="0" applyFont="1" applyBorder="1"/>
    <xf numFmtId="165" fontId="151" fillId="0" borderId="11" xfId="185" applyFont="1" applyFill="1" applyBorder="1" applyAlignment="1"/>
    <xf numFmtId="0" fontId="163" fillId="0" borderId="3" xfId="110" applyFont="1" applyBorder="1" applyAlignment="1">
      <alignment horizontal="center" vertical="center" wrapText="1"/>
    </xf>
    <xf numFmtId="43" fontId="163" fillId="0" borderId="3" xfId="110" applyNumberFormat="1" applyFont="1" applyBorder="1" applyAlignment="1">
      <alignment vertical="center"/>
    </xf>
    <xf numFmtId="0" fontId="164" fillId="0" borderId="0" xfId="110" applyFont="1" applyAlignment="1">
      <alignment vertical="center"/>
    </xf>
    <xf numFmtId="43" fontId="164" fillId="0" borderId="0" xfId="55" applyFont="1" applyFill="1" applyAlignment="1">
      <alignment vertical="center"/>
    </xf>
    <xf numFmtId="165" fontId="149" fillId="0" borderId="3" xfId="3" applyFont="1" applyBorder="1" applyAlignment="1">
      <alignment horizontal="center" vertical="center"/>
    </xf>
    <xf numFmtId="165" fontId="149" fillId="0" borderId="3" xfId="3" applyFont="1" applyBorder="1" applyAlignment="1">
      <alignment vertical="center"/>
    </xf>
    <xf numFmtId="165" fontId="149" fillId="0" borderId="3" xfId="3" applyFont="1" applyFill="1" applyBorder="1" applyAlignment="1">
      <alignment horizontal="center" vertical="center"/>
    </xf>
    <xf numFmtId="0" fontId="103" fillId="0" borderId="0" xfId="0" applyFont="1"/>
    <xf numFmtId="43" fontId="110" fillId="0" borderId="3" xfId="55" applyFont="1" applyBorder="1" applyAlignment="1">
      <alignment horizontal="center" vertical="center"/>
    </xf>
    <xf numFmtId="0" fontId="110" fillId="0" borderId="0" xfId="0" applyFont="1" applyAlignment="1">
      <alignment vertical="center"/>
    </xf>
    <xf numFmtId="43" fontId="108" fillId="0" borderId="0" xfId="55" applyFont="1" applyAlignment="1">
      <alignment horizontal="center" vertical="center"/>
    </xf>
    <xf numFmtId="43" fontId="108" fillId="0" borderId="0" xfId="55" applyFont="1"/>
    <xf numFmtId="0" fontId="110" fillId="0" borderId="0" xfId="0" applyFont="1" applyAlignment="1">
      <alignment horizontal="center" vertical="center"/>
    </xf>
    <xf numFmtId="0" fontId="110" fillId="26" borderId="6" xfId="0" applyFont="1" applyFill="1" applyBorder="1" applyAlignment="1">
      <alignment horizontal="center"/>
    </xf>
    <xf numFmtId="43" fontId="110" fillId="26" borderId="6" xfId="55" applyFont="1" applyFill="1" applyBorder="1" applyAlignment="1">
      <alignment horizontal="center"/>
    </xf>
    <xf numFmtId="43" fontId="110" fillId="26" borderId="6" xfId="55" applyFont="1" applyFill="1" applyBorder="1" applyAlignment="1">
      <alignment horizontal="center" vertical="center"/>
    </xf>
    <xf numFmtId="0" fontId="110" fillId="0" borderId="0" xfId="0" applyFont="1" applyAlignment="1">
      <alignment horizontal="center"/>
    </xf>
    <xf numFmtId="0" fontId="110" fillId="27" borderId="3" xfId="0" applyFont="1" applyFill="1" applyBorder="1" applyAlignment="1">
      <alignment horizontal="center" vertical="center"/>
    </xf>
    <xf numFmtId="0" fontId="110" fillId="27" borderId="3" xfId="0" applyFont="1" applyFill="1" applyBorder="1" applyAlignment="1">
      <alignment horizontal="left" vertical="center" wrapText="1"/>
    </xf>
    <xf numFmtId="0" fontId="110" fillId="27" borderId="3" xfId="0" applyFont="1" applyFill="1" applyBorder="1" applyAlignment="1">
      <alignment horizontal="center" vertical="center" wrapText="1"/>
    </xf>
    <xf numFmtId="43" fontId="110" fillId="27" borderId="3" xfId="55" applyFont="1" applyFill="1" applyBorder="1" applyAlignment="1">
      <alignment vertical="center"/>
    </xf>
    <xf numFmtId="43" fontId="110" fillId="27" borderId="13" xfId="55" applyFont="1" applyFill="1" applyBorder="1" applyAlignment="1">
      <alignment horizontal="center" vertical="center"/>
    </xf>
    <xf numFmtId="0" fontId="108" fillId="6" borderId="3" xfId="0" applyFont="1" applyFill="1" applyBorder="1" applyAlignment="1">
      <alignment horizontal="center" vertical="center"/>
    </xf>
    <xf numFmtId="0" fontId="108" fillId="6" borderId="3" xfId="0" applyFont="1" applyFill="1" applyBorder="1" applyAlignment="1">
      <alignment vertical="center" wrapText="1"/>
    </xf>
    <xf numFmtId="0" fontId="108" fillId="6" borderId="3" xfId="0" applyFont="1" applyFill="1" applyBorder="1" applyAlignment="1">
      <alignment horizontal="center" vertical="center" wrapText="1"/>
    </xf>
    <xf numFmtId="43" fontId="108" fillId="6" borderId="3" xfId="55" applyFont="1" applyFill="1" applyBorder="1" applyAlignment="1">
      <alignment vertical="center"/>
    </xf>
    <xf numFmtId="43" fontId="108" fillId="0" borderId="3" xfId="55" applyFont="1" applyBorder="1" applyAlignment="1">
      <alignment vertical="center"/>
    </xf>
    <xf numFmtId="43" fontId="108" fillId="0" borderId="3" xfId="55" applyFont="1" applyFill="1" applyBorder="1" applyAlignment="1">
      <alignment vertical="center"/>
    </xf>
    <xf numFmtId="43" fontId="108" fillId="0" borderId="3" xfId="55" applyFont="1" applyFill="1" applyBorder="1" applyAlignment="1">
      <alignment horizontal="center" vertical="center"/>
    </xf>
    <xf numFmtId="0" fontId="108" fillId="6" borderId="0" xfId="0" applyFont="1" applyFill="1" applyAlignment="1">
      <alignment vertical="center"/>
    </xf>
    <xf numFmtId="0" fontId="108" fillId="0" borderId="3" xfId="0" applyFont="1" applyBorder="1" applyAlignment="1">
      <alignment horizontal="left" vertical="center" wrapText="1"/>
    </xf>
    <xf numFmtId="0" fontId="108" fillId="0" borderId="3" xfId="0" applyFont="1" applyBorder="1" applyAlignment="1">
      <alignment horizontal="center" vertical="center" wrapText="1"/>
    </xf>
    <xf numFmtId="0" fontId="108" fillId="0" borderId="0" xfId="0" applyFont="1" applyAlignment="1">
      <alignment vertical="center"/>
    </xf>
    <xf numFmtId="0" fontId="108" fillId="0" borderId="0" xfId="0" applyFont="1"/>
    <xf numFmtId="0" fontId="108" fillId="0" borderId="3" xfId="0" applyFont="1" applyBorder="1" applyAlignment="1">
      <alignment vertical="center" wrapText="1"/>
    </xf>
    <xf numFmtId="0" fontId="110" fillId="27" borderId="3" xfId="0" applyFont="1" applyFill="1" applyBorder="1" applyAlignment="1">
      <alignment vertical="center" wrapText="1"/>
    </xf>
    <xf numFmtId="43" fontId="110" fillId="27" borderId="3" xfId="55" applyFont="1" applyFill="1" applyBorder="1" applyAlignment="1">
      <alignment horizontal="center" vertical="center"/>
    </xf>
    <xf numFmtId="0" fontId="110" fillId="6" borderId="0" xfId="0" applyFont="1" applyFill="1" applyAlignment="1">
      <alignment vertical="center"/>
    </xf>
    <xf numFmtId="43" fontId="108" fillId="0" borderId="3" xfId="55" applyFont="1" applyBorder="1" applyAlignment="1">
      <alignment horizontal="center" vertical="center"/>
    </xf>
    <xf numFmtId="0" fontId="108" fillId="6" borderId="3" xfId="0" applyFont="1" applyFill="1" applyBorder="1" applyAlignment="1">
      <alignment horizontal="left" vertical="center" wrapText="1"/>
    </xf>
    <xf numFmtId="0" fontId="108" fillId="0" borderId="0" xfId="0" applyFont="1" applyAlignment="1">
      <alignment horizontal="center"/>
    </xf>
    <xf numFmtId="43" fontId="73" fillId="0" borderId="0" xfId="55" applyFont="1"/>
    <xf numFmtId="0" fontId="107" fillId="9" borderId="6" xfId="37" applyNumberFormat="1" applyFont="1" applyFill="1" applyBorder="1" applyAlignment="1">
      <alignment horizontal="center" vertical="center"/>
    </xf>
    <xf numFmtId="43" fontId="107" fillId="9" borderId="6" xfId="55" applyFont="1" applyFill="1" applyBorder="1" applyAlignment="1">
      <alignment horizontal="center"/>
    </xf>
    <xf numFmtId="0" fontId="112" fillId="6" borderId="14" xfId="10" applyFont="1" applyFill="1" applyBorder="1" applyAlignment="1">
      <alignment horizontal="center"/>
    </xf>
    <xf numFmtId="0" fontId="112" fillId="6" borderId="14" xfId="10" applyFont="1" applyFill="1" applyBorder="1" applyAlignment="1">
      <alignment horizontal="left"/>
    </xf>
    <xf numFmtId="43" fontId="112" fillId="6" borderId="14" xfId="37" applyFont="1" applyFill="1" applyBorder="1" applyAlignment="1">
      <alignment horizontal="center"/>
    </xf>
    <xf numFmtId="43" fontId="112" fillId="6" borderId="14" xfId="10" applyNumberFormat="1" applyFont="1" applyFill="1" applyBorder="1" applyAlignment="1">
      <alignment horizontal="center"/>
    </xf>
    <xf numFmtId="43" fontId="78" fillId="6" borderId="0" xfId="10" applyNumberFormat="1" applyFont="1" applyFill="1"/>
    <xf numFmtId="165" fontId="78" fillId="6" borderId="0" xfId="10" applyNumberFormat="1" applyFont="1" applyFill="1"/>
    <xf numFmtId="43" fontId="78" fillId="6" borderId="0" xfId="55" applyFont="1" applyFill="1" applyAlignment="1"/>
    <xf numFmtId="0" fontId="78" fillId="6" borderId="0" xfId="10" applyFont="1" applyFill="1"/>
    <xf numFmtId="43" fontId="73" fillId="6" borderId="0" xfId="55" applyFont="1" applyFill="1" applyAlignment="1"/>
    <xf numFmtId="0" fontId="112" fillId="6" borderId="11" xfId="10" applyFont="1" applyFill="1" applyBorder="1" applyAlignment="1">
      <alignment horizontal="center"/>
    </xf>
    <xf numFmtId="0" fontId="112" fillId="6" borderId="11" xfId="10" applyFont="1" applyFill="1" applyBorder="1" applyAlignment="1">
      <alignment horizontal="left"/>
    </xf>
    <xf numFmtId="0" fontId="112" fillId="6" borderId="9" xfId="10" applyFont="1" applyFill="1" applyBorder="1" applyAlignment="1">
      <alignment horizontal="center"/>
    </xf>
    <xf numFmtId="0" fontId="112" fillId="6" borderId="9" xfId="10" applyFont="1" applyFill="1" applyBorder="1" applyAlignment="1">
      <alignment horizontal="left"/>
    </xf>
    <xf numFmtId="43" fontId="112" fillId="6" borderId="8" xfId="37" applyFont="1" applyFill="1" applyBorder="1" applyAlignment="1">
      <alignment horizontal="center"/>
    </xf>
    <xf numFmtId="0" fontId="113" fillId="6" borderId="18" xfId="10" applyFont="1" applyFill="1" applyBorder="1" applyAlignment="1">
      <alignment horizontal="center"/>
    </xf>
    <xf numFmtId="0" fontId="113" fillId="6" borderId="18" xfId="10" applyFont="1" applyFill="1" applyBorder="1" applyAlignment="1">
      <alignment horizontal="left"/>
    </xf>
    <xf numFmtId="0" fontId="117" fillId="6" borderId="0" xfId="10" applyFont="1" applyFill="1"/>
    <xf numFmtId="43" fontId="117" fillId="6" borderId="0" xfId="55" applyFont="1" applyFill="1"/>
    <xf numFmtId="43" fontId="81" fillId="6" borderId="0" xfId="55" applyFont="1" applyFill="1"/>
    <xf numFmtId="43" fontId="81" fillId="0" borderId="0" xfId="55" applyFont="1"/>
    <xf numFmtId="43" fontId="79" fillId="0" borderId="0" xfId="55" applyFont="1"/>
    <xf numFmtId="43" fontId="71" fillId="0" borderId="0" xfId="55" applyFont="1" applyAlignment="1">
      <alignment vertical="center"/>
    </xf>
    <xf numFmtId="43" fontId="71" fillId="0" borderId="0" xfId="55" applyFont="1"/>
    <xf numFmtId="43" fontId="173" fillId="0" borderId="0" xfId="55" applyFont="1"/>
    <xf numFmtId="2" fontId="107" fillId="9" borderId="6" xfId="37" applyNumberFormat="1" applyFont="1" applyFill="1" applyBorder="1" applyAlignment="1">
      <alignment horizontal="center"/>
    </xf>
    <xf numFmtId="2" fontId="112" fillId="6" borderId="11" xfId="37" applyNumberFormat="1" applyFont="1" applyFill="1" applyBorder="1" applyAlignment="1">
      <alignment horizontal="center"/>
    </xf>
    <xf numFmtId="2" fontId="112" fillId="6" borderId="14" xfId="37" applyNumberFormat="1" applyFont="1" applyFill="1" applyBorder="1" applyAlignment="1">
      <alignment horizontal="center"/>
    </xf>
    <xf numFmtId="0" fontId="109" fillId="0" borderId="0" xfId="0" applyFont="1" applyAlignment="1">
      <alignment vertical="center"/>
    </xf>
    <xf numFmtId="49" fontId="75" fillId="0" borderId="0" xfId="185" applyNumberFormat="1" applyFont="1" applyFill="1" applyBorder="1"/>
    <xf numFmtId="0" fontId="86" fillId="0" borderId="0" xfId="0" applyFont="1"/>
    <xf numFmtId="165" fontId="109" fillId="0" borderId="0" xfId="0" applyNumberFormat="1" applyFont="1" applyAlignment="1">
      <alignment vertical="center"/>
    </xf>
    <xf numFmtId="0" fontId="174" fillId="0" borderId="3" xfId="0" applyFont="1" applyBorder="1" applyAlignment="1">
      <alignment horizontal="center" vertical="center"/>
    </xf>
    <xf numFmtId="43" fontId="174" fillId="0" borderId="26" xfId="185" applyNumberFormat="1" applyFont="1" applyFill="1" applyBorder="1" applyAlignment="1">
      <alignment horizontal="center" vertical="center" wrapText="1"/>
    </xf>
    <xf numFmtId="49" fontId="74" fillId="0" borderId="0" xfId="185" applyNumberFormat="1" applyFont="1" applyFill="1" applyBorder="1"/>
    <xf numFmtId="43" fontId="174" fillId="0" borderId="20" xfId="185" applyNumberFormat="1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 vertical="center"/>
    </xf>
    <xf numFmtId="49" fontId="74" fillId="0" borderId="0" xfId="185" applyNumberFormat="1" applyFont="1" applyFill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103" fillId="4" borderId="6" xfId="0" applyFont="1" applyFill="1" applyBorder="1" applyAlignment="1">
      <alignment horizontal="center" vertical="center"/>
    </xf>
    <xf numFmtId="0" fontId="125" fillId="4" borderId="6" xfId="0" applyFont="1" applyFill="1" applyBorder="1" applyAlignment="1">
      <alignment horizontal="center" vertical="center"/>
    </xf>
    <xf numFmtId="49" fontId="103" fillId="4" borderId="6" xfId="185" applyNumberFormat="1" applyFont="1" applyFill="1" applyBorder="1" applyAlignment="1">
      <alignment horizontal="left" vertical="top"/>
    </xf>
    <xf numFmtId="165" fontId="103" fillId="4" borderId="6" xfId="185" applyFont="1" applyFill="1" applyBorder="1" applyAlignment="1">
      <alignment horizontal="center" vertical="center"/>
    </xf>
    <xf numFmtId="0" fontId="103" fillId="4" borderId="6" xfId="0" applyFont="1" applyFill="1" applyBorder="1" applyAlignment="1">
      <alignment horizontal="center"/>
    </xf>
    <xf numFmtId="165" fontId="109" fillId="0" borderId="0" xfId="0" applyNumberFormat="1" applyFont="1" applyAlignment="1">
      <alignment horizontal="left" vertical="center"/>
    </xf>
    <xf numFmtId="49" fontId="74" fillId="0" borderId="0" xfId="185" applyNumberFormat="1" applyFont="1" applyFill="1" applyBorder="1" applyAlignment="1">
      <alignment horizontal="center"/>
    </xf>
    <xf numFmtId="0" fontId="103" fillId="0" borderId="13" xfId="0" applyFont="1" applyBorder="1" applyAlignment="1">
      <alignment horizontal="center" vertical="center"/>
    </xf>
    <xf numFmtId="0" fontId="125" fillId="0" borderId="13" xfId="0" applyFont="1" applyBorder="1" applyAlignment="1">
      <alignment horizontal="left" vertical="center"/>
    </xf>
    <xf numFmtId="49" fontId="103" fillId="0" borderId="13" xfId="185" applyNumberFormat="1" applyFont="1" applyFill="1" applyBorder="1" applyAlignment="1">
      <alignment horizontal="left" vertical="top"/>
    </xf>
    <xf numFmtId="165" fontId="103" fillId="0" borderId="13" xfId="185" applyFont="1" applyFill="1" applyBorder="1" applyAlignment="1">
      <alignment horizontal="center" vertical="center"/>
    </xf>
    <xf numFmtId="0" fontId="103" fillId="0" borderId="8" xfId="0" applyFont="1" applyBorder="1" applyAlignment="1">
      <alignment horizontal="center"/>
    </xf>
    <xf numFmtId="0" fontId="103" fillId="0" borderId="20" xfId="0" applyFont="1" applyBorder="1" applyAlignment="1">
      <alignment horizontal="center"/>
    </xf>
    <xf numFmtId="0" fontId="137" fillId="0" borderId="3" xfId="0" applyFont="1" applyBorder="1" applyAlignment="1">
      <alignment horizontal="left" vertical="center"/>
    </xf>
    <xf numFmtId="49" fontId="175" fillId="0" borderId="3" xfId="185" applyNumberFormat="1" applyFont="1" applyFill="1" applyBorder="1" applyAlignment="1">
      <alignment horizontal="left" vertical="center"/>
    </xf>
    <xf numFmtId="165" fontId="174" fillId="0" borderId="3" xfId="185" applyFont="1" applyFill="1" applyBorder="1" applyAlignment="1">
      <alignment horizontal="left" vertical="center"/>
    </xf>
    <xf numFmtId="43" fontId="174" fillId="0" borderId="3" xfId="0" applyNumberFormat="1" applyFont="1" applyBorder="1" applyAlignment="1">
      <alignment horizontal="left" vertical="center"/>
    </xf>
    <xf numFmtId="0" fontId="174" fillId="0" borderId="8" xfId="0" applyFont="1" applyBorder="1" applyAlignment="1">
      <alignment horizontal="center" vertical="center" shrinkToFit="1"/>
    </xf>
    <xf numFmtId="0" fontId="174" fillId="0" borderId="20" xfId="0" applyFont="1" applyBorder="1" applyAlignment="1">
      <alignment horizontal="center" vertical="center"/>
    </xf>
    <xf numFmtId="0" fontId="176" fillId="0" borderId="3" xfId="0" applyFont="1" applyBorder="1" applyAlignment="1">
      <alignment horizontal="center" vertical="center"/>
    </xf>
    <xf numFmtId="49" fontId="177" fillId="0" borderId="3" xfId="0" applyNumberFormat="1" applyFont="1" applyBorder="1" applyAlignment="1">
      <alignment horizontal="left" vertical="center" wrapText="1"/>
    </xf>
    <xf numFmtId="49" fontId="176" fillId="0" borderId="3" xfId="185" applyNumberFormat="1" applyFont="1" applyFill="1" applyBorder="1" applyAlignment="1">
      <alignment horizontal="left" vertical="center"/>
    </xf>
    <xf numFmtId="165" fontId="176" fillId="0" borderId="3" xfId="185" applyFont="1" applyFill="1" applyBorder="1" applyAlignment="1">
      <alignment horizontal="center" vertical="center"/>
    </xf>
    <xf numFmtId="169" fontId="176" fillId="0" borderId="20" xfId="0" applyNumberFormat="1" applyFont="1" applyBorder="1" applyAlignment="1">
      <alignment horizontal="center" vertical="center"/>
    </xf>
    <xf numFmtId="0" fontId="176" fillId="0" borderId="20" xfId="0" applyFont="1" applyBorder="1" applyAlignment="1">
      <alignment horizontal="center" vertical="center"/>
    </xf>
    <xf numFmtId="49" fontId="178" fillId="0" borderId="0" xfId="185" applyNumberFormat="1" applyFont="1" applyFill="1" applyBorder="1" applyAlignment="1">
      <alignment vertical="center"/>
    </xf>
    <xf numFmtId="0" fontId="178" fillId="0" borderId="0" xfId="0" applyFont="1" applyAlignment="1">
      <alignment vertical="center"/>
    </xf>
    <xf numFmtId="0" fontId="115" fillId="0" borderId="3" xfId="0" applyFont="1" applyBorder="1" applyAlignment="1">
      <alignment horizontal="center" vertical="center"/>
    </xf>
    <xf numFmtId="49" fontId="115" fillId="0" borderId="3" xfId="185" applyNumberFormat="1" applyFont="1" applyFill="1" applyBorder="1" applyAlignment="1">
      <alignment horizontal="left" vertical="center"/>
    </xf>
    <xf numFmtId="165" fontId="115" fillId="0" borderId="3" xfId="185" applyFont="1" applyFill="1" applyBorder="1" applyAlignment="1">
      <alignment horizontal="center" vertical="center"/>
    </xf>
    <xf numFmtId="43" fontId="115" fillId="0" borderId="3" xfId="185" applyNumberFormat="1" applyFont="1" applyFill="1" applyBorder="1" applyAlignment="1">
      <alignment vertical="center" shrinkToFit="1"/>
    </xf>
    <xf numFmtId="49" fontId="77" fillId="0" borderId="0" xfId="185" applyNumberFormat="1" applyFont="1" applyFill="1" applyBorder="1" applyAlignment="1">
      <alignment vertical="center"/>
    </xf>
    <xf numFmtId="0" fontId="77" fillId="0" borderId="0" xfId="0" applyFont="1" applyAlignment="1">
      <alignment vertical="center"/>
    </xf>
    <xf numFmtId="0" fontId="133" fillId="6" borderId="0" xfId="0" applyFont="1" applyFill="1" applyAlignment="1">
      <alignment horizontal="center" vertical="top"/>
    </xf>
    <xf numFmtId="0" fontId="108" fillId="0" borderId="0" xfId="183" applyFont="1" applyAlignment="1">
      <alignment horizontal="left" vertical="center" wrapText="1"/>
    </xf>
    <xf numFmtId="49" fontId="179" fillId="0" borderId="0" xfId="185" applyNumberFormat="1" applyFont="1" applyFill="1" applyBorder="1" applyAlignment="1">
      <alignment horizontal="left" vertical="top" shrinkToFit="1"/>
    </xf>
    <xf numFmtId="165" fontId="179" fillId="0" borderId="0" xfId="185" applyFont="1" applyFill="1" applyBorder="1" applyAlignment="1">
      <alignment horizontal="center" vertical="center" shrinkToFit="1"/>
    </xf>
    <xf numFmtId="43" fontId="179" fillId="0" borderId="0" xfId="185" applyNumberFormat="1" applyFont="1" applyFill="1" applyBorder="1" applyAlignment="1">
      <alignment horizontal="center" vertical="center" shrinkToFit="1"/>
    </xf>
    <xf numFmtId="43" fontId="179" fillId="0" borderId="0" xfId="185" applyNumberFormat="1" applyFont="1" applyFill="1" applyBorder="1" applyAlignment="1">
      <alignment horizontal="center" vertical="top" shrinkToFit="1"/>
    </xf>
    <xf numFmtId="169" fontId="112" fillId="0" borderId="0" xfId="0" applyNumberFormat="1" applyFont="1" applyAlignment="1">
      <alignment horizontal="center" vertical="top"/>
    </xf>
    <xf numFmtId="0" fontId="179" fillId="0" borderId="0" xfId="0" applyFont="1" applyAlignment="1">
      <alignment horizontal="center" vertical="top"/>
    </xf>
    <xf numFmtId="0" fontId="114" fillId="0" borderId="0" xfId="0" applyFont="1" applyAlignment="1">
      <alignment vertical="center"/>
    </xf>
    <xf numFmtId="49" fontId="72" fillId="0" borderId="0" xfId="185" applyNumberFormat="1" applyFont="1" applyFill="1" applyBorder="1" applyAlignment="1">
      <alignment vertical="top"/>
    </xf>
    <xf numFmtId="0" fontId="180" fillId="0" borderId="0" xfId="0" applyFont="1" applyAlignment="1">
      <alignment vertical="top"/>
    </xf>
    <xf numFmtId="0" fontId="133" fillId="6" borderId="0" xfId="0" applyFont="1" applyFill="1" applyAlignment="1">
      <alignment horizontal="center" vertical="center"/>
    </xf>
    <xf numFmtId="49" fontId="179" fillId="6" borderId="0" xfId="185" applyNumberFormat="1" applyFont="1" applyFill="1" applyBorder="1" applyAlignment="1">
      <alignment horizontal="left" vertical="top" shrinkToFit="1"/>
    </xf>
    <xf numFmtId="165" fontId="179" fillId="6" borderId="0" xfId="185" applyFont="1" applyFill="1" applyBorder="1" applyAlignment="1">
      <alignment horizontal="center" vertical="center" shrinkToFit="1"/>
    </xf>
    <xf numFmtId="43" fontId="179" fillId="6" borderId="0" xfId="185" applyNumberFormat="1" applyFont="1" applyFill="1" applyBorder="1" applyAlignment="1">
      <alignment horizontal="center" vertical="center" shrinkToFit="1"/>
    </xf>
    <xf numFmtId="43" fontId="179" fillId="6" borderId="0" xfId="185" applyNumberFormat="1" applyFont="1" applyFill="1" applyBorder="1" applyAlignment="1">
      <alignment horizontal="center" vertical="top" shrinkToFit="1"/>
    </xf>
    <xf numFmtId="169" fontId="112" fillId="6" borderId="0" xfId="0" applyNumberFormat="1" applyFont="1" applyFill="1" applyAlignment="1">
      <alignment horizontal="center" vertical="top"/>
    </xf>
    <xf numFmtId="0" fontId="179" fillId="6" borderId="0" xfId="0" applyFont="1" applyFill="1" applyAlignment="1">
      <alignment horizontal="center" vertical="top"/>
    </xf>
    <xf numFmtId="0" fontId="180" fillId="6" borderId="0" xfId="0" applyFont="1" applyFill="1" applyAlignment="1">
      <alignment vertical="top"/>
    </xf>
    <xf numFmtId="0" fontId="108" fillId="6" borderId="0" xfId="183" applyFont="1" applyFill="1" applyAlignment="1">
      <alignment horizontal="left" vertical="center" wrapText="1"/>
    </xf>
    <xf numFmtId="0" fontId="180" fillId="0" borderId="0" xfId="0" applyFont="1" applyAlignment="1">
      <alignment vertical="center"/>
    </xf>
    <xf numFmtId="49" fontId="179" fillId="0" borderId="0" xfId="185" applyNumberFormat="1" applyFont="1" applyFill="1" applyBorder="1" applyAlignment="1">
      <alignment horizontal="left" vertical="top"/>
    </xf>
    <xf numFmtId="165" fontId="179" fillId="0" borderId="0" xfId="185" applyFont="1" applyFill="1" applyBorder="1" applyAlignment="1">
      <alignment vertical="center"/>
    </xf>
    <xf numFmtId="43" fontId="179" fillId="0" borderId="0" xfId="185" applyNumberFormat="1" applyFont="1" applyFill="1" applyBorder="1" applyAlignment="1">
      <alignment horizontal="center" shrinkToFit="1"/>
    </xf>
    <xf numFmtId="43" fontId="113" fillId="0" borderId="0" xfId="185" applyNumberFormat="1" applyFont="1" applyFill="1" applyBorder="1" applyAlignment="1">
      <alignment horizontal="center" shrinkToFit="1"/>
    </xf>
    <xf numFmtId="169" fontId="112" fillId="0" borderId="0" xfId="0" applyNumberFormat="1" applyFont="1" applyAlignment="1">
      <alignment horizontal="center"/>
    </xf>
    <xf numFmtId="0" fontId="179" fillId="0" borderId="0" xfId="0" applyFont="1" applyAlignment="1">
      <alignment horizontal="center"/>
    </xf>
    <xf numFmtId="49" fontId="72" fillId="0" borderId="0" xfId="185" applyNumberFormat="1" applyFont="1" applyFill="1" applyBorder="1" applyAlignment="1">
      <alignment vertical="center"/>
    </xf>
    <xf numFmtId="0" fontId="181" fillId="0" borderId="0" xfId="0" applyFont="1" applyAlignment="1">
      <alignment horizontal="center" vertical="center"/>
    </xf>
    <xf numFmtId="49" fontId="182" fillId="0" borderId="0" xfId="185" applyNumberFormat="1" applyFont="1" applyFill="1" applyBorder="1" applyAlignment="1">
      <alignment horizontal="left" vertical="top"/>
    </xf>
    <xf numFmtId="165" fontId="182" fillId="0" borderId="0" xfId="185" applyFont="1" applyFill="1" applyBorder="1" applyAlignment="1">
      <alignment vertical="center"/>
    </xf>
    <xf numFmtId="165" fontId="182" fillId="0" borderId="0" xfId="185" applyFont="1" applyFill="1" applyBorder="1"/>
    <xf numFmtId="0" fontId="182" fillId="0" borderId="0" xfId="0" applyFont="1" applyAlignment="1">
      <alignment horizontal="center"/>
    </xf>
    <xf numFmtId="0" fontId="183" fillId="0" borderId="0" xfId="0" applyFont="1" applyAlignment="1">
      <alignment horizontal="center" vertical="top"/>
    </xf>
    <xf numFmtId="165" fontId="179" fillId="0" borderId="0" xfId="185" applyFont="1" applyFill="1" applyBorder="1" applyAlignment="1">
      <alignment vertical="top"/>
    </xf>
    <xf numFmtId="0" fontId="183" fillId="0" borderId="0" xfId="0" applyFont="1" applyAlignment="1">
      <alignment vertical="center" wrapText="1"/>
    </xf>
    <xf numFmtId="0" fontId="183" fillId="0" borderId="0" xfId="0" applyFont="1" applyAlignment="1">
      <alignment vertical="center"/>
    </xf>
    <xf numFmtId="0" fontId="180" fillId="0" borderId="0" xfId="0" applyFont="1"/>
    <xf numFmtId="0" fontId="183" fillId="0" borderId="0" xfId="0" applyFont="1" applyAlignment="1">
      <alignment horizontal="center" vertical="center"/>
    </xf>
    <xf numFmtId="165" fontId="179" fillId="0" borderId="0" xfId="185" applyFont="1" applyFill="1" applyBorder="1"/>
    <xf numFmtId="49" fontId="72" fillId="0" borderId="0" xfId="185" applyNumberFormat="1" applyFont="1" applyFill="1" applyBorder="1"/>
    <xf numFmtId="165" fontId="180" fillId="0" borderId="0" xfId="185" applyFont="1" applyFill="1"/>
    <xf numFmtId="165" fontId="181" fillId="0" borderId="0" xfId="185" applyFont="1" applyFill="1" applyBorder="1" applyAlignment="1">
      <alignment horizontal="center" vertical="center"/>
    </xf>
    <xf numFmtId="165" fontId="114" fillId="0" borderId="0" xfId="185" applyFont="1" applyFill="1" applyBorder="1" applyAlignment="1">
      <alignment vertical="center"/>
    </xf>
    <xf numFmtId="165" fontId="72" fillId="0" borderId="0" xfId="185" applyFont="1" applyFill="1" applyBorder="1"/>
    <xf numFmtId="0" fontId="88" fillId="0" borderId="0" xfId="0" applyFont="1"/>
    <xf numFmtId="0" fontId="133" fillId="0" borderId="0" xfId="0" quotePrefix="1" applyFont="1" applyAlignment="1">
      <alignment horizontal="center" vertical="center"/>
    </xf>
    <xf numFmtId="165" fontId="181" fillId="0" borderId="0" xfId="185" applyFont="1" applyFill="1" applyBorder="1" applyAlignment="1">
      <alignment vertical="center"/>
    </xf>
    <xf numFmtId="49" fontId="114" fillId="0" borderId="0" xfId="0" applyNumberFormat="1" applyFont="1" applyAlignment="1">
      <alignment horizontal="left" vertical="center"/>
    </xf>
    <xf numFmtId="165" fontId="112" fillId="0" borderId="0" xfId="185" applyFont="1" applyFill="1" applyBorder="1" applyAlignment="1">
      <alignment vertical="center"/>
    </xf>
    <xf numFmtId="165" fontId="112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0" fontId="11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3" fillId="0" borderId="0" xfId="0" applyFont="1" applyAlignment="1">
      <alignment vertical="center" wrapText="1"/>
    </xf>
    <xf numFmtId="49" fontId="112" fillId="0" borderId="0" xfId="185" applyNumberFormat="1" applyFont="1" applyFill="1" applyBorder="1" applyAlignment="1">
      <alignment horizontal="left" vertical="top"/>
    </xf>
    <xf numFmtId="0" fontId="133" fillId="0" borderId="0" xfId="0" applyFont="1" applyAlignment="1">
      <alignment vertical="center"/>
    </xf>
    <xf numFmtId="49" fontId="114" fillId="0" borderId="0" xfId="185" applyNumberFormat="1" applyFont="1" applyFill="1" applyBorder="1" applyAlignment="1">
      <alignment horizontal="left" vertical="top"/>
    </xf>
    <xf numFmtId="165" fontId="114" fillId="0" borderId="0" xfId="185" applyFont="1" applyFill="1" applyBorder="1"/>
    <xf numFmtId="0" fontId="146" fillId="0" borderId="0" xfId="0" applyFont="1" applyAlignment="1">
      <alignment vertical="center"/>
    </xf>
    <xf numFmtId="0" fontId="184" fillId="0" borderId="0" xfId="0" applyFont="1" applyAlignment="1">
      <alignment horizontal="center"/>
    </xf>
    <xf numFmtId="165" fontId="184" fillId="0" borderId="0" xfId="185" applyFont="1" applyFill="1"/>
    <xf numFmtId="49" fontId="179" fillId="0" borderId="0" xfId="185" applyNumberFormat="1" applyFont="1" applyFill="1" applyAlignment="1">
      <alignment horizontal="left" vertical="top"/>
    </xf>
    <xf numFmtId="165" fontId="179" fillId="0" borderId="7" xfId="185" applyFont="1" applyFill="1" applyBorder="1" applyAlignment="1">
      <alignment vertical="center"/>
    </xf>
    <xf numFmtId="165" fontId="179" fillId="0" borderId="21" xfId="185" applyFont="1" applyFill="1" applyBorder="1" applyAlignment="1">
      <alignment vertical="center"/>
    </xf>
    <xf numFmtId="165" fontId="179" fillId="0" borderId="0" xfId="185" applyFont="1" applyFill="1"/>
    <xf numFmtId="0" fontId="185" fillId="0" borderId="0" xfId="0" applyFont="1"/>
    <xf numFmtId="0" fontId="187" fillId="0" borderId="0" xfId="0" applyFont="1"/>
    <xf numFmtId="0" fontId="153" fillId="0" borderId="0" xfId="0" applyFont="1" applyAlignment="1">
      <alignment vertical="center"/>
    </xf>
    <xf numFmtId="0" fontId="187" fillId="0" borderId="0" xfId="0" applyFont="1" applyAlignment="1">
      <alignment horizontal="center" vertical="center"/>
    </xf>
    <xf numFmtId="165" fontId="188" fillId="0" borderId="3" xfId="185" applyFont="1" applyFill="1" applyBorder="1" applyAlignment="1">
      <alignment horizontal="center" vertical="center"/>
    </xf>
    <xf numFmtId="165" fontId="188" fillId="0" borderId="26" xfId="185" applyFont="1" applyFill="1" applyBorder="1" applyAlignment="1">
      <alignment horizontal="center" vertical="center" wrapText="1"/>
    </xf>
    <xf numFmtId="0" fontId="153" fillId="0" borderId="0" xfId="0" applyFont="1" applyAlignment="1">
      <alignment horizontal="center" vertical="center"/>
    </xf>
    <xf numFmtId="0" fontId="188" fillId="7" borderId="6" xfId="0" applyFont="1" applyFill="1" applyBorder="1" applyAlignment="1">
      <alignment horizontal="center" vertical="center"/>
    </xf>
    <xf numFmtId="165" fontId="188" fillId="7" borderId="6" xfId="185" applyFont="1" applyFill="1" applyBorder="1" applyAlignment="1">
      <alignment horizontal="center" vertical="center"/>
    </xf>
    <xf numFmtId="0" fontId="188" fillId="5" borderId="13" xfId="0" applyFont="1" applyFill="1" applyBorder="1" applyAlignment="1">
      <alignment horizontal="center" vertical="center"/>
    </xf>
    <xf numFmtId="165" fontId="189" fillId="5" borderId="13" xfId="185" applyFont="1" applyFill="1" applyBorder="1" applyAlignment="1">
      <alignment horizontal="left" vertical="center"/>
    </xf>
    <xf numFmtId="165" fontId="189" fillId="5" borderId="17" xfId="185" applyFont="1" applyFill="1" applyBorder="1" applyAlignment="1">
      <alignment horizontal="left" vertical="center"/>
    </xf>
    <xf numFmtId="0" fontId="188" fillId="5" borderId="13" xfId="0" applyFont="1" applyFill="1" applyBorder="1" applyAlignment="1">
      <alignment horizontal="center" vertical="center" shrinkToFit="1"/>
    </xf>
    <xf numFmtId="0" fontId="158" fillId="0" borderId="0" xfId="0" applyFont="1" applyAlignment="1">
      <alignment vertical="center"/>
    </xf>
    <xf numFmtId="0" fontId="153" fillId="0" borderId="22" xfId="0" applyFont="1" applyBorder="1" applyAlignment="1">
      <alignment horizontal="center" vertical="center"/>
    </xf>
    <xf numFmtId="165" fontId="153" fillId="0" borderId="22" xfId="185" applyFont="1" applyFill="1" applyBorder="1" applyAlignment="1">
      <alignment horizontal="center" vertical="center"/>
    </xf>
    <xf numFmtId="165" fontId="153" fillId="0" borderId="40" xfId="185" applyFont="1" applyFill="1" applyBorder="1" applyAlignment="1">
      <alignment horizontal="center" vertical="center" shrinkToFit="1"/>
    </xf>
    <xf numFmtId="165" fontId="153" fillId="0" borderId="22" xfId="185" applyFont="1" applyFill="1" applyBorder="1" applyAlignment="1">
      <alignment horizontal="center" vertical="center" shrinkToFit="1"/>
    </xf>
    <xf numFmtId="169" fontId="153" fillId="0" borderId="22" xfId="0" applyNumberFormat="1" applyFont="1" applyBorder="1" applyAlignment="1">
      <alignment horizontal="center" vertical="center"/>
    </xf>
    <xf numFmtId="0" fontId="153" fillId="0" borderId="11" xfId="0" applyFont="1" applyBorder="1" applyAlignment="1">
      <alignment horizontal="center" vertical="center"/>
    </xf>
    <xf numFmtId="49" fontId="153" fillId="0" borderId="11" xfId="0" applyNumberFormat="1" applyFont="1" applyBorder="1" applyAlignment="1">
      <alignment vertical="center" wrapText="1"/>
    </xf>
    <xf numFmtId="165" fontId="153" fillId="0" borderId="11" xfId="185" applyFont="1" applyFill="1" applyBorder="1" applyAlignment="1">
      <alignment horizontal="center" vertical="center"/>
    </xf>
    <xf numFmtId="165" fontId="153" fillId="0" borderId="29" xfId="185" applyFont="1" applyFill="1" applyBorder="1" applyAlignment="1">
      <alignment horizontal="center" vertical="center" shrinkToFit="1"/>
    </xf>
    <xf numFmtId="165" fontId="153" fillId="0" borderId="11" xfId="185" applyFont="1" applyFill="1" applyBorder="1" applyAlignment="1">
      <alignment horizontal="center" vertical="center" shrinkToFit="1"/>
    </xf>
    <xf numFmtId="169" fontId="153" fillId="0" borderId="11" xfId="0" applyNumberFormat="1" applyFont="1" applyBorder="1" applyAlignment="1">
      <alignment horizontal="center" vertical="center"/>
    </xf>
    <xf numFmtId="0" fontId="153" fillId="0" borderId="11" xfId="0" applyFont="1" applyBorder="1" applyAlignment="1">
      <alignment vertical="center" wrapText="1"/>
    </xf>
    <xf numFmtId="49" fontId="153" fillId="0" borderId="11" xfId="0" applyNumberFormat="1" applyFont="1" applyBorder="1" applyAlignment="1">
      <alignment horizontal="left" vertical="center" wrapText="1"/>
    </xf>
    <xf numFmtId="0" fontId="158" fillId="0" borderId="0" xfId="0" applyFont="1"/>
    <xf numFmtId="0" fontId="153" fillId="0" borderId="18" xfId="0" applyFont="1" applyBorder="1" applyAlignment="1">
      <alignment horizontal="center" vertical="center"/>
    </xf>
    <xf numFmtId="165" fontId="153" fillId="0" borderId="18" xfId="185" applyFont="1" applyFill="1" applyBorder="1" applyAlignment="1">
      <alignment horizontal="center" vertical="center"/>
    </xf>
    <xf numFmtId="165" fontId="153" fillId="0" borderId="18" xfId="185" applyFont="1" applyFill="1" applyBorder="1" applyAlignment="1">
      <alignment horizontal="center" vertical="center" shrinkToFit="1"/>
    </xf>
    <xf numFmtId="169" fontId="153" fillId="0" borderId="18" xfId="0" applyNumberFormat="1" applyFont="1" applyBorder="1" applyAlignment="1">
      <alignment horizontal="center" vertical="center"/>
    </xf>
    <xf numFmtId="0" fontId="158" fillId="0" borderId="7" xfId="0" applyFont="1" applyBorder="1" applyAlignment="1">
      <alignment vertical="center"/>
    </xf>
    <xf numFmtId="49" fontId="153" fillId="0" borderId="18" xfId="0" applyNumberFormat="1" applyFont="1" applyBorder="1" applyAlignment="1">
      <alignment horizontal="left" vertical="center" wrapText="1"/>
    </xf>
    <xf numFmtId="0" fontId="158" fillId="0" borderId="25" xfId="0" applyFont="1" applyBorder="1" applyAlignment="1">
      <alignment vertical="center"/>
    </xf>
    <xf numFmtId="0" fontId="158" fillId="0" borderId="27" xfId="0" applyFont="1" applyBorder="1" applyAlignment="1">
      <alignment vertical="center"/>
    </xf>
    <xf numFmtId="49" fontId="153" fillId="0" borderId="18" xfId="110" applyNumberFormat="1" applyFont="1" applyBorder="1" applyAlignment="1">
      <alignment vertical="center" wrapText="1"/>
    </xf>
    <xf numFmtId="0" fontId="187" fillId="0" borderId="0" xfId="0" applyFont="1" applyAlignment="1">
      <alignment vertical="center"/>
    </xf>
    <xf numFmtId="0" fontId="188" fillId="5" borderId="3" xfId="0" applyFont="1" applyFill="1" applyBorder="1" applyAlignment="1">
      <alignment horizontal="center" vertical="center"/>
    </xf>
    <xf numFmtId="49" fontId="188" fillId="5" borderId="3" xfId="0" applyNumberFormat="1" applyFont="1" applyFill="1" applyBorder="1" applyAlignment="1">
      <alignment horizontal="center" vertical="center" wrapText="1"/>
    </xf>
    <xf numFmtId="165" fontId="188" fillId="5" borderId="3" xfId="185" applyFont="1" applyFill="1" applyBorder="1" applyAlignment="1">
      <alignment horizontal="center" vertical="center"/>
    </xf>
    <xf numFmtId="169" fontId="188" fillId="5" borderId="3" xfId="0" applyNumberFormat="1" applyFont="1" applyFill="1" applyBorder="1" applyAlignment="1">
      <alignment horizontal="center" vertical="center"/>
    </xf>
    <xf numFmtId="0" fontId="153" fillId="0" borderId="22" xfId="0" applyFont="1" applyBorder="1" applyAlignment="1">
      <alignment vertical="center"/>
    </xf>
    <xf numFmtId="165" fontId="153" fillId="0" borderId="22" xfId="185" applyFont="1" applyFill="1" applyBorder="1" applyAlignment="1">
      <alignment vertical="center"/>
    </xf>
    <xf numFmtId="0" fontId="153" fillId="0" borderId="11" xfId="0" applyFont="1" applyBorder="1" applyAlignment="1">
      <alignment vertical="center"/>
    </xf>
    <xf numFmtId="165" fontId="153" fillId="0" borderId="11" xfId="185" applyFont="1" applyFill="1" applyBorder="1" applyAlignment="1">
      <alignment vertical="center"/>
    </xf>
    <xf numFmtId="0" fontId="153" fillId="0" borderId="18" xfId="0" applyFont="1" applyBorder="1" applyAlignment="1">
      <alignment vertical="center"/>
    </xf>
    <xf numFmtId="165" fontId="153" fillId="0" borderId="18" xfId="185" applyFont="1" applyFill="1" applyBorder="1" applyAlignment="1">
      <alignment vertical="center"/>
    </xf>
    <xf numFmtId="43" fontId="153" fillId="0" borderId="11" xfId="0" applyNumberFormat="1" applyFont="1" applyBorder="1" applyAlignment="1">
      <alignment horizontal="center" vertical="center"/>
    </xf>
    <xf numFmtId="165" fontId="153" fillId="0" borderId="11" xfId="185" applyFont="1" applyBorder="1" applyAlignment="1">
      <alignment vertical="center"/>
    </xf>
    <xf numFmtId="0" fontId="188" fillId="0" borderId="0" xfId="0" applyFont="1" applyAlignment="1">
      <alignment vertical="center"/>
    </xf>
    <xf numFmtId="165" fontId="188" fillId="5" borderId="3" xfId="185" applyFont="1" applyFill="1" applyBorder="1" applyAlignment="1">
      <alignment vertical="center"/>
    </xf>
    <xf numFmtId="0" fontId="153" fillId="0" borderId="22" xfId="0" applyFont="1" applyBorder="1" applyAlignment="1">
      <alignment vertical="center" wrapText="1"/>
    </xf>
    <xf numFmtId="0" fontId="153" fillId="0" borderId="18" xfId="0" applyFont="1" applyBorder="1" applyAlignment="1">
      <alignment vertical="center" wrapText="1"/>
    </xf>
    <xf numFmtId="0" fontId="153" fillId="0" borderId="14" xfId="0" applyFont="1" applyBorder="1" applyAlignment="1">
      <alignment horizontal="center" vertical="center"/>
    </xf>
    <xf numFmtId="0" fontId="153" fillId="0" borderId="14" xfId="0" applyFont="1" applyBorder="1" applyAlignment="1">
      <alignment vertical="center" wrapText="1"/>
    </xf>
    <xf numFmtId="165" fontId="153" fillId="0" borderId="14" xfId="185" applyFont="1" applyFill="1" applyBorder="1" applyAlignment="1">
      <alignment vertical="center"/>
    </xf>
    <xf numFmtId="165" fontId="153" fillId="0" borderId="0" xfId="185" applyFont="1" applyFill="1" applyBorder="1" applyAlignment="1">
      <alignment vertical="center"/>
    </xf>
    <xf numFmtId="165" fontId="153" fillId="0" borderId="0" xfId="185" applyFont="1" applyFill="1" applyAlignment="1">
      <alignment vertical="center"/>
    </xf>
    <xf numFmtId="165" fontId="153" fillId="0" borderId="0" xfId="185" applyFont="1" applyFill="1"/>
    <xf numFmtId="0" fontId="153" fillId="0" borderId="0" xfId="0" applyFont="1" applyAlignment="1">
      <alignment horizontal="center"/>
    </xf>
    <xf numFmtId="165" fontId="153" fillId="0" borderId="0" xfId="185" applyFont="1" applyFill="1" applyBorder="1"/>
    <xf numFmtId="0" fontId="148" fillId="0" borderId="0" xfId="0" applyFont="1" applyAlignment="1">
      <alignment horizontal="center" vertical="center"/>
    </xf>
    <xf numFmtId="0" fontId="148" fillId="0" borderId="0" xfId="0" applyFont="1" applyAlignment="1">
      <alignment vertical="center"/>
    </xf>
    <xf numFmtId="165" fontId="148" fillId="0" borderId="0" xfId="185" applyFont="1" applyFill="1" applyBorder="1" applyAlignment="1">
      <alignment vertical="center"/>
    </xf>
    <xf numFmtId="0" fontId="148" fillId="0" borderId="0" xfId="0" applyFont="1" applyAlignment="1">
      <alignment horizontal="center"/>
    </xf>
    <xf numFmtId="165" fontId="148" fillId="0" borderId="7" xfId="185" applyFont="1" applyFill="1" applyBorder="1" applyAlignment="1">
      <alignment vertical="center"/>
    </xf>
    <xf numFmtId="165" fontId="148" fillId="0" borderId="21" xfId="185" applyFont="1" applyFill="1" applyBorder="1" applyAlignment="1">
      <alignment vertical="center"/>
    </xf>
    <xf numFmtId="165" fontId="148" fillId="0" borderId="0" xfId="185" applyFont="1" applyFill="1"/>
    <xf numFmtId="0" fontId="142" fillId="0" borderId="0" xfId="10" applyFont="1" applyAlignment="1">
      <alignment vertical="center"/>
    </xf>
    <xf numFmtId="2" fontId="126" fillId="24" borderId="3" xfId="55" applyNumberFormat="1" applyFont="1" applyFill="1" applyBorder="1" applyAlignment="1">
      <alignment horizontal="center" vertical="center"/>
    </xf>
    <xf numFmtId="2" fontId="126" fillId="7" borderId="3" xfId="55" applyNumberFormat="1" applyFont="1" applyFill="1" applyBorder="1" applyAlignment="1">
      <alignment horizontal="center" vertical="center" wrapText="1"/>
    </xf>
    <xf numFmtId="2" fontId="126" fillId="7" borderId="3" xfId="55" applyNumberFormat="1" applyFont="1" applyFill="1" applyBorder="1" applyAlignment="1">
      <alignment horizontal="center" vertical="center"/>
    </xf>
    <xf numFmtId="2" fontId="126" fillId="0" borderId="3" xfId="55" applyNumberFormat="1" applyFont="1" applyFill="1" applyBorder="1" applyAlignment="1">
      <alignment horizontal="center" vertical="center"/>
    </xf>
    <xf numFmtId="2" fontId="141" fillId="0" borderId="3" xfId="55" applyNumberFormat="1" applyFont="1" applyFill="1" applyBorder="1" applyAlignment="1">
      <alignment horizontal="center" vertical="center"/>
    </xf>
    <xf numFmtId="0" fontId="191" fillId="28" borderId="41" xfId="25" applyFont="1" applyFill="1" applyBorder="1" applyAlignment="1">
      <alignment horizontal="center" vertical="center" wrapText="1" readingOrder="1"/>
    </xf>
    <xf numFmtId="0" fontId="191" fillId="29" borderId="41" xfId="25" applyFont="1" applyFill="1" applyBorder="1" applyAlignment="1">
      <alignment horizontal="center" vertical="center" wrapText="1" readingOrder="1"/>
    </xf>
    <xf numFmtId="0" fontId="191" fillId="5" borderId="41" xfId="25" applyFont="1" applyFill="1" applyBorder="1" applyAlignment="1">
      <alignment horizontal="center" vertical="center" wrapText="1" readingOrder="1"/>
    </xf>
    <xf numFmtId="49" fontId="192" fillId="0" borderId="41" xfId="55" applyNumberFormat="1" applyFont="1" applyFill="1" applyBorder="1" applyAlignment="1">
      <alignment horizontal="center" vertical="center" wrapText="1" readingOrder="1"/>
    </xf>
    <xf numFmtId="170" fontId="105" fillId="0" borderId="41" xfId="55" applyNumberFormat="1" applyFont="1" applyFill="1" applyBorder="1" applyAlignment="1">
      <alignment vertical="center" wrapText="1"/>
    </xf>
    <xf numFmtId="171" fontId="184" fillId="0" borderId="41" xfId="15" applyNumberFormat="1" applyFont="1" applyBorder="1" applyAlignment="1">
      <alignment horizontal="right" vertical="center" wrapText="1"/>
    </xf>
    <xf numFmtId="170" fontId="105" fillId="0" borderId="41" xfId="55" applyNumberFormat="1" applyFont="1" applyFill="1" applyBorder="1" applyAlignment="1">
      <alignment horizontal="right" vertical="center" wrapText="1"/>
    </xf>
    <xf numFmtId="2" fontId="105" fillId="0" borderId="41" xfId="55" applyNumberFormat="1" applyFont="1" applyFill="1" applyBorder="1" applyAlignment="1">
      <alignment horizontal="center" vertical="center" wrapText="1"/>
    </xf>
    <xf numFmtId="170" fontId="105" fillId="0" borderId="41" xfId="55" applyNumberFormat="1" applyFont="1" applyFill="1" applyBorder="1" applyAlignment="1">
      <alignment horizontal="center" vertical="center" wrapText="1"/>
    </xf>
    <xf numFmtId="43" fontId="105" fillId="0" borderId="41" xfId="55" applyFont="1" applyFill="1" applyBorder="1" applyAlignment="1">
      <alignment vertical="center" wrapText="1"/>
    </xf>
    <xf numFmtId="49" fontId="159" fillId="7" borderId="41" xfId="55" applyNumberFormat="1" applyFont="1" applyFill="1" applyBorder="1" applyAlignment="1">
      <alignment horizontal="center" vertical="center" wrapText="1" readingOrder="1"/>
    </xf>
    <xf numFmtId="170" fontId="159" fillId="7" borderId="41" xfId="55" applyNumberFormat="1" applyFont="1" applyFill="1" applyBorder="1" applyAlignment="1">
      <alignment vertical="center" wrapText="1"/>
    </xf>
    <xf numFmtId="171" fontId="159" fillId="7" borderId="41" xfId="15" applyNumberFormat="1" applyFont="1" applyFill="1" applyBorder="1" applyAlignment="1">
      <alignment horizontal="right" vertical="center" wrapText="1"/>
    </xf>
    <xf numFmtId="170" fontId="159" fillId="7" borderId="41" xfId="55" applyNumberFormat="1" applyFont="1" applyFill="1" applyBorder="1" applyAlignment="1">
      <alignment horizontal="right" vertical="center" wrapText="1"/>
    </xf>
    <xf numFmtId="170" fontId="105" fillId="7" borderId="41" xfId="55" applyNumberFormat="1" applyFont="1" applyFill="1" applyBorder="1" applyAlignment="1">
      <alignment horizontal="right" vertical="center" wrapText="1"/>
    </xf>
    <xf numFmtId="2" fontId="105" fillId="7" borderId="41" xfId="55" applyNumberFormat="1" applyFont="1" applyFill="1" applyBorder="1" applyAlignment="1">
      <alignment horizontal="center" vertical="center" wrapText="1"/>
    </xf>
    <xf numFmtId="170" fontId="105" fillId="7" borderId="41" xfId="55" applyNumberFormat="1" applyFont="1" applyFill="1" applyBorder="1" applyAlignment="1">
      <alignment horizontal="center" vertical="center" wrapText="1"/>
    </xf>
    <xf numFmtId="43" fontId="105" fillId="7" borderId="41" xfId="55" applyFont="1" applyFill="1" applyBorder="1" applyAlignment="1">
      <alignment vertical="center" wrapText="1"/>
    </xf>
    <xf numFmtId="0" fontId="193" fillId="0" borderId="0" xfId="0" applyFont="1"/>
    <xf numFmtId="0" fontId="194" fillId="0" borderId="0" xfId="0" applyFont="1"/>
    <xf numFmtId="170" fontId="194" fillId="0" borderId="0" xfId="0" applyNumberFormat="1" applyFont="1"/>
    <xf numFmtId="0" fontId="15" fillId="0" borderId="0" xfId="0" applyFont="1"/>
    <xf numFmtId="0" fontId="195" fillId="0" borderId="0" xfId="15" applyFont="1" applyAlignment="1">
      <alignment horizontal="left" vertical="center" wrapText="1"/>
    </xf>
    <xf numFmtId="0" fontId="195" fillId="0" borderId="0" xfId="15" applyFont="1" applyAlignment="1">
      <alignment vertical="center" wrapText="1"/>
    </xf>
    <xf numFmtId="43" fontId="193" fillId="0" borderId="0" xfId="0" applyNumberFormat="1" applyFont="1"/>
    <xf numFmtId="2" fontId="193" fillId="0" borderId="0" xfId="0" applyNumberFormat="1" applyFont="1"/>
    <xf numFmtId="170" fontId="193" fillId="0" borderId="0" xfId="0" applyNumberFormat="1" applyFont="1"/>
    <xf numFmtId="2" fontId="194" fillId="0" borderId="0" xfId="0" applyNumberFormat="1" applyFont="1"/>
    <xf numFmtId="43" fontId="194" fillId="0" borderId="0" xfId="0" applyNumberFormat="1" applyFont="1"/>
    <xf numFmtId="172" fontId="126" fillId="24" borderId="3" xfId="55" applyNumberFormat="1" applyFont="1" applyFill="1" applyBorder="1" applyAlignment="1">
      <alignment vertical="center"/>
    </xf>
    <xf numFmtId="43" fontId="141" fillId="0" borderId="3" xfId="55" applyFont="1" applyFill="1" applyBorder="1" applyAlignment="1">
      <alignment horizontal="center" vertical="center" readingOrder="1"/>
    </xf>
    <xf numFmtId="0" fontId="141" fillId="0" borderId="3" xfId="110" applyFont="1" applyBorder="1" applyAlignment="1">
      <alignment horizontal="center" vertical="center" wrapText="1"/>
    </xf>
    <xf numFmtId="0" fontId="103" fillId="0" borderId="0" xfId="0" applyFont="1" applyAlignment="1">
      <alignment horizontal="center" vertical="center"/>
    </xf>
    <xf numFmtId="43" fontId="108" fillId="6" borderId="3" xfId="55" applyFont="1" applyFill="1" applyBorder="1" applyAlignment="1">
      <alignment horizontal="center" vertical="center" wrapText="1"/>
    </xf>
    <xf numFmtId="43" fontId="108" fillId="0" borderId="3" xfId="55" applyFont="1" applyBorder="1" applyAlignment="1">
      <alignment horizontal="center" vertical="center" wrapText="1"/>
    </xf>
    <xf numFmtId="43" fontId="108" fillId="0" borderId="0" xfId="55" applyFont="1" applyAlignment="1">
      <alignment horizontal="center"/>
    </xf>
    <xf numFmtId="0" fontId="197" fillId="0" borderId="0" xfId="10" applyFont="1" applyAlignment="1">
      <alignment vertical="center"/>
    </xf>
    <xf numFmtId="43" fontId="164" fillId="0" borderId="0" xfId="55" applyFont="1" applyAlignment="1">
      <alignment vertical="center"/>
    </xf>
    <xf numFmtId="43" fontId="164" fillId="0" borderId="0" xfId="37" applyFont="1" applyAlignment="1">
      <alignment vertical="center"/>
    </xf>
    <xf numFmtId="0" fontId="164" fillId="0" borderId="0" xfId="10" applyFont="1" applyAlignment="1">
      <alignment vertical="center"/>
    </xf>
    <xf numFmtId="43" fontId="166" fillId="0" borderId="0" xfId="55" applyFont="1" applyAlignment="1">
      <alignment vertical="center"/>
    </xf>
    <xf numFmtId="43" fontId="199" fillId="9" borderId="6" xfId="37" applyFont="1" applyFill="1" applyBorder="1" applyAlignment="1">
      <alignment horizontal="center"/>
    </xf>
    <xf numFmtId="43" fontId="113" fillId="6" borderId="14" xfId="37" applyFont="1" applyFill="1" applyBorder="1" applyAlignment="1">
      <alignment horizontal="center"/>
    </xf>
    <xf numFmtId="43" fontId="113" fillId="6" borderId="11" xfId="37" applyFont="1" applyFill="1" applyBorder="1" applyAlignment="1">
      <alignment horizontal="center"/>
    </xf>
    <xf numFmtId="43" fontId="113" fillId="6" borderId="9" xfId="37" applyFont="1" applyFill="1" applyBorder="1" applyAlignment="1">
      <alignment horizontal="center"/>
    </xf>
    <xf numFmtId="43" fontId="113" fillId="0" borderId="27" xfId="37" applyFont="1" applyFill="1" applyBorder="1" applyAlignment="1">
      <alignment horizontal="center"/>
    </xf>
    <xf numFmtId="43" fontId="113" fillId="0" borderId="0" xfId="37" applyFont="1" applyAlignment="1">
      <alignment horizontal="center"/>
    </xf>
    <xf numFmtId="0" fontId="112" fillId="6" borderId="10" xfId="10" applyFont="1" applyFill="1" applyBorder="1" applyAlignment="1">
      <alignment horizontal="center"/>
    </xf>
    <xf numFmtId="0" fontId="112" fillId="6" borderId="10" xfId="10" applyFont="1" applyFill="1" applyBorder="1" applyAlignment="1">
      <alignment horizontal="left"/>
    </xf>
    <xf numFmtId="43" fontId="112" fillId="6" borderId="10" xfId="37" applyFont="1" applyFill="1" applyBorder="1" applyAlignment="1">
      <alignment horizontal="center"/>
    </xf>
    <xf numFmtId="43" fontId="113" fillId="6" borderId="10" xfId="37" applyFont="1" applyFill="1" applyBorder="1" applyAlignment="1">
      <alignment horizontal="center"/>
    </xf>
    <xf numFmtId="43" fontId="112" fillId="6" borderId="10" xfId="10" applyNumberFormat="1" applyFont="1" applyFill="1" applyBorder="1" applyAlignment="1">
      <alignment horizontal="center"/>
    </xf>
    <xf numFmtId="43" fontId="112" fillId="6" borderId="11" xfId="10" applyNumberFormat="1" applyFont="1" applyFill="1" applyBorder="1" applyAlignment="1">
      <alignment horizontal="center"/>
    </xf>
    <xf numFmtId="0" fontId="112" fillId="6" borderId="18" xfId="10" applyFont="1" applyFill="1" applyBorder="1" applyAlignment="1">
      <alignment horizontal="center"/>
    </xf>
    <xf numFmtId="0" fontId="112" fillId="6" borderId="18" xfId="10" applyFont="1" applyFill="1" applyBorder="1" applyAlignment="1">
      <alignment horizontal="left"/>
    </xf>
    <xf numFmtId="43" fontId="112" fillId="6" borderId="18" xfId="37" applyFont="1" applyFill="1" applyBorder="1" applyAlignment="1">
      <alignment horizontal="center"/>
    </xf>
    <xf numFmtId="43" fontId="112" fillId="6" borderId="18" xfId="10" applyNumberFormat="1" applyFont="1" applyFill="1" applyBorder="1" applyAlignment="1">
      <alignment horizontal="center"/>
    </xf>
    <xf numFmtId="0" fontId="112" fillId="6" borderId="22" xfId="10" applyFont="1" applyFill="1" applyBorder="1" applyAlignment="1">
      <alignment horizontal="center"/>
    </xf>
    <xf numFmtId="0" fontId="112" fillId="6" borderId="22" xfId="10" applyFont="1" applyFill="1" applyBorder="1" applyAlignment="1">
      <alignment horizontal="left"/>
    </xf>
    <xf numFmtId="43" fontId="112" fillId="6" borderId="22" xfId="37" applyFont="1" applyFill="1" applyBorder="1" applyAlignment="1">
      <alignment horizontal="center"/>
    </xf>
    <xf numFmtId="43" fontId="113" fillId="6" borderId="22" xfId="37" applyFont="1" applyFill="1" applyBorder="1" applyAlignment="1">
      <alignment horizontal="center"/>
    </xf>
    <xf numFmtId="43" fontId="112" fillId="6" borderId="22" xfId="10" applyNumberFormat="1" applyFont="1" applyFill="1" applyBorder="1" applyAlignment="1">
      <alignment horizontal="center"/>
    </xf>
    <xf numFmtId="2" fontId="112" fillId="6" borderId="18" xfId="37" applyNumberFormat="1" applyFont="1" applyFill="1" applyBorder="1" applyAlignment="1">
      <alignment horizontal="center"/>
    </xf>
    <xf numFmtId="49" fontId="153" fillId="0" borderId="18" xfId="0" applyNumberFormat="1" applyFont="1" applyBorder="1" applyAlignment="1">
      <alignment vertical="center" wrapText="1"/>
    </xf>
    <xf numFmtId="165" fontId="153" fillId="0" borderId="45" xfId="185" applyFont="1" applyFill="1" applyBorder="1" applyAlignment="1">
      <alignment horizontal="center" vertical="center" shrinkToFit="1"/>
    </xf>
    <xf numFmtId="49" fontId="153" fillId="0" borderId="22" xfId="0" applyNumberFormat="1" applyFont="1" applyBorder="1" applyAlignment="1">
      <alignment vertical="center" wrapText="1"/>
    </xf>
    <xf numFmtId="2" fontId="128" fillId="5" borderId="3" xfId="3" applyNumberFormat="1" applyFont="1" applyFill="1" applyBorder="1" applyAlignment="1">
      <alignment horizontal="center" vertical="center"/>
    </xf>
    <xf numFmtId="2" fontId="128" fillId="0" borderId="3" xfId="3" applyNumberFormat="1" applyFont="1" applyBorder="1" applyAlignment="1">
      <alignment horizontal="center" vertical="center"/>
    </xf>
    <xf numFmtId="2" fontId="128" fillId="0" borderId="3" xfId="3" applyNumberFormat="1" applyFont="1" applyFill="1" applyBorder="1" applyAlignment="1">
      <alignment horizontal="center" vertical="center"/>
    </xf>
    <xf numFmtId="2" fontId="128" fillId="4" borderId="3" xfId="3" applyNumberFormat="1" applyFont="1" applyFill="1" applyBorder="1" applyAlignment="1">
      <alignment horizontal="center" vertical="center"/>
    </xf>
    <xf numFmtId="2" fontId="128" fillId="8" borderId="3" xfId="3" applyNumberFormat="1" applyFont="1" applyFill="1" applyBorder="1" applyAlignment="1">
      <alignment horizontal="center" vertical="center"/>
    </xf>
    <xf numFmtId="2" fontId="161" fillId="0" borderId="3" xfId="3" applyNumberFormat="1" applyFont="1" applyFill="1" applyBorder="1" applyAlignment="1">
      <alignment horizontal="center" vertical="center"/>
    </xf>
    <xf numFmtId="2" fontId="128" fillId="25" borderId="3" xfId="3" applyNumberFormat="1" applyFont="1" applyFill="1" applyBorder="1" applyAlignment="1">
      <alignment horizontal="center" vertical="center"/>
    </xf>
    <xf numFmtId="0" fontId="166" fillId="6" borderId="0" xfId="0" applyFont="1" applyFill="1"/>
    <xf numFmtId="0" fontId="200" fillId="6" borderId="0" xfId="0" applyFont="1" applyFill="1"/>
    <xf numFmtId="2" fontId="149" fillId="5" borderId="20" xfId="185" applyNumberFormat="1" applyFont="1" applyFill="1" applyBorder="1" applyAlignment="1" applyProtection="1">
      <alignment horizontal="center" shrinkToFit="1"/>
    </xf>
    <xf numFmtId="0" fontId="201" fillId="6" borderId="0" xfId="0" applyFont="1" applyFill="1"/>
    <xf numFmtId="0" fontId="151" fillId="6" borderId="10" xfId="0" applyFont="1" applyFill="1" applyBorder="1" applyAlignment="1">
      <alignment horizontal="center"/>
    </xf>
    <xf numFmtId="0" fontId="151" fillId="0" borderId="10" xfId="0" applyFont="1" applyBorder="1" applyAlignment="1">
      <alignment shrinkToFit="1"/>
    </xf>
    <xf numFmtId="165" fontId="151" fillId="0" borderId="10" xfId="185" applyFont="1" applyBorder="1" applyAlignment="1">
      <alignment wrapText="1"/>
    </xf>
    <xf numFmtId="165" fontId="151" fillId="0" borderId="37" xfId="185" applyFont="1" applyBorder="1" applyAlignment="1">
      <alignment horizontal="center" shrinkToFit="1"/>
    </xf>
    <xf numFmtId="2" fontId="151" fillId="6" borderId="10" xfId="185" applyNumberFormat="1" applyFont="1" applyFill="1" applyBorder="1" applyAlignment="1" applyProtection="1">
      <alignment horizontal="center" shrinkToFit="1"/>
    </xf>
    <xf numFmtId="165" fontId="151" fillId="6" borderId="10" xfId="185" applyFont="1" applyFill="1" applyBorder="1" applyAlignment="1" applyProtection="1">
      <alignment horizontal="center" shrinkToFit="1"/>
    </xf>
    <xf numFmtId="165" fontId="151" fillId="6" borderId="36" xfId="185" applyFont="1" applyFill="1" applyBorder="1" applyAlignment="1" applyProtection="1">
      <alignment horizontal="center" shrinkToFit="1"/>
    </xf>
    <xf numFmtId="165" fontId="151" fillId="6" borderId="10" xfId="185" applyFont="1" applyFill="1" applyBorder="1" applyAlignment="1"/>
    <xf numFmtId="0" fontId="151" fillId="6" borderId="11" xfId="0" applyFont="1" applyFill="1" applyBorder="1" applyAlignment="1">
      <alignment horizontal="center"/>
    </xf>
    <xf numFmtId="0" fontId="151" fillId="6" borderId="34" xfId="0" applyFont="1" applyFill="1" applyBorder="1" applyAlignment="1">
      <alignment shrinkToFit="1"/>
    </xf>
    <xf numFmtId="165" fontId="151" fillId="0" borderId="11" xfId="185" applyFont="1" applyBorder="1" applyAlignment="1">
      <alignment wrapText="1"/>
    </xf>
    <xf numFmtId="165" fontId="151" fillId="0" borderId="28" xfId="185" applyFont="1" applyBorder="1" applyAlignment="1">
      <alignment horizontal="center" shrinkToFit="1"/>
    </xf>
    <xf numFmtId="2" fontId="151" fillId="6" borderId="11" xfId="185" applyNumberFormat="1" applyFont="1" applyFill="1" applyBorder="1" applyAlignment="1" applyProtection="1">
      <alignment horizontal="center" shrinkToFit="1"/>
    </xf>
    <xf numFmtId="165" fontId="151" fillId="6" borderId="11" xfId="185" applyFont="1" applyFill="1" applyBorder="1" applyAlignment="1" applyProtection="1">
      <alignment horizontal="center" shrinkToFit="1"/>
    </xf>
    <xf numFmtId="165" fontId="151" fillId="6" borderId="15" xfId="185" applyFont="1" applyFill="1" applyBorder="1" applyAlignment="1" applyProtection="1">
      <alignment horizontal="center" shrinkToFit="1"/>
    </xf>
    <xf numFmtId="2" fontId="151" fillId="6" borderId="14" xfId="185" applyNumberFormat="1" applyFont="1" applyFill="1" applyBorder="1" applyAlignment="1" applyProtection="1">
      <alignment horizontal="center" shrinkToFit="1"/>
    </xf>
    <xf numFmtId="165" fontId="151" fillId="6" borderId="14" xfId="185" applyFont="1" applyFill="1" applyBorder="1" applyAlignment="1"/>
    <xf numFmtId="0" fontId="151" fillId="6" borderId="14" xfId="0" applyFont="1" applyFill="1" applyBorder="1" applyAlignment="1">
      <alignment horizontal="center"/>
    </xf>
    <xf numFmtId="0" fontId="151" fillId="0" borderId="15" xfId="0" applyFont="1" applyBorder="1" applyAlignment="1">
      <alignment shrinkToFit="1"/>
    </xf>
    <xf numFmtId="0" fontId="151" fillId="0" borderId="34" xfId="0" applyFont="1" applyBorder="1" applyAlignment="1">
      <alignment shrinkToFit="1"/>
    </xf>
    <xf numFmtId="0" fontId="148" fillId="6" borderId="11" xfId="0" applyFont="1" applyFill="1" applyBorder="1" applyAlignment="1">
      <alignment horizontal="center"/>
    </xf>
    <xf numFmtId="0" fontId="148" fillId="0" borderId="34" xfId="0" applyFont="1" applyBorder="1" applyAlignment="1">
      <alignment shrinkToFit="1"/>
    </xf>
    <xf numFmtId="2" fontId="148" fillId="6" borderId="11" xfId="185" applyNumberFormat="1" applyFont="1" applyFill="1" applyBorder="1" applyAlignment="1" applyProtection="1">
      <alignment horizontal="center" shrinkToFit="1"/>
    </xf>
    <xf numFmtId="165" fontId="148" fillId="6" borderId="11" xfId="185" applyFont="1" applyFill="1" applyBorder="1" applyAlignment="1" applyProtection="1">
      <alignment horizontal="center" shrinkToFit="1"/>
    </xf>
    <xf numFmtId="165" fontId="151" fillId="0" borderId="28" xfId="185" applyFont="1" applyBorder="1" applyAlignment="1">
      <alignment wrapText="1"/>
    </xf>
    <xf numFmtId="0" fontId="151" fillId="6" borderId="9" xfId="0" applyFont="1" applyFill="1" applyBorder="1" applyAlignment="1">
      <alignment horizontal="center"/>
    </xf>
    <xf numFmtId="0" fontId="151" fillId="0" borderId="35" xfId="0" applyFont="1" applyBorder="1" applyAlignment="1">
      <alignment shrinkToFit="1"/>
    </xf>
    <xf numFmtId="2" fontId="151" fillId="6" borderId="9" xfId="185" applyNumberFormat="1" applyFont="1" applyFill="1" applyBorder="1" applyAlignment="1" applyProtection="1">
      <alignment horizontal="center" shrinkToFit="1"/>
    </xf>
    <xf numFmtId="0" fontId="148" fillId="6" borderId="18" xfId="0" applyFont="1" applyFill="1" applyBorder="1" applyAlignment="1">
      <alignment horizontal="left"/>
    </xf>
    <xf numFmtId="0" fontId="149" fillId="6" borderId="3" xfId="0" applyFont="1" applyFill="1" applyBorder="1" applyAlignment="1">
      <alignment horizontal="center" vertical="center"/>
    </xf>
    <xf numFmtId="0" fontId="200" fillId="0" borderId="0" xfId="0" applyFont="1"/>
    <xf numFmtId="2" fontId="149" fillId="0" borderId="3" xfId="185" applyNumberFormat="1" applyFont="1" applyFill="1" applyBorder="1" applyAlignment="1" applyProtection="1">
      <alignment horizontal="center" vertical="center"/>
    </xf>
    <xf numFmtId="165" fontId="149" fillId="6" borderId="3" xfId="185" applyFont="1" applyFill="1" applyBorder="1" applyAlignment="1" applyProtection="1">
      <alignment horizontal="center" vertical="center" wrapText="1"/>
    </xf>
    <xf numFmtId="167" fontId="149" fillId="0" borderId="3" xfId="185" applyNumberFormat="1" applyFont="1" applyFill="1" applyBorder="1" applyAlignment="1" applyProtection="1">
      <alignment horizontal="center" vertical="center"/>
    </xf>
    <xf numFmtId="0" fontId="200" fillId="0" borderId="0" xfId="0" applyFont="1" applyAlignment="1">
      <alignment vertical="center"/>
    </xf>
    <xf numFmtId="0" fontId="149" fillId="5" borderId="6" xfId="0" applyFont="1" applyFill="1" applyBorder="1"/>
    <xf numFmtId="0" fontId="149" fillId="5" borderId="6" xfId="0" applyFont="1" applyFill="1" applyBorder="1" applyAlignment="1">
      <alignment horizontal="center"/>
    </xf>
    <xf numFmtId="165" fontId="149" fillId="5" borderId="6" xfId="185" applyFont="1" applyFill="1" applyBorder="1" applyAlignment="1" applyProtection="1">
      <alignment horizontal="center"/>
    </xf>
    <xf numFmtId="165" fontId="149" fillId="5" borderId="5" xfId="185" applyFont="1" applyFill="1" applyBorder="1" applyAlignment="1" applyProtection="1">
      <alignment horizontal="center"/>
    </xf>
    <xf numFmtId="2" fontId="149" fillId="5" borderId="6" xfId="185" applyNumberFormat="1" applyFont="1" applyFill="1" applyBorder="1" applyAlignment="1" applyProtection="1">
      <alignment horizontal="center"/>
    </xf>
    <xf numFmtId="2" fontId="149" fillId="5" borderId="6" xfId="185" applyNumberFormat="1" applyFont="1" applyFill="1" applyBorder="1" applyAlignment="1" applyProtection="1">
      <alignment horizontal="center" wrapText="1"/>
    </xf>
    <xf numFmtId="0" fontId="148" fillId="0" borderId="10" xfId="0" applyFont="1" applyBorder="1" applyAlignment="1">
      <alignment horizontal="center"/>
    </xf>
    <xf numFmtId="0" fontId="148" fillId="0" borderId="10" xfId="0" applyFont="1" applyBorder="1"/>
    <xf numFmtId="165" fontId="151" fillId="0" borderId="10" xfId="185" applyFont="1" applyFill="1" applyBorder="1" applyAlignment="1"/>
    <xf numFmtId="165" fontId="151" fillId="0" borderId="37" xfId="185" applyFont="1" applyFill="1" applyBorder="1" applyAlignment="1"/>
    <xf numFmtId="2" fontId="148" fillId="0" borderId="10" xfId="185" applyNumberFormat="1" applyFont="1" applyFill="1" applyBorder="1" applyAlignment="1" applyProtection="1">
      <alignment horizontal="center"/>
    </xf>
    <xf numFmtId="165" fontId="148" fillId="0" borderId="10" xfId="185" applyFont="1" applyFill="1" applyBorder="1" applyAlignment="1" applyProtection="1">
      <alignment horizontal="center"/>
    </xf>
    <xf numFmtId="2" fontId="148" fillId="0" borderId="10" xfId="185" applyNumberFormat="1" applyFont="1" applyFill="1" applyBorder="1" applyAlignment="1" applyProtection="1">
      <alignment horizontal="center" wrapText="1"/>
    </xf>
    <xf numFmtId="0" fontId="148" fillId="0" borderId="11" xfId="0" applyFont="1" applyBorder="1" applyAlignment="1">
      <alignment horizontal="left"/>
    </xf>
    <xf numFmtId="165" fontId="151" fillId="0" borderId="28" xfId="185" applyFont="1" applyFill="1" applyBorder="1" applyAlignment="1"/>
    <xf numFmtId="2" fontId="148" fillId="0" borderId="11" xfId="185" applyNumberFormat="1" applyFont="1" applyFill="1" applyBorder="1" applyAlignment="1" applyProtection="1">
      <alignment horizontal="center"/>
    </xf>
    <xf numFmtId="165" fontId="148" fillId="0" borderId="11" xfId="185" applyFont="1" applyFill="1" applyBorder="1" applyAlignment="1" applyProtection="1">
      <alignment horizontal="center"/>
    </xf>
    <xf numFmtId="2" fontId="148" fillId="0" borderId="11" xfId="185" applyNumberFormat="1" applyFont="1" applyFill="1" applyBorder="1" applyAlignment="1" applyProtection="1">
      <alignment horizontal="center" wrapText="1"/>
    </xf>
    <xf numFmtId="165" fontId="148" fillId="0" borderId="14" xfId="185" applyFont="1" applyFill="1" applyBorder="1" applyAlignment="1" applyProtection="1">
      <alignment horizontal="center"/>
    </xf>
    <xf numFmtId="49" fontId="148" fillId="0" borderId="11" xfId="0" applyNumberFormat="1" applyFont="1" applyBorder="1" applyAlignment="1">
      <alignment horizontal="center"/>
    </xf>
    <xf numFmtId="0" fontId="151" fillId="0" borderId="18" xfId="0" applyFont="1" applyBorder="1"/>
    <xf numFmtId="0" fontId="148" fillId="0" borderId="18" xfId="0" applyFont="1" applyBorder="1" applyAlignment="1">
      <alignment horizontal="center"/>
    </xf>
    <xf numFmtId="0" fontId="148" fillId="0" borderId="18" xfId="0" applyFont="1" applyBorder="1"/>
    <xf numFmtId="165" fontId="148" fillId="0" borderId="18" xfId="185" applyFont="1" applyFill="1" applyBorder="1" applyAlignment="1"/>
    <xf numFmtId="2" fontId="148" fillId="0" borderId="18" xfId="185" applyNumberFormat="1" applyFont="1" applyFill="1" applyBorder="1" applyAlignment="1" applyProtection="1">
      <alignment horizontal="center"/>
    </xf>
    <xf numFmtId="165" fontId="148" fillId="0" borderId="18" xfId="185" applyFont="1" applyFill="1" applyBorder="1" applyAlignment="1" applyProtection="1">
      <alignment horizontal="center"/>
    </xf>
    <xf numFmtId="2" fontId="148" fillId="0" borderId="18" xfId="185" applyNumberFormat="1" applyFont="1" applyFill="1" applyBorder="1" applyAlignment="1">
      <alignment horizontal="center"/>
    </xf>
    <xf numFmtId="0" fontId="202" fillId="0" borderId="0" xfId="0" applyFont="1"/>
    <xf numFmtId="2" fontId="149" fillId="0" borderId="26" xfId="185" applyNumberFormat="1" applyFont="1" applyFill="1" applyBorder="1" applyAlignment="1" applyProtection="1">
      <alignment horizontal="center"/>
    </xf>
    <xf numFmtId="2" fontId="149" fillId="0" borderId="3" xfId="185" applyNumberFormat="1" applyFont="1" applyFill="1" applyBorder="1" applyAlignment="1" applyProtection="1">
      <alignment horizontal="center" vertical="center" wrapText="1"/>
    </xf>
    <xf numFmtId="165" fontId="148" fillId="0" borderId="10" xfId="185" applyFont="1" applyFill="1" applyBorder="1" applyAlignment="1"/>
    <xf numFmtId="2" fontId="148" fillId="0" borderId="10" xfId="185" applyNumberFormat="1" applyFont="1" applyFill="1" applyBorder="1" applyAlignment="1">
      <alignment horizontal="center"/>
    </xf>
    <xf numFmtId="165" fontId="148" fillId="0" borderId="10" xfId="185" applyFont="1" applyFill="1" applyBorder="1" applyAlignment="1" applyProtection="1"/>
    <xf numFmtId="2" fontId="148" fillId="0" borderId="11" xfId="185" applyNumberFormat="1" applyFont="1" applyFill="1" applyBorder="1" applyAlignment="1">
      <alignment horizontal="center"/>
    </xf>
    <xf numFmtId="165" fontId="148" fillId="0" borderId="11" xfId="185" applyFont="1" applyFill="1" applyBorder="1" applyAlignment="1" applyProtection="1"/>
    <xf numFmtId="165" fontId="148" fillId="0" borderId="11" xfId="185" applyFont="1" applyFill="1" applyBorder="1" applyAlignment="1">
      <alignment horizontal="center"/>
    </xf>
    <xf numFmtId="165" fontId="148" fillId="0" borderId="18" xfId="185" applyFont="1" applyFill="1" applyBorder="1" applyAlignment="1" applyProtection="1"/>
    <xf numFmtId="0" fontId="148" fillId="0" borderId="22" xfId="0" applyFont="1" applyBorder="1" applyAlignment="1">
      <alignment horizontal="center"/>
    </xf>
    <xf numFmtId="0" fontId="148" fillId="0" borderId="22" xfId="0" applyFont="1" applyBorder="1"/>
    <xf numFmtId="165" fontId="148" fillId="0" borderId="22" xfId="185" applyFont="1" applyFill="1" applyBorder="1" applyAlignment="1"/>
    <xf numFmtId="2" fontId="148" fillId="0" borderId="22" xfId="185" applyNumberFormat="1" applyFont="1" applyFill="1" applyBorder="1" applyAlignment="1" applyProtection="1">
      <alignment horizontal="center"/>
    </xf>
    <xf numFmtId="2" fontId="148" fillId="0" borderId="22" xfId="185" applyNumberFormat="1" applyFont="1" applyFill="1" applyBorder="1" applyAlignment="1">
      <alignment horizontal="center"/>
    </xf>
    <xf numFmtId="165" fontId="148" fillId="0" borderId="22" xfId="185" applyFont="1" applyFill="1" applyBorder="1" applyAlignment="1" applyProtection="1"/>
    <xf numFmtId="165" fontId="148" fillId="0" borderId="18" xfId="185" applyFont="1" applyFill="1" applyBorder="1" applyAlignment="1">
      <alignment horizontal="center"/>
    </xf>
    <xf numFmtId="2" fontId="148" fillId="0" borderId="18" xfId="0" applyNumberFormat="1" applyFont="1" applyBorder="1" applyAlignment="1">
      <alignment horizontal="center"/>
    </xf>
    <xf numFmtId="2" fontId="148" fillId="0" borderId="18" xfId="185" applyNumberFormat="1" applyFont="1" applyFill="1" applyBorder="1" applyAlignment="1"/>
    <xf numFmtId="43" fontId="108" fillId="6" borderId="4" xfId="55" applyFont="1" applyFill="1" applyBorder="1" applyAlignment="1">
      <alignment horizontal="center" vertical="center"/>
    </xf>
    <xf numFmtId="0" fontId="203" fillId="6" borderId="0" xfId="27" applyFont="1" applyFill="1"/>
    <xf numFmtId="1" fontId="203" fillId="6" borderId="0" xfId="27" applyNumberFormat="1" applyFont="1" applyFill="1"/>
    <xf numFmtId="0" fontId="149" fillId="6" borderId="0" xfId="27" applyFont="1" applyFill="1" applyAlignment="1">
      <alignment horizontal="center" vertical="center"/>
    </xf>
    <xf numFmtId="0" fontId="171" fillId="6" borderId="0" xfId="27" applyFont="1" applyFill="1" applyAlignment="1">
      <alignment horizontal="center"/>
    </xf>
    <xf numFmtId="0" fontId="149" fillId="6" borderId="0" xfId="27" applyFont="1" applyFill="1" applyAlignment="1">
      <alignment horizontal="center"/>
    </xf>
    <xf numFmtId="43" fontId="149" fillId="6" borderId="0" xfId="302" applyFont="1" applyFill="1" applyAlignment="1">
      <alignment horizontal="center"/>
    </xf>
    <xf numFmtId="0" fontId="205" fillId="6" borderId="0" xfId="27" applyFont="1" applyFill="1"/>
    <xf numFmtId="1" fontId="205" fillId="6" borderId="0" xfId="27" applyNumberFormat="1" applyFont="1" applyFill="1"/>
    <xf numFmtId="0" fontId="185" fillId="6" borderId="0" xfId="27" applyFont="1" applyFill="1"/>
    <xf numFmtId="1" fontId="185" fillId="6" borderId="0" xfId="27" applyNumberFormat="1" applyFont="1" applyFill="1"/>
    <xf numFmtId="43" fontId="204" fillId="6" borderId="3" xfId="37" applyFont="1" applyFill="1" applyBorder="1" applyAlignment="1" applyProtection="1">
      <alignment horizontal="center" vertical="center"/>
    </xf>
    <xf numFmtId="43" fontId="204" fillId="6" borderId="3" xfId="302" applyFont="1" applyFill="1" applyBorder="1" applyAlignment="1" applyProtection="1">
      <alignment horizontal="center" vertical="center" wrapText="1"/>
    </xf>
    <xf numFmtId="43" fontId="204" fillId="6" borderId="3" xfId="37" applyFont="1" applyFill="1" applyBorder="1" applyAlignment="1" applyProtection="1">
      <alignment horizontal="center" vertical="center" wrapText="1"/>
    </xf>
    <xf numFmtId="0" fontId="149" fillId="24" borderId="3" xfId="27" applyFont="1" applyFill="1" applyBorder="1" applyAlignment="1">
      <alignment horizontal="center"/>
    </xf>
    <xf numFmtId="0" fontId="149" fillId="24" borderId="3" xfId="27" applyFont="1" applyFill="1" applyBorder="1" applyAlignment="1">
      <alignment wrapText="1"/>
    </xf>
    <xf numFmtId="49" fontId="149" fillId="24" borderId="3" xfId="47" applyNumberFormat="1" applyFont="1" applyFill="1" applyBorder="1" applyAlignment="1">
      <alignment horizontal="center"/>
    </xf>
    <xf numFmtId="43" fontId="149" fillId="24" borderId="3" xfId="37" applyFont="1" applyFill="1" applyBorder="1" applyAlignment="1"/>
    <xf numFmtId="43" fontId="149" fillId="24" borderId="3" xfId="302" applyFont="1" applyFill="1" applyBorder="1" applyAlignment="1">
      <alignment horizontal="center"/>
    </xf>
    <xf numFmtId="0" fontId="201" fillId="6" borderId="0" xfId="27" applyFont="1" applyFill="1"/>
    <xf numFmtId="49" fontId="201" fillId="6" borderId="0" xfId="27" applyNumberFormat="1" applyFont="1" applyFill="1"/>
    <xf numFmtId="0" fontId="148" fillId="6" borderId="22" xfId="27" applyFont="1" applyFill="1" applyBorder="1" applyAlignment="1">
      <alignment horizontal="center" vertical="center"/>
    </xf>
    <xf numFmtId="0" fontId="148" fillId="6" borderId="22" xfId="27" applyFont="1" applyFill="1" applyBorder="1" applyAlignment="1">
      <alignment horizontal="left" vertical="center" wrapText="1"/>
    </xf>
    <xf numFmtId="49" fontId="148" fillId="6" borderId="22" xfId="47" applyNumberFormat="1" applyFont="1" applyFill="1" applyBorder="1" applyAlignment="1">
      <alignment horizontal="center" vertical="center"/>
    </xf>
    <xf numFmtId="43" fontId="148" fillId="6" borderId="22" xfId="37" applyFont="1" applyFill="1" applyBorder="1" applyAlignment="1">
      <alignment vertical="center"/>
    </xf>
    <xf numFmtId="43" fontId="148" fillId="6" borderId="22" xfId="302" applyFont="1" applyFill="1" applyBorder="1" applyAlignment="1">
      <alignment horizontal="center" vertical="center"/>
    </xf>
    <xf numFmtId="43" fontId="148" fillId="6" borderId="22" xfId="37" applyFont="1" applyFill="1" applyBorder="1" applyAlignment="1">
      <alignment horizontal="center" vertical="center"/>
    </xf>
    <xf numFmtId="0" fontId="201" fillId="6" borderId="0" xfId="27" applyFont="1" applyFill="1" applyAlignment="1">
      <alignment vertical="center"/>
    </xf>
    <xf numFmtId="49" fontId="201" fillId="6" borderId="0" xfId="27" applyNumberFormat="1" applyFont="1" applyFill="1" applyAlignment="1">
      <alignment vertical="center"/>
    </xf>
    <xf numFmtId="0" fontId="148" fillId="6" borderId="11" xfId="27" applyFont="1" applyFill="1" applyBorder="1" applyAlignment="1">
      <alignment horizontal="center" vertical="center"/>
    </xf>
    <xf numFmtId="0" fontId="148" fillId="6" borderId="11" xfId="27" applyFont="1" applyFill="1" applyBorder="1" applyAlignment="1">
      <alignment vertical="center" wrapText="1"/>
    </xf>
    <xf numFmtId="49" fontId="148" fillId="6" borderId="11" xfId="47" applyNumberFormat="1" applyFont="1" applyFill="1" applyBorder="1" applyAlignment="1">
      <alignment horizontal="center" vertical="center"/>
    </xf>
    <xf numFmtId="43" fontId="148" fillId="6" borderId="11" xfId="37" applyFont="1" applyFill="1" applyBorder="1" applyAlignment="1">
      <alignment vertical="center"/>
    </xf>
    <xf numFmtId="43" fontId="148" fillId="6" borderId="11" xfId="302" applyFont="1" applyFill="1" applyBorder="1" applyAlignment="1">
      <alignment horizontal="center" vertical="center"/>
    </xf>
    <xf numFmtId="43" fontId="148" fillId="6" borderId="11" xfId="37" applyFont="1" applyFill="1" applyBorder="1" applyAlignment="1">
      <alignment horizontal="center" vertical="center"/>
    </xf>
    <xf numFmtId="0" fontId="148" fillId="6" borderId="9" xfId="27" applyFont="1" applyFill="1" applyBorder="1" applyAlignment="1">
      <alignment horizontal="center" vertical="center"/>
    </xf>
    <xf numFmtId="0" fontId="148" fillId="6" borderId="9" xfId="27" applyFont="1" applyFill="1" applyBorder="1" applyAlignment="1">
      <alignment vertical="center" wrapText="1"/>
    </xf>
    <xf numFmtId="49" fontId="148" fillId="6" borderId="9" xfId="47" applyNumberFormat="1" applyFont="1" applyFill="1" applyBorder="1" applyAlignment="1">
      <alignment horizontal="center" vertical="center"/>
    </xf>
    <xf numFmtId="43" fontId="148" fillId="6" borderId="9" xfId="37" applyFont="1" applyFill="1" applyBorder="1" applyAlignment="1">
      <alignment vertical="center"/>
    </xf>
    <xf numFmtId="43" fontId="148" fillId="6" borderId="9" xfId="37" applyFont="1" applyFill="1" applyBorder="1" applyAlignment="1">
      <alignment horizontal="center" vertical="center"/>
    </xf>
    <xf numFmtId="43" fontId="148" fillId="6" borderId="9" xfId="302" applyFont="1" applyFill="1" applyBorder="1" applyAlignment="1">
      <alignment horizontal="center" vertical="center"/>
    </xf>
    <xf numFmtId="0" fontId="148" fillId="6" borderId="18" xfId="27" applyFont="1" applyFill="1" applyBorder="1" applyAlignment="1">
      <alignment horizontal="center"/>
    </xf>
    <xf numFmtId="0" fontId="148" fillId="6" borderId="18" xfId="27" quotePrefix="1" applyFont="1" applyFill="1" applyBorder="1" applyAlignment="1">
      <alignment wrapText="1"/>
    </xf>
    <xf numFmtId="49" fontId="148" fillId="0" borderId="18" xfId="47" applyNumberFormat="1" applyFont="1" applyBorder="1" applyAlignment="1">
      <alignment horizontal="center"/>
    </xf>
    <xf numFmtId="43" fontId="148" fillId="6" borderId="18" xfId="37" applyFont="1" applyFill="1" applyBorder="1" applyAlignment="1"/>
    <xf numFmtId="43" fontId="148" fillId="6" borderId="18" xfId="37" applyFont="1" applyFill="1" applyBorder="1" applyAlignment="1">
      <alignment horizontal="center"/>
    </xf>
    <xf numFmtId="43" fontId="148" fillId="6" borderId="18" xfId="302" applyFont="1" applyFill="1" applyBorder="1" applyAlignment="1">
      <alignment horizontal="center"/>
    </xf>
    <xf numFmtId="0" fontId="200" fillId="6" borderId="0" xfId="27" applyFont="1" applyFill="1"/>
    <xf numFmtId="49" fontId="200" fillId="6" borderId="0" xfId="27" applyNumberFormat="1" applyFont="1" applyFill="1"/>
    <xf numFmtId="0" fontId="148" fillId="6" borderId="0" xfId="27" applyFont="1" applyFill="1" applyAlignment="1">
      <alignment horizontal="center" vertical="center"/>
    </xf>
    <xf numFmtId="0" fontId="171" fillId="6" borderId="0" xfId="27" applyFont="1" applyFill="1"/>
    <xf numFmtId="43" fontId="148" fillId="6" borderId="0" xfId="47" applyFont="1" applyFill="1" applyBorder="1" applyAlignment="1">
      <alignment horizontal="center"/>
    </xf>
    <xf numFmtId="43" fontId="148" fillId="6" borderId="0" xfId="37" applyFont="1" applyFill="1" applyBorder="1"/>
    <xf numFmtId="43" fontId="148" fillId="6" borderId="0" xfId="302" applyFont="1" applyFill="1" applyBorder="1" applyAlignment="1">
      <alignment horizontal="center" wrapText="1"/>
    </xf>
    <xf numFmtId="43" fontId="148" fillId="6" borderId="0" xfId="37" applyFont="1" applyFill="1" applyBorder="1" applyAlignment="1">
      <alignment horizontal="center"/>
    </xf>
    <xf numFmtId="43" fontId="148" fillId="6" borderId="0" xfId="302" applyFont="1" applyFill="1" applyBorder="1" applyAlignment="1">
      <alignment horizontal="center"/>
    </xf>
    <xf numFmtId="0" fontId="148" fillId="6" borderId="0" xfId="27" applyFont="1" applyFill="1" applyAlignment="1">
      <alignment horizontal="center"/>
    </xf>
    <xf numFmtId="0" fontId="206" fillId="6" borderId="0" xfId="27" applyFont="1" applyFill="1"/>
    <xf numFmtId="1" fontId="206" fillId="6" borderId="0" xfId="27" applyNumberFormat="1" applyFont="1" applyFill="1"/>
    <xf numFmtId="49" fontId="153" fillId="0" borderId="11" xfId="110" applyNumberFormat="1" applyFont="1" applyBorder="1" applyAlignment="1">
      <alignment vertical="center" wrapText="1"/>
    </xf>
    <xf numFmtId="0" fontId="122" fillId="0" borderId="0" xfId="0" applyFont="1" applyAlignment="1">
      <alignment horizontal="left"/>
    </xf>
    <xf numFmtId="0" fontId="125" fillId="0" borderId="0" xfId="0" applyFont="1" applyAlignment="1">
      <alignment horizontal="center"/>
    </xf>
    <xf numFmtId="0" fontId="125" fillId="0" borderId="25" xfId="0" applyFont="1" applyBorder="1" applyAlignment="1">
      <alignment horizontal="center"/>
    </xf>
    <xf numFmtId="165" fontId="149" fillId="0" borderId="31" xfId="3" applyFont="1" applyBorder="1" applyAlignment="1">
      <alignment horizontal="center" vertical="center"/>
    </xf>
    <xf numFmtId="165" fontId="149" fillId="0" borderId="24" xfId="3" applyFont="1" applyBorder="1" applyAlignment="1">
      <alignment horizontal="center" vertical="center"/>
    </xf>
    <xf numFmtId="165" fontId="149" fillId="0" borderId="31" xfId="3" applyFont="1" applyBorder="1" applyAlignment="1">
      <alignment horizontal="center" vertical="center" wrapText="1"/>
    </xf>
    <xf numFmtId="165" fontId="149" fillId="0" borderId="24" xfId="3" applyFont="1" applyBorder="1" applyAlignment="1">
      <alignment horizontal="center" vertical="center" wrapText="1"/>
    </xf>
    <xf numFmtId="165" fontId="149" fillId="0" borderId="20" xfId="3" applyFont="1" applyBorder="1" applyAlignment="1">
      <alignment horizontal="center" vertical="center"/>
    </xf>
    <xf numFmtId="165" fontId="149" fillId="0" borderId="4" xfId="3" applyFont="1" applyBorder="1" applyAlignment="1">
      <alignment horizontal="center" vertical="center"/>
    </xf>
    <xf numFmtId="0" fontId="149" fillId="0" borderId="20" xfId="0" applyFont="1" applyBorder="1" applyAlignment="1">
      <alignment horizontal="center" vertical="center"/>
    </xf>
    <xf numFmtId="0" fontId="149" fillId="0" borderId="4" xfId="0" applyFont="1" applyBorder="1" applyAlignment="1">
      <alignment horizontal="center" vertical="center"/>
    </xf>
    <xf numFmtId="165" fontId="149" fillId="0" borderId="20" xfId="3" applyFont="1" applyBorder="1" applyAlignment="1">
      <alignment horizontal="center" vertical="center" wrapText="1"/>
    </xf>
    <xf numFmtId="0" fontId="170" fillId="0" borderId="0" xfId="0" applyFont="1" applyAlignment="1">
      <alignment horizontal="left"/>
    </xf>
    <xf numFmtId="0" fontId="171" fillId="0" borderId="0" xfId="0" applyFont="1" applyAlignment="1">
      <alignment horizontal="left"/>
    </xf>
    <xf numFmtId="0" fontId="182" fillId="0" borderId="0" xfId="0" applyFont="1" applyAlignment="1">
      <alignment horizontal="center"/>
    </xf>
    <xf numFmtId="0" fontId="190" fillId="0" borderId="41" xfId="25" applyFont="1" applyBorder="1" applyAlignment="1">
      <alignment horizontal="center" vertical="center" wrapText="1" readingOrder="1"/>
    </xf>
    <xf numFmtId="0" fontId="190" fillId="0" borderId="41" xfId="25" applyFont="1" applyBorder="1" applyAlignment="1">
      <alignment horizontal="center" vertical="center" readingOrder="1"/>
    </xf>
    <xf numFmtId="0" fontId="190" fillId="5" borderId="42" xfId="25" applyFont="1" applyFill="1" applyBorder="1" applyAlignment="1">
      <alignment horizontal="center" vertical="center" wrapText="1" readingOrder="1"/>
    </xf>
    <xf numFmtId="0" fontId="190" fillId="5" borderId="43" xfId="25" applyFont="1" applyFill="1" applyBorder="1" applyAlignment="1">
      <alignment horizontal="center" vertical="center" wrapText="1" readingOrder="1"/>
    </xf>
    <xf numFmtId="0" fontId="190" fillId="5" borderId="44" xfId="25" applyFont="1" applyFill="1" applyBorder="1" applyAlignment="1">
      <alignment horizontal="center" vertical="center" wrapText="1" readingOrder="1"/>
    </xf>
    <xf numFmtId="0" fontId="149" fillId="5" borderId="32" xfId="0" applyFont="1" applyFill="1" applyBorder="1" applyAlignment="1">
      <alignment horizontal="center"/>
    </xf>
    <xf numFmtId="0" fontId="149" fillId="5" borderId="33" xfId="0" applyFont="1" applyFill="1" applyBorder="1" applyAlignment="1">
      <alignment horizontal="center"/>
    </xf>
    <xf numFmtId="0" fontId="149" fillId="5" borderId="5" xfId="0" applyFont="1" applyFill="1" applyBorder="1" applyAlignment="1">
      <alignment horizontal="center"/>
    </xf>
    <xf numFmtId="0" fontId="186" fillId="6" borderId="0" xfId="0" applyFont="1" applyFill="1" applyAlignment="1">
      <alignment horizontal="center"/>
    </xf>
    <xf numFmtId="0" fontId="186" fillId="0" borderId="0" xfId="0" applyFont="1" applyAlignment="1">
      <alignment horizontal="center"/>
    </xf>
    <xf numFmtId="0" fontId="186" fillId="6" borderId="0" xfId="0" applyFont="1" applyFill="1" applyAlignment="1">
      <alignment horizontal="center" vertical="center"/>
    </xf>
    <xf numFmtId="0" fontId="149" fillId="6" borderId="20" xfId="0" applyFont="1" applyFill="1" applyBorder="1" applyAlignment="1">
      <alignment horizontal="center" vertical="center" wrapText="1"/>
    </xf>
    <xf numFmtId="0" fontId="149" fillId="6" borderId="8" xfId="0" applyFont="1" applyFill="1" applyBorder="1" applyAlignment="1">
      <alignment horizontal="center" vertical="center" wrapText="1"/>
    </xf>
    <xf numFmtId="0" fontId="149" fillId="0" borderId="3" xfId="0" applyFont="1" applyBorder="1" applyAlignment="1">
      <alignment horizontal="center" vertical="center"/>
    </xf>
    <xf numFmtId="0" fontId="149" fillId="6" borderId="20" xfId="0" applyFont="1" applyFill="1" applyBorder="1" applyAlignment="1">
      <alignment horizontal="center" vertical="center"/>
    </xf>
    <xf numFmtId="0" fontId="149" fillId="6" borderId="8" xfId="0" applyFont="1" applyFill="1" applyBorder="1" applyAlignment="1">
      <alignment horizontal="center" vertical="center"/>
    </xf>
    <xf numFmtId="165" fontId="149" fillId="0" borderId="24" xfId="185" applyFont="1" applyFill="1" applyBorder="1" applyAlignment="1" applyProtection="1">
      <alignment horizontal="center" vertical="center"/>
    </xf>
    <xf numFmtId="165" fontId="149" fillId="0" borderId="7" xfId="185" applyFont="1" applyFill="1" applyBorder="1" applyAlignment="1" applyProtection="1">
      <alignment horizontal="center" vertical="center"/>
    </xf>
    <xf numFmtId="0" fontId="149" fillId="6" borderId="2" xfId="0" applyFont="1" applyFill="1" applyBorder="1" applyAlignment="1">
      <alignment horizontal="center" vertical="center"/>
    </xf>
    <xf numFmtId="0" fontId="149" fillId="6" borderId="23" xfId="0" applyFont="1" applyFill="1" applyBorder="1" applyAlignment="1">
      <alignment horizontal="center" vertical="center"/>
    </xf>
    <xf numFmtId="165" fontId="149" fillId="0" borderId="20" xfId="185" applyFont="1" applyFill="1" applyBorder="1" applyAlignment="1" applyProtection="1">
      <alignment horizontal="center" vertical="center"/>
    </xf>
    <xf numFmtId="165" fontId="149" fillId="0" borderId="8" xfId="185" applyFont="1" applyFill="1" applyBorder="1" applyAlignment="1" applyProtection="1">
      <alignment horizontal="center" vertical="center"/>
    </xf>
    <xf numFmtId="165" fontId="149" fillId="0" borderId="4" xfId="185" applyFont="1" applyFill="1" applyBorder="1" applyAlignment="1" applyProtection="1">
      <alignment horizontal="center" vertical="center"/>
    </xf>
    <xf numFmtId="0" fontId="149" fillId="6" borderId="3" xfId="0" applyFont="1" applyFill="1" applyBorder="1" applyAlignment="1">
      <alignment horizontal="center" vertical="center" wrapText="1"/>
    </xf>
    <xf numFmtId="165" fontId="149" fillId="6" borderId="26" xfId="185" applyFont="1" applyFill="1" applyBorder="1" applyAlignment="1" applyProtection="1">
      <alignment horizontal="center" vertical="center" wrapText="1"/>
    </xf>
    <xf numFmtId="165" fontId="149" fillId="6" borderId="23" xfId="185" applyFont="1" applyFill="1" applyBorder="1" applyAlignment="1" applyProtection="1">
      <alignment horizontal="center" vertical="center" wrapText="1"/>
    </xf>
    <xf numFmtId="0" fontId="186" fillId="6" borderId="25" xfId="0" applyFont="1" applyFill="1" applyBorder="1" applyAlignment="1">
      <alignment horizontal="center"/>
    </xf>
    <xf numFmtId="0" fontId="149" fillId="6" borderId="3" xfId="0" applyFont="1" applyFill="1" applyBorder="1" applyAlignment="1">
      <alignment horizontal="center" vertical="center"/>
    </xf>
    <xf numFmtId="0" fontId="149" fillId="6" borderId="3" xfId="0" applyFont="1" applyFill="1" applyBorder="1" applyAlignment="1">
      <alignment horizontal="center" vertical="top"/>
    </xf>
    <xf numFmtId="0" fontId="149" fillId="0" borderId="20" xfId="0" applyFont="1" applyBorder="1" applyAlignment="1">
      <alignment horizontal="center" vertical="center" wrapText="1"/>
    </xf>
    <xf numFmtId="0" fontId="149" fillId="0" borderId="8" xfId="0" applyFont="1" applyBorder="1" applyAlignment="1">
      <alignment horizontal="center" vertical="center" wrapText="1"/>
    </xf>
    <xf numFmtId="0" fontId="149" fillId="0" borderId="8" xfId="0" applyFont="1" applyBorder="1" applyAlignment="1">
      <alignment horizontal="center" vertical="center"/>
    </xf>
    <xf numFmtId="0" fontId="149" fillId="6" borderId="26" xfId="0" applyFont="1" applyFill="1" applyBorder="1" applyAlignment="1">
      <alignment horizontal="center" vertical="center" wrapText="1"/>
    </xf>
    <xf numFmtId="0" fontId="149" fillId="6" borderId="23" xfId="0" applyFont="1" applyFill="1" applyBorder="1" applyAlignment="1">
      <alignment horizontal="center" vertical="center" wrapText="1"/>
    </xf>
    <xf numFmtId="0" fontId="149" fillId="0" borderId="27" xfId="0" applyFont="1" applyBorder="1" applyAlignment="1">
      <alignment horizontal="center" wrapText="1"/>
    </xf>
    <xf numFmtId="0" fontId="149" fillId="0" borderId="0" xfId="0" applyFont="1" applyAlignment="1">
      <alignment horizontal="center"/>
    </xf>
    <xf numFmtId="0" fontId="186" fillId="0" borderId="0" xfId="0" applyFont="1" applyAlignment="1">
      <alignment horizontal="center" vertical="center"/>
    </xf>
    <xf numFmtId="0" fontId="149" fillId="0" borderId="4" xfId="0" applyFont="1" applyBorder="1" applyAlignment="1">
      <alignment horizontal="center" vertical="center" wrapText="1"/>
    </xf>
    <xf numFmtId="2" fontId="149" fillId="0" borderId="20" xfId="185" applyNumberFormat="1" applyFont="1" applyFill="1" applyBorder="1" applyAlignment="1" applyProtection="1">
      <alignment horizontal="center" vertical="center" wrapText="1"/>
    </xf>
    <xf numFmtId="2" fontId="149" fillId="0" borderId="8" xfId="185" applyNumberFormat="1" applyFont="1" applyFill="1" applyBorder="1" applyAlignment="1" applyProtection="1">
      <alignment horizontal="center" vertical="center" wrapText="1"/>
    </xf>
    <xf numFmtId="2" fontId="149" fillId="0" borderId="4" xfId="185" applyNumberFormat="1" applyFont="1" applyFill="1" applyBorder="1" applyAlignment="1" applyProtection="1">
      <alignment horizontal="center" vertical="center" wrapText="1"/>
    </xf>
    <xf numFmtId="165" fontId="149" fillId="6" borderId="26" xfId="185" applyFont="1" applyFill="1" applyBorder="1" applyAlignment="1" applyProtection="1">
      <alignment horizontal="center" wrapText="1"/>
    </xf>
    <xf numFmtId="165" fontId="149" fillId="6" borderId="2" xfId="185" applyFont="1" applyFill="1" applyBorder="1" applyAlignment="1" applyProtection="1">
      <alignment horizontal="center" wrapText="1"/>
    </xf>
    <xf numFmtId="165" fontId="149" fillId="6" borderId="23" xfId="185" applyFont="1" applyFill="1" applyBorder="1" applyAlignment="1" applyProtection="1">
      <alignment horizontal="center" wrapText="1"/>
    </xf>
    <xf numFmtId="2" fontId="149" fillId="0" borderId="20" xfId="185" applyNumberFormat="1" applyFont="1" applyFill="1" applyBorder="1" applyAlignment="1" applyProtection="1">
      <alignment horizontal="center" vertical="center"/>
    </xf>
    <xf numFmtId="2" fontId="149" fillId="0" borderId="8" xfId="185" applyNumberFormat="1" applyFont="1" applyFill="1" applyBorder="1" applyAlignment="1" applyProtection="1">
      <alignment horizontal="center" vertical="center"/>
    </xf>
    <xf numFmtId="2" fontId="149" fillId="0" borderId="4" xfId="185" applyNumberFormat="1" applyFont="1" applyFill="1" applyBorder="1" applyAlignment="1" applyProtection="1">
      <alignment horizontal="center" vertical="center"/>
    </xf>
    <xf numFmtId="165" fontId="149" fillId="6" borderId="26" xfId="185" applyFont="1" applyFill="1" applyBorder="1" applyAlignment="1" applyProtection="1">
      <alignment horizontal="center" vertical="center"/>
    </xf>
    <xf numFmtId="165" fontId="149" fillId="6" borderId="23" xfId="185" applyFont="1" applyFill="1" applyBorder="1" applyAlignment="1" applyProtection="1">
      <alignment horizontal="center" vertical="center"/>
    </xf>
    <xf numFmtId="0" fontId="126" fillId="0" borderId="3" xfId="110" applyFont="1" applyBorder="1" applyAlignment="1">
      <alignment horizontal="left" vertical="center" wrapText="1"/>
    </xf>
    <xf numFmtId="0" fontId="126" fillId="10" borderId="3" xfId="110" applyFont="1" applyFill="1" applyBorder="1" applyAlignment="1">
      <alignment horizontal="center" vertical="center"/>
    </xf>
    <xf numFmtId="0" fontId="126" fillId="7" borderId="3" xfId="110" applyFont="1" applyFill="1" applyBorder="1" applyAlignment="1">
      <alignment horizontal="left" vertical="center"/>
    </xf>
    <xf numFmtId="0" fontId="126" fillId="24" borderId="3" xfId="110" applyFont="1" applyFill="1" applyBorder="1" applyAlignment="1">
      <alignment horizontal="center" vertical="center"/>
    </xf>
    <xf numFmtId="0" fontId="126" fillId="0" borderId="26" xfId="110" applyFont="1" applyBorder="1" applyAlignment="1">
      <alignment horizontal="left" vertical="center"/>
    </xf>
    <xf numFmtId="0" fontId="126" fillId="0" borderId="23" xfId="110" applyFont="1" applyBorder="1" applyAlignment="1">
      <alignment horizontal="left" vertical="center"/>
    </xf>
    <xf numFmtId="0" fontId="126" fillId="0" borderId="3" xfId="110" applyFont="1" applyBorder="1" applyAlignment="1">
      <alignment horizontal="left" vertical="center" wrapText="1" shrinkToFit="1"/>
    </xf>
    <xf numFmtId="0" fontId="126" fillId="10" borderId="31" xfId="110" applyFont="1" applyFill="1" applyBorder="1" applyAlignment="1">
      <alignment horizontal="center" vertical="center"/>
    </xf>
    <xf numFmtId="0" fontId="126" fillId="10" borderId="24" xfId="110" applyFont="1" applyFill="1" applyBorder="1" applyAlignment="1">
      <alignment horizontal="center" vertical="center"/>
    </xf>
    <xf numFmtId="0" fontId="126" fillId="10" borderId="21" xfId="110" applyFont="1" applyFill="1" applyBorder="1" applyAlignment="1">
      <alignment horizontal="center" vertical="center"/>
    </xf>
    <xf numFmtId="0" fontId="126" fillId="10" borderId="7" xfId="110" applyFont="1" applyFill="1" applyBorder="1" applyAlignment="1">
      <alignment horizontal="center" vertical="center"/>
    </xf>
    <xf numFmtId="0" fontId="126" fillId="10" borderId="12" xfId="110" applyFont="1" applyFill="1" applyBorder="1" applyAlignment="1">
      <alignment horizontal="center" vertical="center"/>
    </xf>
    <xf numFmtId="0" fontId="126" fillId="10" borderId="19" xfId="110" applyFont="1" applyFill="1" applyBorder="1" applyAlignment="1">
      <alignment horizontal="center" vertical="center"/>
    </xf>
    <xf numFmtId="43" fontId="126" fillId="10" borderId="3" xfId="55" applyFont="1" applyFill="1" applyBorder="1" applyAlignment="1">
      <alignment horizontal="center" vertical="center"/>
    </xf>
    <xf numFmtId="43" fontId="126" fillId="10" borderId="3" xfId="55" applyFont="1" applyFill="1" applyBorder="1" applyAlignment="1">
      <alignment horizontal="center" vertical="top"/>
    </xf>
    <xf numFmtId="0" fontId="142" fillId="0" borderId="0" xfId="10" applyFont="1" applyAlignment="1">
      <alignment horizontal="center" vertical="center"/>
    </xf>
    <xf numFmtId="0" fontId="167" fillId="0" borderId="25" xfId="110" applyFont="1" applyBorder="1" applyAlignment="1">
      <alignment horizontal="center" vertical="center"/>
    </xf>
    <xf numFmtId="43" fontId="126" fillId="10" borderId="3" xfId="55" applyFont="1" applyFill="1" applyBorder="1" applyAlignment="1">
      <alignment horizontal="center" vertical="center" wrapText="1"/>
    </xf>
    <xf numFmtId="43" fontId="110" fillId="0" borderId="20" xfId="55" applyFont="1" applyBorder="1" applyAlignment="1">
      <alignment horizontal="center" vertical="center"/>
    </xf>
    <xf numFmtId="43" fontId="110" fillId="0" borderId="4" xfId="55" applyFont="1" applyBorder="1" applyAlignment="1">
      <alignment horizontal="center" vertical="center"/>
    </xf>
    <xf numFmtId="43" fontId="110" fillId="0" borderId="20" xfId="55" applyFont="1" applyBorder="1" applyAlignment="1">
      <alignment horizontal="center" vertical="center" wrapText="1"/>
    </xf>
    <xf numFmtId="43" fontId="110" fillId="0" borderId="8" xfId="55" applyFont="1" applyBorder="1" applyAlignment="1">
      <alignment horizontal="center" vertical="center" wrapText="1"/>
    </xf>
    <xf numFmtId="43" fontId="110" fillId="0" borderId="4" xfId="55" applyFont="1" applyBorder="1" applyAlignment="1">
      <alignment horizontal="center" vertical="center" wrapText="1"/>
    </xf>
    <xf numFmtId="0" fontId="110" fillId="0" borderId="3" xfId="0" applyFont="1" applyBorder="1" applyAlignment="1">
      <alignment horizontal="center" vertical="center"/>
    </xf>
    <xf numFmtId="43" fontId="110" fillId="0" borderId="26" xfId="55" applyFont="1" applyBorder="1" applyAlignment="1">
      <alignment horizontal="center" vertical="center" wrapText="1"/>
    </xf>
    <xf numFmtId="43" fontId="110" fillId="0" borderId="23" xfId="55" applyFont="1" applyBorder="1" applyAlignment="1">
      <alignment horizontal="center" vertical="center" wrapText="1"/>
    </xf>
    <xf numFmtId="0" fontId="103" fillId="0" borderId="0" xfId="0" applyFont="1" applyAlignment="1">
      <alignment horizontal="center"/>
    </xf>
    <xf numFmtId="0" fontId="103" fillId="0" borderId="25" xfId="0" applyFont="1" applyBorder="1" applyAlignment="1">
      <alignment horizontal="center"/>
    </xf>
    <xf numFmtId="43" fontId="110" fillId="0" borderId="31" xfId="55" applyFont="1" applyBorder="1" applyAlignment="1">
      <alignment horizontal="center" vertical="center" wrapText="1"/>
    </xf>
    <xf numFmtId="43" fontId="110" fillId="0" borderId="12" xfId="55" applyFont="1" applyBorder="1" applyAlignment="1">
      <alignment horizontal="center" vertical="center"/>
    </xf>
    <xf numFmtId="0" fontId="110" fillId="0" borderId="20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43" fontId="110" fillId="0" borderId="3" xfId="55" applyFont="1" applyBorder="1" applyAlignment="1">
      <alignment horizontal="center" vertical="center"/>
    </xf>
    <xf numFmtId="0" fontId="196" fillId="0" borderId="0" xfId="10" applyFont="1" applyAlignment="1">
      <alignment horizontal="center" vertical="center"/>
    </xf>
    <xf numFmtId="49" fontId="198" fillId="0" borderId="20" xfId="37" applyNumberFormat="1" applyFont="1" applyFill="1" applyBorder="1" applyAlignment="1">
      <alignment horizontal="center" vertical="center" wrapText="1"/>
    </xf>
    <xf numFmtId="49" fontId="198" fillId="0" borderId="8" xfId="37" applyNumberFormat="1" applyFont="1" applyFill="1" applyBorder="1" applyAlignment="1">
      <alignment horizontal="center" vertical="center" wrapText="1"/>
    </xf>
    <xf numFmtId="49" fontId="198" fillId="0" borderId="4" xfId="37" applyNumberFormat="1" applyFont="1" applyFill="1" applyBorder="1" applyAlignment="1">
      <alignment horizontal="center" vertical="center" wrapText="1"/>
    </xf>
    <xf numFmtId="0" fontId="107" fillId="0" borderId="20" xfId="10" applyFont="1" applyBorder="1" applyAlignment="1">
      <alignment horizontal="center" vertical="center"/>
    </xf>
    <xf numFmtId="0" fontId="107" fillId="0" borderId="8" xfId="10" applyFont="1" applyBorder="1" applyAlignment="1">
      <alignment horizontal="center" vertical="center"/>
    </xf>
    <xf numFmtId="0" fontId="111" fillId="0" borderId="20" xfId="10" applyFont="1" applyBorder="1" applyAlignment="1">
      <alignment horizontal="center" vertical="center" wrapText="1"/>
    </xf>
    <xf numFmtId="0" fontId="111" fillId="0" borderId="8" xfId="10" applyFont="1" applyBorder="1" applyAlignment="1">
      <alignment horizontal="center" vertical="center" wrapText="1"/>
    </xf>
    <xf numFmtId="0" fontId="111" fillId="0" borderId="4" xfId="10" applyFont="1" applyBorder="1" applyAlignment="1">
      <alignment horizontal="center" vertical="center" wrapText="1"/>
    </xf>
    <xf numFmtId="0" fontId="107" fillId="0" borderId="4" xfId="10" applyFont="1" applyBorder="1" applyAlignment="1">
      <alignment horizontal="center" vertical="center"/>
    </xf>
    <xf numFmtId="43" fontId="107" fillId="0" borderId="20" xfId="37" applyFont="1" applyFill="1" applyBorder="1" applyAlignment="1">
      <alignment horizontal="center" vertical="center"/>
    </xf>
    <xf numFmtId="43" fontId="107" fillId="0" borderId="8" xfId="37" applyFont="1" applyFill="1" applyBorder="1" applyAlignment="1">
      <alignment horizontal="center" vertical="center"/>
    </xf>
    <xf numFmtId="43" fontId="107" fillId="0" borderId="4" xfId="37" applyFont="1" applyFill="1" applyBorder="1" applyAlignment="1">
      <alignment horizontal="center" vertical="center"/>
    </xf>
    <xf numFmtId="43" fontId="107" fillId="0" borderId="31" xfId="37" applyFont="1" applyBorder="1" applyAlignment="1">
      <alignment horizontal="center" vertical="center" wrapText="1"/>
    </xf>
    <xf numFmtId="43" fontId="107" fillId="0" borderId="24" xfId="37" applyFont="1" applyBorder="1" applyAlignment="1">
      <alignment horizontal="center" vertical="center" wrapText="1"/>
    </xf>
    <xf numFmtId="43" fontId="107" fillId="0" borderId="12" xfId="37" applyFont="1" applyBorder="1" applyAlignment="1">
      <alignment horizontal="center" vertical="center" wrapText="1"/>
    </xf>
    <xf numFmtId="43" fontId="107" fillId="0" borderId="19" xfId="37" applyFont="1" applyBorder="1" applyAlignment="1">
      <alignment horizontal="center" vertical="center" wrapText="1"/>
    </xf>
    <xf numFmtId="43" fontId="199" fillId="0" borderId="20" xfId="37" applyFont="1" applyBorder="1" applyAlignment="1">
      <alignment horizontal="center" vertical="center"/>
    </xf>
    <xf numFmtId="43" fontId="199" fillId="0" borderId="8" xfId="37" applyFont="1" applyBorder="1" applyAlignment="1">
      <alignment horizontal="center" vertical="center"/>
    </xf>
    <xf numFmtId="43" fontId="199" fillId="0" borderId="4" xfId="37" applyFont="1" applyBorder="1" applyAlignment="1">
      <alignment horizontal="center" vertical="center"/>
    </xf>
    <xf numFmtId="49" fontId="107" fillId="0" borderId="20" xfId="37" applyNumberFormat="1" applyFont="1" applyBorder="1" applyAlignment="1">
      <alignment horizontal="center" vertical="center" wrapText="1"/>
    </xf>
    <xf numFmtId="49" fontId="107" fillId="0" borderId="8" xfId="37" applyNumberFormat="1" applyFont="1" applyBorder="1" applyAlignment="1">
      <alignment horizontal="center" vertical="center" wrapText="1"/>
    </xf>
    <xf numFmtId="49" fontId="107" fillId="0" borderId="4" xfId="37" applyNumberFormat="1" applyFont="1" applyBorder="1" applyAlignment="1">
      <alignment horizontal="center" vertical="center" wrapText="1"/>
    </xf>
    <xf numFmtId="43" fontId="107" fillId="0" borderId="31" xfId="37" applyFont="1" applyFill="1" applyBorder="1" applyAlignment="1">
      <alignment horizontal="center" vertical="center"/>
    </xf>
    <xf numFmtId="43" fontId="107" fillId="0" borderId="24" xfId="37" applyFont="1" applyFill="1" applyBorder="1" applyAlignment="1">
      <alignment horizontal="center" vertical="center"/>
    </xf>
    <xf numFmtId="43" fontId="107" fillId="0" borderId="12" xfId="37" applyFont="1" applyFill="1" applyBorder="1" applyAlignment="1">
      <alignment horizontal="center" vertical="center"/>
    </xf>
    <xf numFmtId="43" fontId="107" fillId="0" borderId="19" xfId="37" applyFont="1" applyFill="1" applyBorder="1" applyAlignment="1">
      <alignment horizontal="center" vertical="center"/>
    </xf>
    <xf numFmtId="43" fontId="107" fillId="0" borderId="20" xfId="37" applyFont="1" applyFill="1" applyBorder="1" applyAlignment="1">
      <alignment horizontal="center" vertical="center" wrapText="1"/>
    </xf>
    <xf numFmtId="43" fontId="107" fillId="0" borderId="8" xfId="37" applyFont="1" applyFill="1" applyBorder="1" applyAlignment="1">
      <alignment horizontal="center" vertical="center" wrapText="1"/>
    </xf>
    <xf numFmtId="43" fontId="204" fillId="6" borderId="20" xfId="37" applyFont="1" applyFill="1" applyBorder="1" applyAlignment="1" applyProtection="1">
      <alignment horizontal="center" vertical="center"/>
    </xf>
    <xf numFmtId="43" fontId="204" fillId="6" borderId="8" xfId="37" applyFont="1" applyFill="1" applyBorder="1" applyAlignment="1" applyProtection="1">
      <alignment horizontal="center" vertical="center"/>
    </xf>
    <xf numFmtId="43" fontId="204" fillId="6" borderId="4" xfId="37" applyFont="1" applyFill="1" applyBorder="1" applyAlignment="1" applyProtection="1">
      <alignment horizontal="center" vertical="center"/>
    </xf>
    <xf numFmtId="0" fontId="204" fillId="6" borderId="20" xfId="27" applyFont="1" applyFill="1" applyBorder="1" applyAlignment="1">
      <alignment horizontal="center" vertical="center" wrapText="1"/>
    </xf>
    <xf numFmtId="0" fontId="204" fillId="6" borderId="8" xfId="27" applyFont="1" applyFill="1" applyBorder="1" applyAlignment="1">
      <alignment horizontal="center" vertical="center" wrapText="1"/>
    </xf>
    <xf numFmtId="0" fontId="204" fillId="6" borderId="4" xfId="27" applyFont="1" applyFill="1" applyBorder="1" applyAlignment="1">
      <alignment horizontal="center" vertical="center" wrapText="1"/>
    </xf>
    <xf numFmtId="0" fontId="186" fillId="6" borderId="0" xfId="27" applyFont="1" applyFill="1" applyAlignment="1">
      <alignment horizontal="center"/>
    </xf>
    <xf numFmtId="0" fontId="204" fillId="6" borderId="20" xfId="27" applyFont="1" applyFill="1" applyBorder="1" applyAlignment="1">
      <alignment horizontal="center" vertical="center"/>
    </xf>
    <xf numFmtId="0" fontId="204" fillId="6" borderId="8" xfId="27" applyFont="1" applyFill="1" applyBorder="1" applyAlignment="1">
      <alignment horizontal="center" vertical="center"/>
    </xf>
    <xf numFmtId="0" fontId="204" fillId="6" borderId="4" xfId="27" applyFont="1" applyFill="1" applyBorder="1" applyAlignment="1">
      <alignment horizontal="center" vertical="center"/>
    </xf>
    <xf numFmtId="43" fontId="204" fillId="6" borderId="20" xfId="37" applyFont="1" applyFill="1" applyBorder="1" applyAlignment="1" applyProtection="1">
      <alignment horizontal="center" vertical="center" wrapText="1"/>
    </xf>
    <xf numFmtId="43" fontId="204" fillId="6" borderId="8" xfId="37" applyFont="1" applyFill="1" applyBorder="1" applyAlignment="1" applyProtection="1">
      <alignment horizontal="center" vertical="center" wrapText="1"/>
    </xf>
    <xf numFmtId="43" fontId="204" fillId="6" borderId="4" xfId="37" applyFont="1" applyFill="1" applyBorder="1" applyAlignment="1" applyProtection="1">
      <alignment horizontal="center" vertical="center" wrapText="1"/>
    </xf>
    <xf numFmtId="43" fontId="204" fillId="6" borderId="31" xfId="37" applyFont="1" applyFill="1" applyBorder="1" applyAlignment="1" applyProtection="1">
      <alignment horizontal="center" vertical="center"/>
    </xf>
    <xf numFmtId="43" fontId="204" fillId="6" borderId="24" xfId="37" applyFont="1" applyFill="1" applyBorder="1" applyAlignment="1" applyProtection="1">
      <alignment horizontal="center" vertical="center"/>
    </xf>
    <xf numFmtId="43" fontId="204" fillId="6" borderId="12" xfId="37" applyFont="1" applyFill="1" applyBorder="1" applyAlignment="1" applyProtection="1">
      <alignment horizontal="center" vertical="center"/>
    </xf>
    <xf numFmtId="43" fontId="204" fillId="6" borderId="19" xfId="37" applyFont="1" applyFill="1" applyBorder="1" applyAlignment="1" applyProtection="1">
      <alignment horizontal="center" vertical="center"/>
    </xf>
    <xf numFmtId="0" fontId="137" fillId="0" borderId="0" xfId="0" applyFont="1" applyAlignment="1">
      <alignment horizontal="center"/>
    </xf>
    <xf numFmtId="0" fontId="126" fillId="0" borderId="0" xfId="0" applyFont="1" applyAlignment="1">
      <alignment horizontal="center"/>
    </xf>
    <xf numFmtId="0" fontId="143" fillId="0" borderId="25" xfId="0" applyFont="1" applyBorder="1" applyAlignment="1">
      <alignment horizontal="center"/>
    </xf>
    <xf numFmtId="0" fontId="174" fillId="0" borderId="3" xfId="0" applyFont="1" applyBorder="1" applyAlignment="1">
      <alignment horizontal="center" vertical="center"/>
    </xf>
    <xf numFmtId="49" fontId="174" fillId="0" borderId="3" xfId="185" applyNumberFormat="1" applyFont="1" applyFill="1" applyBorder="1" applyAlignment="1">
      <alignment horizontal="center" vertical="center"/>
    </xf>
    <xf numFmtId="165" fontId="174" fillId="0" borderId="3" xfId="185" applyFont="1" applyFill="1" applyBorder="1" applyAlignment="1">
      <alignment horizontal="center" vertical="center"/>
    </xf>
    <xf numFmtId="43" fontId="174" fillId="0" borderId="26" xfId="185" applyNumberFormat="1" applyFont="1" applyFill="1" applyBorder="1" applyAlignment="1">
      <alignment horizontal="center" vertical="center" wrapText="1"/>
    </xf>
    <xf numFmtId="43" fontId="174" fillId="0" borderId="2" xfId="185" applyNumberFormat="1" applyFont="1" applyFill="1" applyBorder="1" applyAlignment="1">
      <alignment horizontal="center" vertical="center" wrapText="1"/>
    </xf>
    <xf numFmtId="43" fontId="174" fillId="0" borderId="23" xfId="185" applyNumberFormat="1" applyFont="1" applyFill="1" applyBorder="1" applyAlignment="1">
      <alignment horizontal="center" vertical="center" wrapText="1"/>
    </xf>
    <xf numFmtId="43" fontId="174" fillId="0" borderId="3" xfId="185" applyNumberFormat="1" applyFont="1" applyFill="1" applyBorder="1" applyAlignment="1">
      <alignment horizontal="center" vertical="center" wrapText="1"/>
    </xf>
    <xf numFmtId="0" fontId="174" fillId="0" borderId="3" xfId="0" applyFont="1" applyBorder="1" applyAlignment="1">
      <alignment horizontal="center" vertical="center" wrapText="1"/>
    </xf>
    <xf numFmtId="0" fontId="174" fillId="0" borderId="20" xfId="0" applyFont="1" applyBorder="1" applyAlignment="1">
      <alignment horizontal="center" vertical="center" wrapText="1"/>
    </xf>
    <xf numFmtId="0" fontId="174" fillId="0" borderId="4" xfId="0" applyFont="1" applyBorder="1" applyAlignment="1">
      <alignment horizontal="center" vertical="center" wrapText="1"/>
    </xf>
    <xf numFmtId="0" fontId="188" fillId="0" borderId="3" xfId="0" applyFont="1" applyBorder="1" applyAlignment="1">
      <alignment horizontal="center" vertical="center"/>
    </xf>
    <xf numFmtId="0" fontId="188" fillId="0" borderId="20" xfId="0" applyFont="1" applyBorder="1" applyAlignment="1">
      <alignment horizontal="center" vertical="center"/>
    </xf>
    <xf numFmtId="0" fontId="188" fillId="0" borderId="4" xfId="0" applyFont="1" applyBorder="1" applyAlignment="1">
      <alignment horizontal="center" vertical="center"/>
    </xf>
    <xf numFmtId="165" fontId="188" fillId="0" borderId="20" xfId="185" applyFont="1" applyFill="1" applyBorder="1" applyAlignment="1">
      <alignment horizontal="center" vertical="center"/>
    </xf>
    <xf numFmtId="165" fontId="188" fillId="0" borderId="4" xfId="185" applyFont="1" applyFill="1" applyBorder="1" applyAlignment="1">
      <alignment horizontal="center" vertical="center"/>
    </xf>
    <xf numFmtId="165" fontId="188" fillId="0" borderId="26" xfId="185" applyFont="1" applyFill="1" applyBorder="1" applyAlignment="1">
      <alignment horizontal="center" wrapText="1"/>
    </xf>
    <xf numFmtId="165" fontId="188" fillId="0" borderId="2" xfId="185" applyFont="1" applyFill="1" applyBorder="1" applyAlignment="1">
      <alignment horizontal="center" wrapText="1"/>
    </xf>
    <xf numFmtId="165" fontId="188" fillId="0" borderId="3" xfId="185" applyFont="1" applyFill="1" applyBorder="1" applyAlignment="1">
      <alignment horizontal="center" vertical="center" wrapText="1"/>
    </xf>
    <xf numFmtId="165" fontId="188" fillId="0" borderId="3" xfId="185" applyFont="1" applyBorder="1" applyAlignment="1">
      <alignment horizontal="center" vertical="center" wrapText="1"/>
    </xf>
    <xf numFmtId="165" fontId="188" fillId="0" borderId="3" xfId="185" applyFont="1" applyBorder="1" applyAlignment="1">
      <alignment horizontal="center" vertical="center"/>
    </xf>
    <xf numFmtId="0" fontId="186" fillId="0" borderId="25" xfId="0" applyFont="1" applyBorder="1" applyAlignment="1">
      <alignment horizontal="center"/>
    </xf>
    <xf numFmtId="165" fontId="188" fillId="0" borderId="20" xfId="185" applyFont="1" applyBorder="1" applyAlignment="1">
      <alignment horizontal="center" vertical="center" wrapText="1"/>
    </xf>
    <xf numFmtId="165" fontId="188" fillId="0" borderId="4" xfId="185" applyFont="1" applyBorder="1" applyAlignment="1">
      <alignment horizontal="center" vertical="center" wrapText="1"/>
    </xf>
    <xf numFmtId="2" fontId="128" fillId="0" borderId="11" xfId="3" applyNumberFormat="1" applyFont="1" applyFill="1" applyBorder="1" applyAlignment="1">
      <alignment horizontal="center" vertical="center"/>
    </xf>
    <xf numFmtId="0" fontId="190" fillId="28" borderId="42" xfId="25" applyFont="1" applyFill="1" applyBorder="1" applyAlignment="1">
      <alignment horizontal="center" vertical="center" wrapText="1" readingOrder="1"/>
    </xf>
    <xf numFmtId="0" fontId="190" fillId="28" borderId="43" xfId="25" applyFont="1" applyFill="1" applyBorder="1" applyAlignment="1">
      <alignment horizontal="center" vertical="center" wrapText="1" readingOrder="1"/>
    </xf>
    <xf numFmtId="0" fontId="190" fillId="28" borderId="44" xfId="25" applyFont="1" applyFill="1" applyBorder="1" applyAlignment="1">
      <alignment horizontal="center" vertical="center" wrapText="1" readingOrder="1"/>
    </xf>
    <xf numFmtId="0" fontId="190" fillId="28" borderId="43" xfId="25" applyFont="1" applyFill="1" applyBorder="1" applyAlignment="1">
      <alignment horizontal="center" vertical="center" wrapText="1" readingOrder="1"/>
    </xf>
    <xf numFmtId="0" fontId="190" fillId="29" borderId="42" xfId="25" applyFont="1" applyFill="1" applyBorder="1" applyAlignment="1">
      <alignment horizontal="center" vertical="center" wrapText="1" readingOrder="1"/>
    </xf>
    <xf numFmtId="0" fontId="190" fillId="29" borderId="43" xfId="25" applyFont="1" applyFill="1" applyBorder="1" applyAlignment="1">
      <alignment horizontal="center" vertical="center" wrapText="1" readingOrder="1"/>
    </xf>
    <xf numFmtId="0" fontId="190" fillId="29" borderId="44" xfId="25" applyFont="1" applyFill="1" applyBorder="1" applyAlignment="1">
      <alignment horizontal="center" vertical="center" wrapText="1" readingOrder="1"/>
    </xf>
    <xf numFmtId="0" fontId="190" fillId="29" borderId="43" xfId="25" applyFont="1" applyFill="1" applyBorder="1" applyAlignment="1">
      <alignment horizontal="center" vertical="center" wrapText="1" readingOrder="1"/>
    </xf>
    <xf numFmtId="0" fontId="0" fillId="6" borderId="0" xfId="0" applyFill="1"/>
    <xf numFmtId="0" fontId="183" fillId="0" borderId="0" xfId="15" applyFont="1" applyAlignment="1">
      <alignment horizontal="left" vertical="center"/>
    </xf>
    <xf numFmtId="0" fontId="183" fillId="0" borderId="0" xfId="15" applyFont="1" applyAlignment="1">
      <alignment vertical="center" wrapText="1"/>
    </xf>
    <xf numFmtId="165" fontId="149" fillId="0" borderId="20" xfId="185" applyFont="1" applyFill="1" applyBorder="1" applyAlignment="1" applyProtection="1">
      <alignment horizontal="center" vertical="center" wrapText="1"/>
    </xf>
    <xf numFmtId="165" fontId="149" fillId="0" borderId="8" xfId="185" applyFont="1" applyFill="1" applyBorder="1" applyAlignment="1" applyProtection="1">
      <alignment horizontal="center" vertical="center" wrapText="1"/>
    </xf>
    <xf numFmtId="165" fontId="149" fillId="0" borderId="4" xfId="185" applyFont="1" applyFill="1" applyBorder="1" applyAlignment="1" applyProtection="1">
      <alignment horizontal="center" vertical="center" wrapText="1"/>
    </xf>
    <xf numFmtId="165" fontId="149" fillId="5" borderId="6" xfId="185" applyFont="1" applyFill="1" applyBorder="1" applyAlignment="1"/>
    <xf numFmtId="165" fontId="148" fillId="6" borderId="10" xfId="185" applyFont="1" applyFill="1" applyBorder="1" applyAlignment="1"/>
    <xf numFmtId="165" fontId="148" fillId="6" borderId="14" xfId="185" applyFont="1" applyFill="1" applyBorder="1" applyAlignment="1"/>
    <xf numFmtId="0" fontId="148" fillId="0" borderId="10" xfId="0" applyFont="1" applyBorder="1" applyAlignment="1">
      <alignment horizontal="left"/>
    </xf>
    <xf numFmtId="0" fontId="185" fillId="0" borderId="0" xfId="0" applyFont="1" applyAlignment="1">
      <alignment horizontal="center"/>
    </xf>
    <xf numFmtId="165" fontId="166" fillId="0" borderId="0" xfId="185" applyFont="1" applyFill="1" applyProtection="1"/>
    <xf numFmtId="165" fontId="166" fillId="0" borderId="0" xfId="185" applyFont="1" applyFill="1" applyAlignment="1" applyProtection="1">
      <alignment horizontal="center"/>
    </xf>
    <xf numFmtId="165" fontId="207" fillId="6" borderId="0" xfId="185" applyFont="1" applyFill="1" applyAlignment="1" applyProtection="1">
      <alignment horizontal="center"/>
    </xf>
    <xf numFmtId="0" fontId="185" fillId="6" borderId="0" xfId="0" applyFont="1" applyFill="1" applyAlignment="1">
      <alignment horizontal="center" vertical="center"/>
    </xf>
    <xf numFmtId="165" fontId="166" fillId="0" borderId="0" xfId="185" applyFont="1" applyFill="1" applyBorder="1" applyProtection="1"/>
    <xf numFmtId="165" fontId="166" fillId="0" borderId="0" xfId="185" applyFont="1" applyFill="1" applyBorder="1" applyAlignment="1" applyProtection="1">
      <alignment horizontal="center"/>
    </xf>
    <xf numFmtId="0" fontId="201" fillId="6" borderId="20" xfId="0" applyFont="1" applyFill="1" applyBorder="1" applyAlignment="1">
      <alignment horizontal="center" vertical="center" wrapText="1"/>
    </xf>
    <xf numFmtId="0" fontId="201" fillId="6" borderId="20" xfId="0" applyFont="1" applyFill="1" applyBorder="1" applyAlignment="1">
      <alignment horizontal="center" wrapText="1"/>
    </xf>
    <xf numFmtId="165" fontId="200" fillId="6" borderId="0" xfId="185" applyFont="1" applyFill="1" applyBorder="1" applyProtection="1"/>
    <xf numFmtId="165" fontId="201" fillId="5" borderId="20" xfId="185" applyFont="1" applyFill="1" applyBorder="1" applyAlignment="1" applyProtection="1">
      <alignment horizontal="center" vertical="center" wrapText="1"/>
    </xf>
    <xf numFmtId="165" fontId="200" fillId="0" borderId="0" xfId="185" applyFont="1" applyFill="1" applyBorder="1" applyProtection="1"/>
    <xf numFmtId="165" fontId="201" fillId="7" borderId="3" xfId="185" applyFont="1" applyFill="1" applyBorder="1" applyAlignment="1" applyProtection="1">
      <alignment horizontal="center" wrapText="1"/>
    </xf>
    <xf numFmtId="165" fontId="201" fillId="9" borderId="3" xfId="185" applyFont="1" applyFill="1" applyBorder="1" applyAlignment="1" applyProtection="1">
      <alignment horizontal="center" wrapText="1"/>
    </xf>
    <xf numFmtId="0" fontId="201" fillId="6" borderId="8" xfId="0" applyFont="1" applyFill="1" applyBorder="1" applyAlignment="1">
      <alignment horizontal="center" vertical="center" wrapText="1"/>
    </xf>
    <xf numFmtId="0" fontId="201" fillId="6" borderId="8" xfId="0" applyFont="1" applyFill="1" applyBorder="1" applyAlignment="1">
      <alignment horizontal="center" wrapText="1"/>
    </xf>
    <xf numFmtId="165" fontId="201" fillId="6" borderId="23" xfId="185" applyFont="1" applyFill="1" applyBorder="1" applyAlignment="1" applyProtection="1">
      <alignment vertical="center"/>
    </xf>
    <xf numFmtId="165" fontId="201" fillId="6" borderId="26" xfId="185" applyFont="1" applyFill="1" applyBorder="1" applyAlignment="1" applyProtection="1">
      <alignment horizontal="center" vertical="center"/>
    </xf>
    <xf numFmtId="165" fontId="201" fillId="5" borderId="8" xfId="185" applyFont="1" applyFill="1" applyBorder="1" applyAlignment="1" applyProtection="1">
      <alignment horizontal="center" vertical="center"/>
    </xf>
    <xf numFmtId="165" fontId="200" fillId="0" borderId="0" xfId="185" applyFont="1" applyFill="1" applyAlignment="1" applyProtection="1">
      <alignment vertical="center"/>
    </xf>
    <xf numFmtId="165" fontId="200" fillId="0" borderId="3" xfId="185" applyFont="1" applyFill="1" applyBorder="1" applyAlignment="1" applyProtection="1">
      <alignment vertical="center"/>
    </xf>
    <xf numFmtId="0" fontId="201" fillId="6" borderId="4" xfId="0" applyFont="1" applyFill="1" applyBorder="1" applyAlignment="1">
      <alignment horizontal="center" vertical="center" wrapText="1"/>
    </xf>
    <xf numFmtId="0" fontId="201" fillId="6" borderId="4" xfId="0" applyFont="1" applyFill="1" applyBorder="1" applyAlignment="1">
      <alignment horizontal="center" wrapText="1"/>
    </xf>
    <xf numFmtId="165" fontId="201" fillId="5" borderId="23" xfId="185" applyFont="1" applyFill="1" applyBorder="1" applyAlignment="1" applyProtection="1">
      <alignment horizontal="center"/>
    </xf>
    <xf numFmtId="165" fontId="201" fillId="5" borderId="3" xfId="185" applyFont="1" applyFill="1" applyBorder="1" applyAlignment="1" applyProtection="1">
      <alignment horizontal="center"/>
    </xf>
    <xf numFmtId="165" fontId="200" fillId="0" borderId="0" xfId="185" applyFont="1" applyFill="1" applyProtection="1"/>
    <xf numFmtId="165" fontId="200" fillId="5" borderId="3" xfId="185" applyFont="1" applyFill="1" applyBorder="1" applyProtection="1"/>
    <xf numFmtId="2" fontId="201" fillId="5" borderId="6" xfId="185" applyNumberFormat="1" applyFont="1" applyFill="1" applyBorder="1" applyAlignment="1" applyProtection="1">
      <alignment horizontal="center"/>
    </xf>
    <xf numFmtId="165" fontId="201" fillId="5" borderId="6" xfId="185" applyFont="1" applyFill="1" applyBorder="1" applyAlignment="1" applyProtection="1">
      <alignment horizontal="center"/>
    </xf>
    <xf numFmtId="165" fontId="201" fillId="5" borderId="23" xfId="185" applyFont="1" applyFill="1" applyBorder="1" applyAlignment="1" applyProtection="1"/>
    <xf numFmtId="165" fontId="200" fillId="5" borderId="3" xfId="185" applyFont="1" applyFill="1" applyBorder="1" applyAlignment="1" applyProtection="1"/>
    <xf numFmtId="165" fontId="201" fillId="5" borderId="4" xfId="185" applyFont="1" applyFill="1" applyBorder="1" applyAlignment="1" applyProtection="1">
      <alignment horizontal="center" vertical="center"/>
    </xf>
    <xf numFmtId="165" fontId="201" fillId="5" borderId="2" xfId="185" applyFont="1" applyFill="1" applyBorder="1" applyAlignment="1" applyProtection="1">
      <alignment horizontal="center"/>
    </xf>
    <xf numFmtId="165" fontId="200" fillId="0" borderId="0" xfId="185" applyFont="1" applyFill="1" applyAlignment="1" applyProtection="1"/>
    <xf numFmtId="176" fontId="200" fillId="0" borderId="7" xfId="185" applyNumberFormat="1" applyFont="1" applyFill="1" applyBorder="1" applyAlignment="1" applyProtection="1">
      <alignment horizontal="center"/>
    </xf>
    <xf numFmtId="165" fontId="200" fillId="0" borderId="10" xfId="185" applyFont="1" applyFill="1" applyBorder="1" applyAlignment="1" applyProtection="1">
      <alignment horizontal="center"/>
    </xf>
    <xf numFmtId="43" fontId="201" fillId="0" borderId="11" xfId="185" applyNumberFormat="1" applyFont="1" applyFill="1" applyBorder="1" applyAlignment="1">
      <alignment horizontal="center"/>
    </xf>
    <xf numFmtId="165" fontId="200" fillId="0" borderId="20" xfId="185" applyFont="1" applyFill="1" applyBorder="1" applyAlignment="1"/>
    <xf numFmtId="165" fontId="200" fillId="0" borderId="20" xfId="185" applyFont="1" applyFill="1" applyBorder="1" applyAlignment="1">
      <alignment horizontal="center"/>
    </xf>
    <xf numFmtId="165" fontId="200" fillId="0" borderId="35" xfId="185" applyFont="1" applyFill="1" applyBorder="1" applyAlignment="1" applyProtection="1"/>
    <xf numFmtId="165" fontId="200" fillId="0" borderId="20" xfId="185" applyFont="1" applyFill="1" applyBorder="1" applyAlignment="1" applyProtection="1"/>
    <xf numFmtId="165" fontId="200" fillId="0" borderId="0" xfId="185" applyFont="1" applyFill="1" applyBorder="1" applyAlignment="1"/>
    <xf numFmtId="165" fontId="200" fillId="0" borderId="22" xfId="185" applyFont="1" applyFill="1" applyBorder="1" applyAlignment="1"/>
    <xf numFmtId="176" fontId="200" fillId="0" borderId="28" xfId="185" applyNumberFormat="1" applyFont="1" applyFill="1" applyBorder="1" applyAlignment="1" applyProtection="1">
      <alignment horizontal="center"/>
    </xf>
    <xf numFmtId="165" fontId="200" fillId="0" borderId="28" xfId="185" applyFont="1" applyFill="1" applyBorder="1" applyAlignment="1" applyProtection="1">
      <alignment horizontal="center"/>
    </xf>
    <xf numFmtId="43" fontId="201" fillId="6" borderId="11" xfId="185" applyNumberFormat="1" applyFont="1" applyFill="1" applyBorder="1" applyAlignment="1">
      <alignment horizontal="center"/>
    </xf>
    <xf numFmtId="165" fontId="200" fillId="0" borderId="11" xfId="185" applyFont="1" applyFill="1" applyBorder="1" applyAlignment="1"/>
    <xf numFmtId="165" fontId="200" fillId="0" borderId="11" xfId="185" applyFont="1" applyFill="1" applyBorder="1" applyAlignment="1">
      <alignment horizontal="center"/>
    </xf>
    <xf numFmtId="165" fontId="200" fillId="0" borderId="34" xfId="185" applyFont="1" applyFill="1" applyBorder="1" applyAlignment="1" applyProtection="1"/>
    <xf numFmtId="165" fontId="200" fillId="0" borderId="29" xfId="185" applyFont="1" applyFill="1" applyBorder="1" applyAlignment="1"/>
    <xf numFmtId="165" fontId="200" fillId="0" borderId="29" xfId="185" applyFont="1" applyFill="1" applyBorder="1" applyAlignment="1" applyProtection="1"/>
    <xf numFmtId="165" fontId="200" fillId="0" borderId="11" xfId="185" applyFont="1" applyFill="1" applyBorder="1" applyAlignment="1" applyProtection="1">
      <alignment horizontal="center"/>
    </xf>
    <xf numFmtId="176" fontId="200" fillId="0" borderId="46" xfId="185" applyNumberFormat="1" applyFont="1" applyFill="1" applyBorder="1" applyAlignment="1" applyProtection="1">
      <alignment horizontal="center"/>
    </xf>
    <xf numFmtId="165" fontId="200" fillId="0" borderId="18" xfId="185" applyFont="1" applyFill="1" applyBorder="1" applyAlignment="1" applyProtection="1">
      <alignment horizontal="center"/>
    </xf>
    <xf numFmtId="43" fontId="201" fillId="0" borderId="18" xfId="185" applyNumberFormat="1" applyFont="1" applyFill="1" applyBorder="1" applyAlignment="1">
      <alignment horizontal="center"/>
    </xf>
    <xf numFmtId="165" fontId="200" fillId="0" borderId="18" xfId="185" applyFont="1" applyFill="1" applyBorder="1" applyAlignment="1"/>
    <xf numFmtId="165" fontId="200" fillId="0" borderId="18" xfId="185" applyFont="1" applyFill="1" applyBorder="1" applyAlignment="1">
      <alignment horizontal="center"/>
    </xf>
    <xf numFmtId="165" fontId="200" fillId="0" borderId="47" xfId="185" applyFont="1" applyFill="1" applyBorder="1" applyAlignment="1" applyProtection="1"/>
    <xf numFmtId="165" fontId="200" fillId="0" borderId="45" xfId="185" applyFont="1" applyFill="1" applyBorder="1" applyAlignment="1"/>
    <xf numFmtId="0" fontId="200" fillId="0" borderId="25" xfId="0" applyFont="1" applyBorder="1"/>
    <xf numFmtId="176" fontId="200" fillId="0" borderId="48" xfId="185" applyNumberFormat="1" applyFont="1" applyFill="1" applyBorder="1" applyAlignment="1" applyProtection="1">
      <alignment horizontal="center"/>
    </xf>
    <xf numFmtId="165" fontId="200" fillId="0" borderId="48" xfId="185" applyFont="1" applyFill="1" applyBorder="1" applyAlignment="1" applyProtection="1">
      <alignment horizontal="center"/>
    </xf>
    <xf numFmtId="43" fontId="201" fillId="0" borderId="22" xfId="185" applyNumberFormat="1" applyFont="1" applyFill="1" applyBorder="1" applyAlignment="1">
      <alignment horizontal="center"/>
    </xf>
    <xf numFmtId="165" fontId="200" fillId="0" borderId="22" xfId="185" applyFont="1" applyFill="1" applyBorder="1" applyAlignment="1">
      <alignment horizontal="center"/>
    </xf>
    <xf numFmtId="165" fontId="200" fillId="0" borderId="49" xfId="185" applyFont="1" applyFill="1" applyBorder="1" applyAlignment="1" applyProtection="1"/>
    <xf numFmtId="165" fontId="200" fillId="0" borderId="40" xfId="185" applyFont="1" applyFill="1" applyBorder="1" applyAlignment="1"/>
    <xf numFmtId="0" fontId="200" fillId="0" borderId="27" xfId="0" applyFont="1" applyBorder="1"/>
    <xf numFmtId="165" fontId="200" fillId="0" borderId="11" xfId="185" applyFont="1" applyFill="1" applyBorder="1" applyAlignment="1" applyProtection="1"/>
    <xf numFmtId="2" fontId="200" fillId="0" borderId="28" xfId="185" applyNumberFormat="1" applyFont="1" applyFill="1" applyBorder="1" applyAlignment="1" applyProtection="1">
      <alignment horizontal="center"/>
    </xf>
    <xf numFmtId="165" fontId="200" fillId="0" borderId="28" xfId="185" applyFont="1" applyFill="1" applyBorder="1" applyAlignment="1"/>
    <xf numFmtId="165" fontId="208" fillId="0" borderId="11" xfId="185" applyFont="1" applyFill="1" applyBorder="1" applyAlignment="1" applyProtection="1"/>
    <xf numFmtId="165" fontId="200" fillId="0" borderId="28" xfId="185" applyFont="1" applyFill="1" applyBorder="1" applyAlignment="1">
      <alignment horizontal="center"/>
    </xf>
    <xf numFmtId="2" fontId="200" fillId="0" borderId="0" xfId="0" applyNumberFormat="1" applyFont="1" applyAlignment="1">
      <alignment horizontal="center"/>
    </xf>
    <xf numFmtId="165" fontId="200" fillId="0" borderId="0" xfId="185" applyFont="1" applyFill="1" applyBorder="1" applyAlignment="1">
      <alignment shrinkToFit="1"/>
    </xf>
    <xf numFmtId="165" fontId="200" fillId="0" borderId="0" xfId="185" applyFont="1" applyFill="1" applyBorder="1" applyAlignment="1">
      <alignment horizontal="center"/>
    </xf>
    <xf numFmtId="2" fontId="72" fillId="0" borderId="0" xfId="0" applyNumberFormat="1" applyFont="1" applyAlignment="1">
      <alignment horizontal="center"/>
    </xf>
    <xf numFmtId="165" fontId="72" fillId="0" borderId="0" xfId="185" applyFont="1" applyFill="1" applyBorder="1" applyAlignment="1">
      <alignment shrinkToFit="1"/>
    </xf>
    <xf numFmtId="165" fontId="72" fillId="0" borderId="0" xfId="185" applyFont="1" applyFill="1" applyBorder="1" applyAlignment="1">
      <alignment horizontal="center"/>
    </xf>
    <xf numFmtId="0" fontId="203" fillId="0" borderId="0" xfId="0" applyFont="1"/>
    <xf numFmtId="2" fontId="209" fillId="0" borderId="0" xfId="0" applyNumberFormat="1" applyFont="1"/>
    <xf numFmtId="2" fontId="72" fillId="0" borderId="0" xfId="185" applyNumberFormat="1" applyFont="1" applyFill="1" applyBorder="1"/>
    <xf numFmtId="43" fontId="130" fillId="0" borderId="3" xfId="55" applyFont="1" applyBorder="1" applyAlignment="1">
      <alignment vertical="center"/>
    </xf>
    <xf numFmtId="0" fontId="196" fillId="0" borderId="3" xfId="110" applyFont="1" applyBorder="1" applyAlignment="1">
      <alignment horizontal="left" vertical="center" wrapText="1"/>
    </xf>
    <xf numFmtId="43" fontId="196" fillId="0" borderId="3" xfId="110" applyNumberFormat="1" applyFont="1" applyBorder="1" applyAlignment="1">
      <alignment vertical="center"/>
    </xf>
    <xf numFmtId="43" fontId="196" fillId="0" borderId="3" xfId="55" applyFont="1" applyFill="1" applyBorder="1" applyAlignment="1">
      <alignment horizontal="center" vertical="center"/>
    </xf>
    <xf numFmtId="2" fontId="196" fillId="0" borderId="3" xfId="55" applyNumberFormat="1" applyFont="1" applyFill="1" applyBorder="1" applyAlignment="1">
      <alignment horizontal="center" vertical="center"/>
    </xf>
    <xf numFmtId="43" fontId="196" fillId="0" borderId="3" xfId="55" applyFont="1" applyFill="1" applyBorder="1" applyAlignment="1">
      <alignment vertical="center"/>
    </xf>
    <xf numFmtId="0" fontId="197" fillId="0" borderId="0" xfId="110" applyFont="1" applyAlignment="1">
      <alignment vertical="center"/>
    </xf>
    <xf numFmtId="43" fontId="197" fillId="0" borderId="0" xfId="55" applyFont="1" applyFill="1" applyAlignment="1">
      <alignment vertical="center"/>
    </xf>
    <xf numFmtId="0" fontId="108" fillId="0" borderId="3" xfId="0" applyFont="1" applyBorder="1" applyAlignment="1">
      <alignment horizontal="left" vertical="center"/>
    </xf>
    <xf numFmtId="0" fontId="108" fillId="0" borderId="3" xfId="0" applyFont="1" applyBorder="1" applyAlignment="1">
      <alignment vertical="center"/>
    </xf>
    <xf numFmtId="2" fontId="107" fillId="9" borderId="6" xfId="55" applyNumberFormat="1" applyFont="1" applyFill="1" applyBorder="1" applyAlignment="1">
      <alignment horizontal="center"/>
    </xf>
    <xf numFmtId="43" fontId="112" fillId="6" borderId="11" xfId="55" applyFont="1" applyFill="1" applyBorder="1" applyAlignment="1">
      <alignment horizontal="center"/>
    </xf>
    <xf numFmtId="0" fontId="108" fillId="0" borderId="3" xfId="321" applyFont="1" applyBorder="1" applyAlignment="1">
      <alignment horizontal="center"/>
    </xf>
    <xf numFmtId="0" fontId="108" fillId="0" borderId="3" xfId="15" applyFont="1" applyBorder="1" applyAlignment="1">
      <alignment horizontal="center"/>
    </xf>
    <xf numFmtId="0" fontId="133" fillId="0" borderId="3" xfId="10" applyFont="1" applyBorder="1" applyAlignment="1">
      <alignment horizontal="left" vertical="top"/>
    </xf>
    <xf numFmtId="0" fontId="133" fillId="0" borderId="3" xfId="10" applyFont="1" applyBorder="1" applyAlignment="1">
      <alignment horizontal="center" vertical="center"/>
    </xf>
    <xf numFmtId="43" fontId="108" fillId="0" borderId="3" xfId="37" applyFont="1" applyFill="1" applyBorder="1"/>
    <xf numFmtId="165" fontId="133" fillId="0" borderId="3" xfId="3" applyFont="1" applyBorder="1" applyAlignment="1">
      <alignment horizontal="center"/>
    </xf>
    <xf numFmtId="43" fontId="133" fillId="0" borderId="3" xfId="37" applyFont="1" applyFill="1" applyBorder="1" applyAlignment="1">
      <alignment horizontal="right"/>
    </xf>
    <xf numFmtId="43" fontId="133" fillId="0" borderId="3" xfId="37" applyFont="1" applyFill="1" applyBorder="1"/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" xfId="3" builtinId="3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" xfId="0" builtinId="0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3619;&#3634;&#3618;&#3591;&#3634;&#3609;&#3648;&#3591;&#3636;&#3609;&#3585;&#3633;&#3609;&#3611;&#3637;%2066.xlsx" TargetMode="External"/><Relationship Id="rId1" Type="http://schemas.openxmlformats.org/officeDocument/2006/relationships/externalLinkPath" Target="file:///F:\&#3619;&#3634;&#3618;&#3591;&#3634;&#3609;&#3648;&#3591;&#3636;&#3609;&#3585;&#3633;&#3609;&#3611;&#3637;%206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\&#3626;&#3619;&#3640;&#3611;&#3612;&#3621;&#3585;&#3634;&#3619;&#3651;&#3594;&#3657;&#3592;&#3656;&#3634;&#3618;\4.&#3617;.&#3588;.68\15.1.68\1.%20&#3616;&#3634;&#3614;&#3619;&#3623;&#3617;%20&#3612;&#3621;&#3585;&#3634;&#3619;&#3651;&#3594;&#3657;&#3592;&#3656;&#3634;&#3618;&#3623;&#3633;&#3609;&#3607;&#3637;&#3656;%2015.1.68.xlsx" TargetMode="External"/><Relationship Id="rId1" Type="http://schemas.openxmlformats.org/officeDocument/2006/relationships/externalLinkPath" Target="1.%20&#3616;&#3634;&#3614;&#3619;&#3623;&#3617;%20&#3612;&#3621;&#3585;&#3634;&#3619;&#3651;&#3594;&#3657;&#3592;&#3656;&#3634;&#3618;&#3623;&#3633;&#3609;&#3607;&#3637;&#3656;%2015.1.6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\&#3626;&#3619;&#3640;&#3611;&#3612;&#3621;&#3585;&#3634;&#3619;&#3651;&#3594;&#3657;&#3592;&#3656;&#3634;&#3618;\4.&#3617;.&#3588;.68\15.1.68\2.%20&#3612;&#3621;&#3585;&#3634;&#3619;&#3648;&#3610;&#3636;&#3585;&#3592;&#3656;&#3634;&#3618;&#3619;&#3634;&#3618;&#3627;&#3609;&#3656;&#3623;&#3618;%2015.1.68.xlsx" TargetMode="External"/><Relationship Id="rId1" Type="http://schemas.openxmlformats.org/officeDocument/2006/relationships/externalLinkPath" Target="2.%20&#3612;&#3621;&#3585;&#3634;&#3619;&#3648;&#3610;&#3636;&#3585;&#3592;&#3656;&#3634;&#3618;&#3619;&#3634;&#3618;&#3627;&#3609;&#3656;&#3623;&#3618;%2015.1.6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\&#3626;&#3619;&#3640;&#3611;&#3612;&#3621;&#3585;&#3634;&#3619;&#3651;&#3594;&#3657;&#3592;&#3656;&#3634;&#3618;\4.&#3617;.&#3588;.68\15.1.68\3.%20&#3619;&#3634;&#3618;&#3591;&#3634;&#3609;&#3619;&#3634;&#3618;&#3592;&#3656;&#3634;&#3618;&#3621;&#3591;&#3607;&#3640;&#3609;%2015.1.68.xlsx" TargetMode="External"/><Relationship Id="rId1" Type="http://schemas.openxmlformats.org/officeDocument/2006/relationships/externalLinkPath" Target="3.%20&#3619;&#3634;&#3618;&#3591;&#3634;&#3609;&#3619;&#3634;&#3618;&#3592;&#3656;&#3634;&#3618;&#3621;&#3591;&#3607;&#3640;&#3609;%2015.1.68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3591;&#3610;&#3611;&#3619;&#3632;&#3617;&#3634;&#3603;-68\&#3648;&#3591;&#3636;&#3609;&#3585;&#3633;&#3609;\&#3619;&#3634;&#3618;&#3591;&#3634;&#3609;&#3648;&#3591;&#3636;&#3609;&#3585;&#3633;&#3609;&#3611;&#3637;%2067.xlsx" TargetMode="External"/><Relationship Id="rId1" Type="http://schemas.openxmlformats.org/officeDocument/2006/relationships/externalLinkPath" Target="file:///F:\&#3591;&#3610;&#3611;&#3619;&#3632;&#3617;&#3634;&#3603;-68\&#3648;&#3591;&#3636;&#3609;&#3585;&#3633;&#3609;\&#3619;&#3634;&#3618;&#3591;&#3634;&#3609;&#3648;&#3591;&#3636;&#3609;&#3585;&#3633;&#3609;&#3611;&#3637;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แบบรายงานเงินกันเหลื่อมปี"/>
      <sheetName val="คีย์ข้อมูล"/>
      <sheetName val="Sheet2"/>
      <sheetName val="คงเหลือ"/>
      <sheetName val="PO คงเหลือ"/>
      <sheetName val="Sheet1"/>
      <sheetName val="แบบรายงานเงินกันเหลื่อมปี (2)"/>
      <sheetName val="แยกแผน"/>
      <sheetName val="GF47.30.09.65"/>
      <sheetName val="GF46.30.09.65"/>
    </sheetNames>
    <sheetDataSet>
      <sheetData sheetId="0" refreshError="1"/>
      <sheetData sheetId="1" refreshError="1"/>
      <sheetData sheetId="2" refreshError="1">
        <row r="1">
          <cell r="A1" t="str">
            <v>รายงานผลการเบิกจ่ายงบประมาณเงินกันไว้เบิกเหลื่อมปีงบประมาณ พ.ศ. 2566</v>
          </cell>
        </row>
        <row r="2">
          <cell r="A2" t="str">
            <v>กรมการพัฒนาชุมชน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 (รายจ่ายลงทุน 22)"/>
      <sheetName val="รายงาน  (รายจ่ายลงทุน) (2)"/>
      <sheetName val="รายงาน  (รายจ่ายลงทุน) (3)"/>
      <sheetName val="Sheet12"/>
      <sheetName val="Sheet9"/>
      <sheetName val="รายงาน  (รายจ่ายลงทุน)"/>
      <sheetName val="NFMA46"/>
      <sheetName val="คีย์ข้อมูล"/>
      <sheetName val="โอนเปลี่ยนแปลง "/>
      <sheetName val="โอนเปลี่ยนแปลง"/>
      <sheetName val="รายงาน (2)"/>
      <sheetName val="รายงาน"/>
      <sheetName val="รายงาน "/>
      <sheetName val="Sheet10"/>
      <sheetName val="Sheet11"/>
      <sheetName val="Sheet8"/>
      <sheetName val="รายงานเสนอ (2)"/>
      <sheetName val="zfma46"/>
      <sheetName val="Sheet1"/>
      <sheetName val="งบเพิ่มเติม61 OTOP นวัตวิถี"/>
      <sheetName val="Sheet6"/>
      <sheetName val="สรุปเงินกันงบเพิ่มเติม60"/>
      <sheetName val="ราละเอียดโครงการงบเพิ่มเติม"/>
      <sheetName val="ให้ ผอ.ทุกศุกร์"/>
      <sheetName val="รายละเอียด-งบเพิ่มเติม"/>
      <sheetName val="ทศนิยมงบเพิ่มเติม"/>
      <sheetName val="Sheet7"/>
      <sheetName val="GF งบเพิ่มเติม"/>
      <sheetName val="แผนเป้า"/>
      <sheetName val="Sheet3"/>
      <sheetName val="Sheet5"/>
      <sheetName val="Sheet4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>ข้อมูลสะสมตั้งแต่วันที่ 1 ตุลาคม 2567 - ถึงวันที่ 15 มกราคม 2568</v>
          </cell>
        </row>
        <row r="9">
          <cell r="G9">
            <v>0</v>
          </cell>
          <cell r="H9">
            <v>959712982.42999995</v>
          </cell>
        </row>
        <row r="10">
          <cell r="G10">
            <v>0</v>
          </cell>
          <cell r="H10">
            <v>75798768.609999999</v>
          </cell>
        </row>
        <row r="13">
          <cell r="G13">
            <v>0</v>
          </cell>
        </row>
        <row r="20">
          <cell r="G20">
            <v>1945860</v>
          </cell>
          <cell r="H20">
            <v>23919444.449999999</v>
          </cell>
        </row>
        <row r="24">
          <cell r="G24">
            <v>0</v>
          </cell>
          <cell r="H24">
            <v>0</v>
          </cell>
          <cell r="I24">
            <v>0</v>
          </cell>
        </row>
        <row r="31">
          <cell r="G31">
            <v>34730023.049999997</v>
          </cell>
          <cell r="H31">
            <v>77963560.700000003</v>
          </cell>
        </row>
        <row r="34">
          <cell r="C34">
            <v>14186100</v>
          </cell>
        </row>
        <row r="35">
          <cell r="G35">
            <v>10185000</v>
          </cell>
          <cell r="H35">
            <v>890480</v>
          </cell>
          <cell r="I35">
            <v>0</v>
          </cell>
        </row>
        <row r="41">
          <cell r="G41">
            <v>7737138</v>
          </cell>
          <cell r="H41">
            <v>100798214.19</v>
          </cell>
        </row>
        <row r="44">
          <cell r="G44">
            <v>734237.41999999993</v>
          </cell>
          <cell r="H44">
            <v>0</v>
          </cell>
        </row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การตลาดและการจำหน่าวยผลิตภัณฑ์ชุมชน (15004422006002000000)</v>
          </cell>
          <cell r="G49">
            <v>191932200</v>
          </cell>
          <cell r="H49">
            <v>45505584</v>
          </cell>
        </row>
        <row r="52">
          <cell r="G52">
            <v>191932200</v>
          </cell>
          <cell r="H52">
            <v>45505584</v>
          </cell>
        </row>
        <row r="58">
          <cell r="B58" t="str">
            <v>แผนงานบูรณาการป้องกัน ปราบปราม และบำบัดรักษาผู้ติดยาเสพติด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โครงการป้องกันและแก้ไขปัญหายาเสพติดโดยกองทุนแม่ของแผ่นดิน(15004062009002000000)</v>
          </cell>
        </row>
        <row r="61">
          <cell r="G61">
            <v>324810</v>
          </cell>
          <cell r="H61">
            <v>15403727</v>
          </cell>
        </row>
        <row r="64">
          <cell r="G64">
            <v>0</v>
          </cell>
          <cell r="H64">
            <v>0</v>
          </cell>
        </row>
        <row r="71">
          <cell r="G71">
            <v>0</v>
          </cell>
          <cell r="H71">
            <v>133160</v>
          </cell>
          <cell r="I71">
            <v>0</v>
          </cell>
        </row>
        <row r="74">
          <cell r="G74">
            <v>0</v>
          </cell>
          <cell r="H74">
            <v>0</v>
          </cell>
        </row>
        <row r="81">
          <cell r="G81">
            <v>71500</v>
          </cell>
          <cell r="H81">
            <v>4635076</v>
          </cell>
        </row>
        <row r="84">
          <cell r="G84">
            <v>0</v>
          </cell>
          <cell r="H84">
            <v>0</v>
          </cell>
        </row>
      </sheetData>
      <sheetData sheetId="8">
        <row r="6">
          <cell r="C6">
            <v>2967128500</v>
          </cell>
          <cell r="D6">
            <v>0</v>
          </cell>
          <cell r="F6">
            <v>2967128500</v>
          </cell>
        </row>
        <row r="7">
          <cell r="B7" t="str">
            <v>รายการค่าใช้จ่ายบุคลากรภาครัฐ (1500414002001000000,15004142002002000000)</v>
          </cell>
          <cell r="C7">
            <v>2967128500</v>
          </cell>
          <cell r="D7">
            <v>0</v>
          </cell>
          <cell r="F7">
            <v>2967128500</v>
          </cell>
        </row>
        <row r="8">
          <cell r="C8">
            <v>2695794600</v>
          </cell>
          <cell r="F8">
            <v>2695794600</v>
          </cell>
        </row>
        <row r="9">
          <cell r="C9">
            <v>271333900</v>
          </cell>
          <cell r="F9">
            <v>271333900</v>
          </cell>
        </row>
        <row r="12">
          <cell r="C12">
            <v>0</v>
          </cell>
          <cell r="D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1491707000</v>
          </cell>
          <cell r="D16">
            <v>0</v>
          </cell>
          <cell r="F16">
            <v>1491707000</v>
          </cell>
        </row>
        <row r="17">
          <cell r="B17" t="str">
            <v>ผลผลิต การจัดการฐานข้อมูลเพื่อการพัฒนาชุมชน (15004381004002000000,15004380004003120001)</v>
          </cell>
          <cell r="C17">
            <v>478438500</v>
          </cell>
          <cell r="D17">
            <v>0</v>
          </cell>
          <cell r="F17">
            <v>478438500</v>
          </cell>
        </row>
        <row r="19">
          <cell r="C19">
            <v>472483500</v>
          </cell>
          <cell r="D19">
            <v>0</v>
          </cell>
          <cell r="F19">
            <v>472483500</v>
          </cell>
        </row>
        <row r="23">
          <cell r="C23">
            <v>5955000</v>
          </cell>
          <cell r="D23">
            <v>0</v>
          </cell>
          <cell r="F23">
            <v>5955000</v>
          </cell>
        </row>
        <row r="26">
          <cell r="C26">
            <v>0</v>
          </cell>
          <cell r="D26">
            <v>0</v>
          </cell>
          <cell r="F26">
            <v>0</v>
          </cell>
        </row>
        <row r="27">
          <cell r="B27" t="str">
            <v>ผลผลิตเสริมสร้างขีดความสามารถในการบริหารจัดการชุมชน(15004382001002000000)</v>
          </cell>
          <cell r="C27">
            <v>407375100</v>
          </cell>
          <cell r="F27">
            <v>407375100</v>
          </cell>
        </row>
        <row r="29">
          <cell r="C29">
            <v>342066700</v>
          </cell>
          <cell r="D29">
            <v>0</v>
          </cell>
        </row>
        <row r="34">
          <cell r="C34">
            <v>51122300</v>
          </cell>
          <cell r="D34">
            <v>0</v>
          </cell>
        </row>
        <row r="37">
          <cell r="D37">
            <v>0</v>
          </cell>
        </row>
        <row r="38">
          <cell r="B38" t="str">
            <v>ผลผลิตสร้างความมั่นคงทางอาชีพและรายได้ (15004382005002000000)</v>
          </cell>
          <cell r="C38">
            <v>605893400</v>
          </cell>
          <cell r="D38">
            <v>0</v>
          </cell>
          <cell r="F38">
            <v>605893400</v>
          </cell>
        </row>
        <row r="40">
          <cell r="C40">
            <v>460955900</v>
          </cell>
          <cell r="D40">
            <v>0</v>
          </cell>
          <cell r="F40">
            <v>460955900</v>
          </cell>
        </row>
        <row r="43">
          <cell r="C43">
            <v>144937500</v>
          </cell>
          <cell r="D43">
            <v>0</v>
          </cell>
          <cell r="F43">
            <v>144937500</v>
          </cell>
        </row>
        <row r="46">
          <cell r="D46">
            <v>0</v>
          </cell>
          <cell r="F46">
            <v>0</v>
          </cell>
        </row>
        <row r="47">
          <cell r="C47">
            <v>985848800</v>
          </cell>
        </row>
        <row r="48">
          <cell r="C48">
            <v>985848800</v>
          </cell>
        </row>
        <row r="51">
          <cell r="C51">
            <v>985398800</v>
          </cell>
          <cell r="F51">
            <v>985398800</v>
          </cell>
        </row>
        <row r="54">
          <cell r="C54">
            <v>450000</v>
          </cell>
          <cell r="F54">
            <v>450000</v>
          </cell>
        </row>
        <row r="57">
          <cell r="C57">
            <v>38492300</v>
          </cell>
          <cell r="F57">
            <v>38492300</v>
          </cell>
        </row>
        <row r="58">
          <cell r="C58">
            <v>38492300</v>
          </cell>
          <cell r="D58">
            <v>0</v>
          </cell>
          <cell r="F58">
            <v>38492300</v>
          </cell>
        </row>
        <row r="60">
          <cell r="D60">
            <v>0</v>
          </cell>
          <cell r="F60">
            <v>38492300</v>
          </cell>
        </row>
        <row r="61">
          <cell r="C61">
            <v>38492300</v>
          </cell>
        </row>
        <row r="63">
          <cell r="C63">
            <v>0</v>
          </cell>
          <cell r="D63">
            <v>0</v>
          </cell>
          <cell r="F63">
            <v>0</v>
          </cell>
        </row>
        <row r="66">
          <cell r="C66">
            <v>0</v>
          </cell>
          <cell r="D66">
            <v>0</v>
          </cell>
          <cell r="F66">
            <v>0</v>
          </cell>
        </row>
        <row r="67">
          <cell r="C67">
            <v>40000000</v>
          </cell>
          <cell r="D67">
            <v>0</v>
          </cell>
          <cell r="F67">
            <v>40000000</v>
          </cell>
        </row>
        <row r="68">
          <cell r="B68" t="str">
            <v>โครงการส่งเสริมการท่องเที่ยวชุมชน (15004182024002000000)</v>
          </cell>
          <cell r="C68">
            <v>40000000</v>
          </cell>
          <cell r="D68">
            <v>0</v>
          </cell>
          <cell r="F68">
            <v>40000000</v>
          </cell>
        </row>
        <row r="70">
          <cell r="C70">
            <v>40000000</v>
          </cell>
          <cell r="D70">
            <v>0</v>
          </cell>
          <cell r="F70">
            <v>40000000</v>
          </cell>
        </row>
        <row r="73">
          <cell r="C73">
            <v>0</v>
          </cell>
          <cell r="D73">
            <v>0</v>
          </cell>
          <cell r="F73">
            <v>0</v>
          </cell>
        </row>
        <row r="76">
          <cell r="C76">
            <v>0</v>
          </cell>
          <cell r="D76">
            <v>0</v>
          </cell>
          <cell r="F76">
            <v>0</v>
          </cell>
        </row>
        <row r="77">
          <cell r="C77">
            <v>86032700</v>
          </cell>
          <cell r="D77">
            <v>0</v>
          </cell>
          <cell r="F77">
            <v>86032700</v>
          </cell>
        </row>
        <row r="78">
          <cell r="B78" t="str">
            <v>โครงการส่งเสริมการพัฒนาชุมชนธรรมาภิบาล (15004602011002000000)</v>
          </cell>
          <cell r="C78">
            <v>86032700</v>
          </cell>
          <cell r="D78">
            <v>0</v>
          </cell>
          <cell r="F78">
            <v>86032700</v>
          </cell>
        </row>
        <row r="80">
          <cell r="C80">
            <v>86032700</v>
          </cell>
          <cell r="D80">
            <v>0</v>
          </cell>
          <cell r="F80">
            <v>86032700</v>
          </cell>
        </row>
        <row r="83">
          <cell r="C83">
            <v>0</v>
          </cell>
          <cell r="D83">
            <v>0</v>
          </cell>
          <cell r="F83">
            <v>0</v>
          </cell>
        </row>
        <row r="86">
          <cell r="C86">
            <v>0</v>
          </cell>
          <cell r="D86">
            <v>0</v>
          </cell>
          <cell r="F8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จังหวัด (เสนอ)"/>
      <sheetName val="จังหวัด"/>
      <sheetName val="Sheet8"/>
      <sheetName val="เรียงผู้ตรวจ"/>
      <sheetName val="Sheet5"/>
      <sheetName val="ส่วนกลาง (เสนอ)"/>
      <sheetName val="ส่วนกลาง+ศพช. 11 ศูนย์ (5)"/>
      <sheetName val="ส่วนกลาง"/>
      <sheetName val="ศพช. (เสนอ)"/>
      <sheetName val="ศพช.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ข้อมูลสะสมตั้งแต่วันที่ 1 ตุลาคม 2567 ถึงวันที่ 15 มกราคม 2568</v>
          </cell>
        </row>
        <row r="10">
          <cell r="D10">
            <v>13266592.77</v>
          </cell>
          <cell r="E10">
            <v>4729433.42</v>
          </cell>
          <cell r="G10">
            <v>0</v>
          </cell>
        </row>
        <row r="11">
          <cell r="D11">
            <v>12439505</v>
          </cell>
          <cell r="E11">
            <v>1849853.74</v>
          </cell>
          <cell r="G11">
            <v>80600</v>
          </cell>
        </row>
        <row r="12">
          <cell r="D12">
            <v>11520883.609999999</v>
          </cell>
          <cell r="E12">
            <v>1819732.4</v>
          </cell>
          <cell r="G12">
            <v>35587</v>
          </cell>
        </row>
        <row r="13">
          <cell r="D13">
            <v>17549590</v>
          </cell>
          <cell r="E13">
            <v>5102659.46</v>
          </cell>
          <cell r="G13">
            <v>199000</v>
          </cell>
        </row>
        <row r="14">
          <cell r="D14">
            <v>8486005</v>
          </cell>
          <cell r="E14">
            <v>1837207.83</v>
          </cell>
          <cell r="G14">
            <v>0</v>
          </cell>
        </row>
        <row r="15">
          <cell r="D15">
            <v>14345164.779999999</v>
          </cell>
          <cell r="E15">
            <v>4266979.67</v>
          </cell>
          <cell r="G15">
            <v>215560</v>
          </cell>
        </row>
        <row r="16">
          <cell r="D16">
            <v>7289275</v>
          </cell>
          <cell r="E16">
            <v>1641896.67</v>
          </cell>
          <cell r="G16">
            <v>199000</v>
          </cell>
        </row>
        <row r="17">
          <cell r="D17">
            <v>9394965</v>
          </cell>
          <cell r="E17">
            <v>1632777.23</v>
          </cell>
          <cell r="G17">
            <v>26815</v>
          </cell>
        </row>
        <row r="18">
          <cell r="D18">
            <v>14068519.24</v>
          </cell>
          <cell r="E18">
            <v>3627177.75</v>
          </cell>
          <cell r="G18">
            <v>144000</v>
          </cell>
        </row>
        <row r="19">
          <cell r="D19">
            <v>16142401.59</v>
          </cell>
          <cell r="E19">
            <v>3816222.76</v>
          </cell>
          <cell r="G19">
            <v>0</v>
          </cell>
        </row>
        <row r="20">
          <cell r="D20">
            <v>10952538.82</v>
          </cell>
          <cell r="E20">
            <v>2708391.97</v>
          </cell>
          <cell r="G20">
            <v>0</v>
          </cell>
        </row>
        <row r="21">
          <cell r="D21">
            <v>11250349.24</v>
          </cell>
          <cell r="E21">
            <v>2572518.61</v>
          </cell>
          <cell r="G21">
            <v>323295</v>
          </cell>
        </row>
        <row r="22">
          <cell r="D22">
            <v>7654913.6100000003</v>
          </cell>
          <cell r="E22">
            <v>2017234.15</v>
          </cell>
          <cell r="G22">
            <v>0</v>
          </cell>
        </row>
        <row r="23">
          <cell r="D23">
            <v>13317319.029999999</v>
          </cell>
          <cell r="E23">
            <v>2723097.31</v>
          </cell>
          <cell r="G23">
            <v>0</v>
          </cell>
        </row>
        <row r="24">
          <cell r="D24">
            <v>11009910</v>
          </cell>
          <cell r="E24">
            <v>2416525.0299999998</v>
          </cell>
          <cell r="G24">
            <v>0</v>
          </cell>
        </row>
        <row r="25">
          <cell r="D25">
            <v>6950840</v>
          </cell>
          <cell r="E25">
            <v>1758952.53</v>
          </cell>
          <cell r="G25">
            <v>0</v>
          </cell>
        </row>
        <row r="26">
          <cell r="D26">
            <v>11747215</v>
          </cell>
          <cell r="E26">
            <v>2824748.57</v>
          </cell>
          <cell r="G26">
            <v>105500</v>
          </cell>
        </row>
        <row r="27">
          <cell r="D27">
            <v>41766757.350000001</v>
          </cell>
          <cell r="E27">
            <v>8940153.1099999994</v>
          </cell>
          <cell r="G27">
            <v>0</v>
          </cell>
        </row>
        <row r="28">
          <cell r="D28">
            <v>28788310.710000001</v>
          </cell>
          <cell r="E28">
            <v>6403697.9699999997</v>
          </cell>
          <cell r="G28">
            <v>434760</v>
          </cell>
        </row>
        <row r="29">
          <cell r="D29">
            <v>23335872.449999999</v>
          </cell>
          <cell r="E29">
            <v>6948626.75</v>
          </cell>
          <cell r="G29">
            <v>1226360</v>
          </cell>
        </row>
        <row r="30">
          <cell r="D30">
            <v>27248240.289999999</v>
          </cell>
          <cell r="E30">
            <v>7304893.7199999997</v>
          </cell>
          <cell r="G30">
            <v>57000</v>
          </cell>
        </row>
        <row r="31">
          <cell r="D31">
            <v>32080342.52</v>
          </cell>
          <cell r="E31">
            <v>7393696.9800000004</v>
          </cell>
          <cell r="G31">
            <v>15500</v>
          </cell>
        </row>
        <row r="32">
          <cell r="D32">
            <v>12613085</v>
          </cell>
          <cell r="E32">
            <v>2593579.9500000002</v>
          </cell>
          <cell r="G32">
            <v>103400</v>
          </cell>
        </row>
        <row r="33">
          <cell r="D33">
            <v>22431920.210000001</v>
          </cell>
          <cell r="E33">
            <v>5611719.6699999999</v>
          </cell>
          <cell r="G33">
            <v>497515</v>
          </cell>
        </row>
        <row r="34">
          <cell r="D34">
            <v>10950240.42</v>
          </cell>
          <cell r="E34">
            <v>3044216.06</v>
          </cell>
          <cell r="G34">
            <v>329400</v>
          </cell>
        </row>
        <row r="35">
          <cell r="D35">
            <v>10937726.26</v>
          </cell>
          <cell r="E35">
            <v>2454972.16</v>
          </cell>
          <cell r="G35">
            <v>12000</v>
          </cell>
        </row>
        <row r="36">
          <cell r="D36">
            <v>30907666.129999999</v>
          </cell>
          <cell r="E36">
            <v>13219301.029999999</v>
          </cell>
          <cell r="G36">
            <v>292672</v>
          </cell>
        </row>
        <row r="37">
          <cell r="D37">
            <v>25484445</v>
          </cell>
          <cell r="E37">
            <v>4991361.5599999996</v>
          </cell>
          <cell r="G37">
            <v>88050</v>
          </cell>
        </row>
        <row r="38">
          <cell r="D38">
            <v>16909570.84</v>
          </cell>
          <cell r="E38">
            <v>4323573.54</v>
          </cell>
          <cell r="G38">
            <v>0</v>
          </cell>
        </row>
        <row r="39">
          <cell r="D39">
            <v>12363212</v>
          </cell>
          <cell r="E39">
            <v>3608187.53</v>
          </cell>
          <cell r="G39">
            <v>0</v>
          </cell>
        </row>
        <row r="40">
          <cell r="D40">
            <v>19859409.030000001</v>
          </cell>
          <cell r="E40">
            <v>4640258.16</v>
          </cell>
          <cell r="G40">
            <v>40760</v>
          </cell>
        </row>
        <row r="41">
          <cell r="D41">
            <v>27088660</v>
          </cell>
          <cell r="E41">
            <v>6051982.7599999998</v>
          </cell>
          <cell r="G41">
            <v>275480</v>
          </cell>
        </row>
        <row r="42">
          <cell r="D42">
            <v>20586291.969999999</v>
          </cell>
          <cell r="E42">
            <v>5561468.8399999999</v>
          </cell>
          <cell r="G42">
            <v>0</v>
          </cell>
        </row>
        <row r="43">
          <cell r="D43">
            <v>25555170</v>
          </cell>
          <cell r="E43">
            <v>5315831.53</v>
          </cell>
          <cell r="G43">
            <v>75250</v>
          </cell>
        </row>
        <row r="44">
          <cell r="D44">
            <v>17511445.920000002</v>
          </cell>
          <cell r="E44">
            <v>3642171.89</v>
          </cell>
          <cell r="G44">
            <v>0</v>
          </cell>
        </row>
        <row r="45">
          <cell r="D45">
            <v>10534158.4</v>
          </cell>
          <cell r="E45">
            <v>2763138.8</v>
          </cell>
          <cell r="G45">
            <v>431000</v>
          </cell>
        </row>
        <row r="46">
          <cell r="D46">
            <v>27593008.359999999</v>
          </cell>
          <cell r="E46">
            <v>5619398.3700000001</v>
          </cell>
          <cell r="G46">
            <v>0</v>
          </cell>
        </row>
        <row r="47">
          <cell r="D47">
            <v>10067590</v>
          </cell>
          <cell r="E47">
            <v>2912252.79</v>
          </cell>
          <cell r="G47">
            <v>0</v>
          </cell>
        </row>
        <row r="48">
          <cell r="D48">
            <v>16588881.029999999</v>
          </cell>
          <cell r="E48">
            <v>4373764.67</v>
          </cell>
          <cell r="G48">
            <v>370725</v>
          </cell>
        </row>
        <row r="49">
          <cell r="D49">
            <v>10898868.82</v>
          </cell>
          <cell r="E49">
            <v>3372722.34</v>
          </cell>
          <cell r="G49">
            <v>0</v>
          </cell>
        </row>
        <row r="50">
          <cell r="D50">
            <v>26641603.82</v>
          </cell>
          <cell r="E50">
            <v>2340320.36</v>
          </cell>
          <cell r="G50">
            <v>21600</v>
          </cell>
        </row>
        <row r="51">
          <cell r="D51">
            <v>14344125</v>
          </cell>
          <cell r="E51">
            <v>4020786.37</v>
          </cell>
          <cell r="G51">
            <v>0</v>
          </cell>
        </row>
        <row r="52">
          <cell r="D52">
            <v>11664070.210000001</v>
          </cell>
          <cell r="E52">
            <v>2932144.89</v>
          </cell>
          <cell r="G52">
            <v>1247663</v>
          </cell>
        </row>
        <row r="53">
          <cell r="D53">
            <v>21652670</v>
          </cell>
          <cell r="E53">
            <v>4657411.79</v>
          </cell>
          <cell r="G53">
            <v>1069280</v>
          </cell>
        </row>
        <row r="54">
          <cell r="D54">
            <v>9596229.4499999993</v>
          </cell>
          <cell r="E54">
            <v>2567222.4</v>
          </cell>
          <cell r="G54">
            <v>950000</v>
          </cell>
        </row>
        <row r="55">
          <cell r="D55">
            <v>19204446.129999999</v>
          </cell>
          <cell r="E55">
            <v>2591669.34</v>
          </cell>
          <cell r="G55">
            <v>0</v>
          </cell>
        </row>
        <row r="56">
          <cell r="D56">
            <v>9808590</v>
          </cell>
          <cell r="E56">
            <v>2217718.92</v>
          </cell>
          <cell r="G56">
            <v>0</v>
          </cell>
        </row>
        <row r="57">
          <cell r="D57">
            <v>13314192.189999999</v>
          </cell>
          <cell r="E57">
            <v>2837905.37</v>
          </cell>
          <cell r="G57">
            <v>0</v>
          </cell>
        </row>
        <row r="58">
          <cell r="D58">
            <v>11384060</v>
          </cell>
          <cell r="E58">
            <v>3279507.09</v>
          </cell>
          <cell r="G58">
            <v>538265</v>
          </cell>
        </row>
        <row r="59">
          <cell r="D59">
            <v>12160330</v>
          </cell>
          <cell r="E59">
            <v>3270318.86</v>
          </cell>
          <cell r="G59">
            <v>193500</v>
          </cell>
        </row>
        <row r="60">
          <cell r="D60">
            <v>13569381.470000001</v>
          </cell>
          <cell r="E60">
            <v>7754344.0599999996</v>
          </cell>
          <cell r="G60">
            <v>10000</v>
          </cell>
        </row>
        <row r="61">
          <cell r="D61">
            <v>12637100</v>
          </cell>
          <cell r="E61">
            <v>3819463.7</v>
          </cell>
          <cell r="G61">
            <v>189860.42</v>
          </cell>
        </row>
        <row r="62">
          <cell r="D62">
            <v>16841479.030000001</v>
          </cell>
          <cell r="E62">
            <v>3668771.81</v>
          </cell>
          <cell r="G62">
            <v>973165</v>
          </cell>
        </row>
        <row r="63">
          <cell r="D63">
            <v>12184861.470000001</v>
          </cell>
          <cell r="E63">
            <v>2899891.73</v>
          </cell>
          <cell r="G63">
            <v>400405</v>
          </cell>
        </row>
        <row r="64">
          <cell r="D64">
            <v>15302574.66</v>
          </cell>
          <cell r="E64">
            <v>4008077.88</v>
          </cell>
          <cell r="G64">
            <v>205700</v>
          </cell>
        </row>
        <row r="65">
          <cell r="D65">
            <v>14707330</v>
          </cell>
          <cell r="E65">
            <v>4273596.9800000004</v>
          </cell>
          <cell r="G65">
            <v>494365</v>
          </cell>
        </row>
        <row r="66">
          <cell r="D66">
            <v>10832580</v>
          </cell>
          <cell r="E66">
            <v>1933828.56</v>
          </cell>
          <cell r="G66">
            <v>12500</v>
          </cell>
        </row>
        <row r="67">
          <cell r="D67">
            <v>7292955</v>
          </cell>
          <cell r="E67">
            <v>1464719.28</v>
          </cell>
          <cell r="G67">
            <v>70130</v>
          </cell>
        </row>
        <row r="68">
          <cell r="D68">
            <v>5334245</v>
          </cell>
          <cell r="E68">
            <v>1400291.01</v>
          </cell>
          <cell r="G68">
            <v>603525</v>
          </cell>
        </row>
        <row r="69">
          <cell r="D69">
            <v>10473295</v>
          </cell>
          <cell r="E69">
            <v>3138958.72</v>
          </cell>
          <cell r="G69">
            <v>36800</v>
          </cell>
        </row>
        <row r="70">
          <cell r="D70">
            <v>10133674.66</v>
          </cell>
          <cell r="E70">
            <v>2487007.2400000002</v>
          </cell>
          <cell r="G70">
            <v>19200</v>
          </cell>
        </row>
        <row r="71">
          <cell r="D71">
            <v>25597167.739999998</v>
          </cell>
          <cell r="E71">
            <v>5844433.8899999997</v>
          </cell>
          <cell r="G71">
            <v>466120</v>
          </cell>
        </row>
        <row r="72">
          <cell r="D72">
            <v>9955480</v>
          </cell>
          <cell r="E72">
            <v>2407362.7599999998</v>
          </cell>
          <cell r="G72">
            <v>13960</v>
          </cell>
        </row>
        <row r="73">
          <cell r="D73">
            <v>7777956.4699999997</v>
          </cell>
          <cell r="E73">
            <v>1993541.5</v>
          </cell>
          <cell r="G73">
            <v>471000</v>
          </cell>
        </row>
        <row r="74">
          <cell r="D74">
            <v>6077600</v>
          </cell>
          <cell r="E74">
            <v>1492730.63</v>
          </cell>
          <cell r="G74">
            <v>0</v>
          </cell>
        </row>
        <row r="75">
          <cell r="D75">
            <v>19152410</v>
          </cell>
          <cell r="E75">
            <v>4065933.2</v>
          </cell>
          <cell r="G75">
            <v>0</v>
          </cell>
        </row>
        <row r="76">
          <cell r="D76">
            <v>6511285</v>
          </cell>
          <cell r="E76">
            <v>2048960.2</v>
          </cell>
          <cell r="G76">
            <v>0</v>
          </cell>
        </row>
        <row r="77">
          <cell r="D77">
            <v>10034663.4</v>
          </cell>
          <cell r="E77">
            <v>2681373.52</v>
          </cell>
          <cell r="G77">
            <v>0</v>
          </cell>
        </row>
        <row r="78">
          <cell r="D78">
            <v>19142470</v>
          </cell>
          <cell r="E78">
            <v>4776783.51</v>
          </cell>
          <cell r="G78">
            <v>344980</v>
          </cell>
        </row>
        <row r="79">
          <cell r="D79">
            <v>9491122.9800000004</v>
          </cell>
          <cell r="E79">
            <v>2098440.91</v>
          </cell>
          <cell r="G79">
            <v>66600</v>
          </cell>
        </row>
        <row r="80">
          <cell r="D80">
            <v>12419845</v>
          </cell>
          <cell r="E80">
            <v>3087029.75</v>
          </cell>
          <cell r="G80">
            <v>84000</v>
          </cell>
        </row>
        <row r="81">
          <cell r="D81">
            <v>12325204.449999999</v>
          </cell>
          <cell r="E81">
            <v>2625740.5699999998</v>
          </cell>
          <cell r="G81">
            <v>20715</v>
          </cell>
        </row>
        <row r="82">
          <cell r="D82">
            <v>14606285</v>
          </cell>
          <cell r="E82">
            <v>4399386.3600000003</v>
          </cell>
          <cell r="G82">
            <v>0</v>
          </cell>
        </row>
        <row r="83">
          <cell r="D83">
            <v>10262245</v>
          </cell>
          <cell r="E83">
            <v>3135948.46</v>
          </cell>
          <cell r="G83">
            <v>410900</v>
          </cell>
        </row>
        <row r="84">
          <cell r="D84">
            <v>14601610</v>
          </cell>
          <cell r="E84">
            <v>2910876.09</v>
          </cell>
          <cell r="G84">
            <v>0</v>
          </cell>
        </row>
        <row r="85">
          <cell r="D85">
            <v>11386976.26</v>
          </cell>
          <cell r="E85">
            <v>1780696.23</v>
          </cell>
          <cell r="G85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9">
          <cell r="B9">
            <v>1500400001</v>
          </cell>
          <cell r="D9">
            <v>384800</v>
          </cell>
          <cell r="E9">
            <v>144997</v>
          </cell>
          <cell r="G9">
            <v>7490</v>
          </cell>
        </row>
        <row r="10">
          <cell r="B10">
            <v>1500400002</v>
          </cell>
          <cell r="D10">
            <v>1224900</v>
          </cell>
          <cell r="E10">
            <v>5350</v>
          </cell>
          <cell r="G10">
            <v>0</v>
          </cell>
        </row>
        <row r="11">
          <cell r="B11">
            <v>1500400003</v>
          </cell>
          <cell r="D11">
            <v>1565900</v>
          </cell>
          <cell r="E11">
            <v>675959</v>
          </cell>
          <cell r="G11">
            <v>0</v>
          </cell>
        </row>
        <row r="12">
          <cell r="B12">
            <v>1500400004</v>
          </cell>
          <cell r="D12">
            <v>3378540</v>
          </cell>
          <cell r="E12">
            <v>2527459.0299999998</v>
          </cell>
          <cell r="G12">
            <v>0</v>
          </cell>
        </row>
        <row r="13">
          <cell r="B13">
            <v>1500400004</v>
          </cell>
          <cell r="D13">
            <v>523900</v>
          </cell>
          <cell r="E13">
            <v>22464</v>
          </cell>
          <cell r="G13">
            <v>0</v>
          </cell>
        </row>
        <row r="14">
          <cell r="B14">
            <v>1500400006</v>
          </cell>
          <cell r="D14">
            <v>17128400</v>
          </cell>
          <cell r="E14">
            <v>108050</v>
          </cell>
          <cell r="G14">
            <v>685763</v>
          </cell>
        </row>
        <row r="15">
          <cell r="B15">
            <v>1500400007</v>
          </cell>
          <cell r="D15">
            <v>3170800</v>
          </cell>
          <cell r="E15">
            <v>486020.05</v>
          </cell>
          <cell r="G15">
            <v>475000</v>
          </cell>
        </row>
        <row r="16">
          <cell r="B16">
            <v>1500400008</v>
          </cell>
          <cell r="D16">
            <v>3124344</v>
          </cell>
          <cell r="E16">
            <v>1418739</v>
          </cell>
          <cell r="G16">
            <v>0</v>
          </cell>
        </row>
        <row r="17">
          <cell r="B17">
            <v>1500400009</v>
          </cell>
          <cell r="D17">
            <v>132961480</v>
          </cell>
          <cell r="E17">
            <v>2195166.36</v>
          </cell>
          <cell r="G17">
            <v>200000</v>
          </cell>
        </row>
        <row r="18">
          <cell r="B18">
            <v>1500400010</v>
          </cell>
          <cell r="D18">
            <v>410327585</v>
          </cell>
          <cell r="E18">
            <v>20030050</v>
          </cell>
          <cell r="G18">
            <v>188714000</v>
          </cell>
        </row>
        <row r="19">
          <cell r="B19">
            <v>1500400011</v>
          </cell>
          <cell r="D19">
            <v>816400</v>
          </cell>
          <cell r="E19">
            <v>380186.37</v>
          </cell>
          <cell r="G19">
            <v>0</v>
          </cell>
        </row>
        <row r="20">
          <cell r="B20">
            <v>1500400111</v>
          </cell>
          <cell r="D20">
            <v>4397300</v>
          </cell>
          <cell r="E20">
            <v>1906693.67</v>
          </cell>
          <cell r="G20">
            <v>8000</v>
          </cell>
        </row>
        <row r="21">
          <cell r="B21">
            <v>1500400112</v>
          </cell>
          <cell r="D21">
            <v>2225000</v>
          </cell>
          <cell r="E21">
            <v>270829.71999999997</v>
          </cell>
          <cell r="G21">
            <v>0</v>
          </cell>
        </row>
        <row r="22">
          <cell r="B22">
            <v>1500400125</v>
          </cell>
          <cell r="D22">
            <v>2513500</v>
          </cell>
          <cell r="E22">
            <v>153974.51999999999</v>
          </cell>
          <cell r="G22">
            <v>0</v>
          </cell>
        </row>
      </sheetData>
      <sheetData sheetId="22" refreshError="1"/>
      <sheetData sheetId="23">
        <row r="9">
          <cell r="D9">
            <v>3453967.77</v>
          </cell>
          <cell r="E9">
            <v>2129581.0299999998</v>
          </cell>
          <cell r="G9">
            <v>0</v>
          </cell>
        </row>
        <row r="10">
          <cell r="D10">
            <v>3540652.71</v>
          </cell>
          <cell r="E10">
            <v>1142169.78</v>
          </cell>
          <cell r="G10">
            <v>0</v>
          </cell>
        </row>
        <row r="11">
          <cell r="D11">
            <v>3410095.42</v>
          </cell>
          <cell r="E11">
            <v>2487087.11</v>
          </cell>
          <cell r="G11">
            <v>0</v>
          </cell>
        </row>
        <row r="12">
          <cell r="D12">
            <v>5143426.33</v>
          </cell>
          <cell r="E12">
            <v>1723990.98</v>
          </cell>
          <cell r="G12">
            <v>10000</v>
          </cell>
        </row>
        <row r="13">
          <cell r="D13">
            <v>4966876</v>
          </cell>
          <cell r="E13">
            <v>1893657.52</v>
          </cell>
          <cell r="G13">
            <v>0</v>
          </cell>
        </row>
        <row r="14">
          <cell r="D14">
            <v>6767060.54</v>
          </cell>
          <cell r="E14">
            <v>2634512.9900000002</v>
          </cell>
          <cell r="G14">
            <v>170000</v>
          </cell>
        </row>
        <row r="15">
          <cell r="D15">
            <v>4771768.43</v>
          </cell>
          <cell r="E15">
            <v>2702011.52</v>
          </cell>
          <cell r="G15">
            <v>0</v>
          </cell>
        </row>
        <row r="16">
          <cell r="D16">
            <v>5047675.68</v>
          </cell>
          <cell r="E16">
            <v>2967873.23</v>
          </cell>
          <cell r="G16">
            <v>0</v>
          </cell>
        </row>
        <row r="17">
          <cell r="D17">
            <v>3276935</v>
          </cell>
          <cell r="E17">
            <v>1952631.5</v>
          </cell>
          <cell r="G17">
            <v>149209</v>
          </cell>
        </row>
        <row r="18">
          <cell r="D18">
            <v>4990769.83</v>
          </cell>
          <cell r="E18">
            <v>2047283.6</v>
          </cell>
          <cell r="G18">
            <v>115910</v>
          </cell>
        </row>
        <row r="19">
          <cell r="D19">
            <v>4659583.33</v>
          </cell>
          <cell r="E19">
            <v>822652.95</v>
          </cell>
          <cell r="G19">
            <v>43740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7จปฐ"/>
      <sheetName val="เรียงส่วนกลาง"/>
      <sheetName val="เรียงส่วนกลาง (เสนอ)"/>
      <sheetName val="เรียงจังหวัด"/>
      <sheetName val="เรียงจังหวัด (เสนอ)"/>
      <sheetName val="เรียงศูนย์ศึกษาฯ"/>
      <sheetName val="เรียงศูนย์ศึกษาฯ (เสนอ)"/>
      <sheetName val="รายจ่ายลงทุน  (เสนอ)"/>
      <sheetName val="รายละเอียดงบลงทุน"/>
      <sheetName val="46 (งบขุด)"/>
      <sheetName val="รายละเอียดงบขุด"/>
      <sheetName val="สรุปงบขุดจังหวัด"/>
      <sheetName val="สรุป-ส่วนกลาง"/>
      <sheetName val="สรุป-ศพช"/>
      <sheetName val="สรุป-จังหวัด"/>
    </sheetNames>
    <sheetDataSet>
      <sheetData sheetId="0" refreshError="1"/>
      <sheetData sheetId="1">
        <row r="9">
          <cell r="D9">
            <v>18087080</v>
          </cell>
          <cell r="E9">
            <v>1683942.45</v>
          </cell>
          <cell r="G9">
            <v>1175000</v>
          </cell>
        </row>
      </sheetData>
      <sheetData sheetId="2" refreshError="1"/>
      <sheetData sheetId="3">
        <row r="8">
          <cell r="D8">
            <v>342243900</v>
          </cell>
          <cell r="E8">
            <v>19197047</v>
          </cell>
          <cell r="G8">
            <v>770860</v>
          </cell>
        </row>
      </sheetData>
      <sheetData sheetId="4" refreshError="1"/>
      <sheetData sheetId="5">
        <row r="9">
          <cell r="D9">
            <v>7848470</v>
          </cell>
          <cell r="E9">
            <v>3038455</v>
          </cell>
          <cell r="G9">
            <v>0</v>
          </cell>
        </row>
      </sheetData>
      <sheetData sheetId="6" refreshError="1"/>
      <sheetData sheetId="7" refreshError="1"/>
      <sheetData sheetId="8">
        <row r="2">
          <cell r="A2" t="str">
            <v>ข้อมูลสะสมตั้งแต่วันที่ 1 ตุลาคม 2567 ถึงวันที่ 15 มกราคม 2568</v>
          </cell>
        </row>
        <row r="7">
          <cell r="K7">
            <v>9565210</v>
          </cell>
        </row>
        <row r="9">
          <cell r="F9">
            <v>15520000</v>
          </cell>
          <cell r="K9">
            <v>15520000</v>
          </cell>
        </row>
        <row r="10">
          <cell r="F10">
            <v>13200000</v>
          </cell>
          <cell r="K10">
            <v>13200000</v>
          </cell>
        </row>
        <row r="11">
          <cell r="F11">
            <v>3110</v>
          </cell>
        </row>
        <row r="12">
          <cell r="F12">
            <v>499900</v>
          </cell>
          <cell r="K12">
            <v>499900</v>
          </cell>
        </row>
        <row r="13">
          <cell r="F13">
            <v>1070700</v>
          </cell>
          <cell r="K13">
            <v>1070700</v>
          </cell>
        </row>
        <row r="14">
          <cell r="F14">
            <v>972100</v>
          </cell>
          <cell r="K14">
            <v>972100</v>
          </cell>
          <cell r="N14">
            <v>950000</v>
          </cell>
        </row>
        <row r="15">
          <cell r="F15">
            <v>1615000</v>
          </cell>
          <cell r="K15">
            <v>1575000</v>
          </cell>
          <cell r="N15">
            <v>1575000</v>
          </cell>
        </row>
        <row r="16">
          <cell r="F16">
            <v>16920000</v>
          </cell>
          <cell r="K16">
            <v>7250000</v>
          </cell>
          <cell r="N16">
            <v>7250000</v>
          </cell>
        </row>
        <row r="17">
          <cell r="F17">
            <v>410000</v>
          </cell>
          <cell r="K17">
            <v>410000</v>
          </cell>
          <cell r="N17">
            <v>410000</v>
          </cell>
        </row>
        <row r="18">
          <cell r="F18">
            <v>177580</v>
          </cell>
          <cell r="K18">
            <v>177580</v>
          </cell>
          <cell r="L18">
            <v>156880</v>
          </cell>
        </row>
        <row r="19">
          <cell r="F19">
            <v>43310</v>
          </cell>
          <cell r="K19">
            <v>43310</v>
          </cell>
          <cell r="L19">
            <v>43000</v>
          </cell>
        </row>
        <row r="20">
          <cell r="F20">
            <v>263000</v>
          </cell>
          <cell r="L20">
            <v>263000</v>
          </cell>
        </row>
        <row r="21">
          <cell r="F21">
            <v>60000</v>
          </cell>
          <cell r="K21">
            <v>60000</v>
          </cell>
          <cell r="L21">
            <v>60000</v>
          </cell>
        </row>
        <row r="22">
          <cell r="F22">
            <v>10800</v>
          </cell>
          <cell r="L22">
            <v>10800</v>
          </cell>
        </row>
        <row r="23">
          <cell r="F23">
            <v>356800</v>
          </cell>
          <cell r="K23">
            <v>356800</v>
          </cell>
          <cell r="L23">
            <v>356800</v>
          </cell>
        </row>
        <row r="25">
          <cell r="F25">
            <v>5955000</v>
          </cell>
        </row>
        <row r="26">
          <cell r="F26">
            <v>144937500</v>
          </cell>
          <cell r="L26">
            <v>0</v>
          </cell>
          <cell r="N26">
            <v>734237.42</v>
          </cell>
        </row>
        <row r="35">
          <cell r="F35">
            <v>450000</v>
          </cell>
          <cell r="L35">
            <v>0</v>
          </cell>
          <cell r="N35">
            <v>0</v>
          </cell>
        </row>
        <row r="36">
          <cell r="K36">
            <v>450000</v>
          </cell>
        </row>
      </sheetData>
      <sheetData sheetId="9">
        <row r="8">
          <cell r="K8">
            <v>734237.42</v>
          </cell>
          <cell r="L8">
            <v>0</v>
          </cell>
        </row>
      </sheetData>
      <sheetData sheetId="10" refreshError="1"/>
      <sheetData sheetId="11">
        <row r="10">
          <cell r="C10">
            <v>1</v>
          </cell>
          <cell r="D10">
            <v>104000</v>
          </cell>
          <cell r="H10">
            <v>0</v>
          </cell>
          <cell r="J10">
            <v>0</v>
          </cell>
        </row>
        <row r="11">
          <cell r="D11">
            <v>208000</v>
          </cell>
          <cell r="H11">
            <v>0</v>
          </cell>
          <cell r="J11">
            <v>0</v>
          </cell>
        </row>
        <row r="12">
          <cell r="C12">
            <v>2</v>
          </cell>
          <cell r="D12">
            <v>90400</v>
          </cell>
          <cell r="H12">
            <v>0</v>
          </cell>
          <cell r="J12">
            <v>0</v>
          </cell>
        </row>
        <row r="13">
          <cell r="C13">
            <v>2</v>
          </cell>
          <cell r="D13">
            <v>149200</v>
          </cell>
          <cell r="H13">
            <v>0</v>
          </cell>
          <cell r="J13">
            <v>0</v>
          </cell>
        </row>
        <row r="14">
          <cell r="D14">
            <v>461200</v>
          </cell>
          <cell r="H14">
            <v>0</v>
          </cell>
          <cell r="J14">
            <v>0</v>
          </cell>
        </row>
        <row r="15">
          <cell r="D15">
            <v>926800</v>
          </cell>
          <cell r="H15">
            <v>0</v>
          </cell>
          <cell r="J15">
            <v>0</v>
          </cell>
        </row>
        <row r="16">
          <cell r="D16">
            <v>565200</v>
          </cell>
          <cell r="H16">
            <v>0</v>
          </cell>
          <cell r="J16">
            <v>0</v>
          </cell>
        </row>
        <row r="17">
          <cell r="D17">
            <v>524400</v>
          </cell>
          <cell r="H17">
            <v>0</v>
          </cell>
          <cell r="J17">
            <v>45200</v>
          </cell>
        </row>
        <row r="18">
          <cell r="D18">
            <v>402400</v>
          </cell>
          <cell r="H18">
            <v>0</v>
          </cell>
          <cell r="J18">
            <v>0</v>
          </cell>
        </row>
        <row r="19">
          <cell r="D19">
            <v>135600</v>
          </cell>
          <cell r="H19">
            <v>0</v>
          </cell>
          <cell r="J19">
            <v>0</v>
          </cell>
        </row>
        <row r="20">
          <cell r="D20">
            <v>1356400</v>
          </cell>
          <cell r="H20">
            <v>0</v>
          </cell>
          <cell r="J20">
            <v>0</v>
          </cell>
        </row>
        <row r="21">
          <cell r="D21">
            <v>773200</v>
          </cell>
          <cell r="H21">
            <v>0</v>
          </cell>
          <cell r="J21">
            <v>253200</v>
          </cell>
        </row>
        <row r="22">
          <cell r="D22">
            <v>551600</v>
          </cell>
          <cell r="H22">
            <v>0</v>
          </cell>
          <cell r="J22">
            <v>0</v>
          </cell>
        </row>
        <row r="23">
          <cell r="D23">
            <v>1085200</v>
          </cell>
          <cell r="H23">
            <v>0</v>
          </cell>
          <cell r="J23">
            <v>101672</v>
          </cell>
        </row>
        <row r="24">
          <cell r="D24">
            <v>863600</v>
          </cell>
          <cell r="H24">
            <v>0</v>
          </cell>
          <cell r="J24">
            <v>0</v>
          </cell>
        </row>
        <row r="25">
          <cell r="D25">
            <v>863600</v>
          </cell>
          <cell r="H25">
            <v>0</v>
          </cell>
          <cell r="J25">
            <v>0</v>
          </cell>
        </row>
        <row r="26">
          <cell r="D26">
            <v>194400</v>
          </cell>
          <cell r="H26">
            <v>0</v>
          </cell>
          <cell r="J26">
            <v>0</v>
          </cell>
        </row>
        <row r="27">
          <cell r="D27">
            <v>1324800</v>
          </cell>
          <cell r="H27">
            <v>0</v>
          </cell>
          <cell r="J27">
            <v>0</v>
          </cell>
        </row>
        <row r="28">
          <cell r="D28">
            <v>940400</v>
          </cell>
          <cell r="H28">
            <v>0</v>
          </cell>
          <cell r="J28">
            <v>0</v>
          </cell>
        </row>
        <row r="29">
          <cell r="D29">
            <v>312000</v>
          </cell>
          <cell r="H29">
            <v>0</v>
          </cell>
          <cell r="J29">
            <v>0</v>
          </cell>
        </row>
        <row r="30">
          <cell r="D30">
            <v>2812400</v>
          </cell>
          <cell r="H30">
            <v>0</v>
          </cell>
          <cell r="J30">
            <v>0</v>
          </cell>
        </row>
        <row r="31">
          <cell r="D31">
            <v>1193600</v>
          </cell>
          <cell r="H31">
            <v>0</v>
          </cell>
          <cell r="J31">
            <v>0</v>
          </cell>
        </row>
        <row r="32">
          <cell r="D32">
            <v>104000</v>
          </cell>
          <cell r="H32">
            <v>0</v>
          </cell>
          <cell r="J32">
            <v>0</v>
          </cell>
        </row>
        <row r="33">
          <cell r="D33">
            <v>135600</v>
          </cell>
          <cell r="H33">
            <v>0</v>
          </cell>
          <cell r="J33">
            <v>0</v>
          </cell>
        </row>
        <row r="34">
          <cell r="D34">
            <v>149200</v>
          </cell>
          <cell r="H34">
            <v>0</v>
          </cell>
          <cell r="J34">
            <v>0</v>
          </cell>
        </row>
        <row r="35">
          <cell r="D35">
            <v>253200</v>
          </cell>
          <cell r="H35">
            <v>0</v>
          </cell>
          <cell r="J35">
            <v>0</v>
          </cell>
        </row>
        <row r="36">
          <cell r="D36">
            <v>149200</v>
          </cell>
          <cell r="H36">
            <v>0</v>
          </cell>
          <cell r="J36">
            <v>104000</v>
          </cell>
        </row>
        <row r="37">
          <cell r="D37">
            <v>791200</v>
          </cell>
          <cell r="H37">
            <v>0</v>
          </cell>
          <cell r="J37">
            <v>0</v>
          </cell>
        </row>
        <row r="38">
          <cell r="D38">
            <v>45200</v>
          </cell>
          <cell r="H38">
            <v>0</v>
          </cell>
          <cell r="J38">
            <v>0</v>
          </cell>
        </row>
        <row r="39">
          <cell r="D39">
            <v>104000</v>
          </cell>
          <cell r="H39">
            <v>0</v>
          </cell>
          <cell r="J39">
            <v>0</v>
          </cell>
        </row>
        <row r="40">
          <cell r="D40">
            <v>208000</v>
          </cell>
          <cell r="H40">
            <v>0</v>
          </cell>
          <cell r="J40">
            <v>0</v>
          </cell>
        </row>
        <row r="41">
          <cell r="D41">
            <v>149200</v>
          </cell>
          <cell r="H41">
            <v>0</v>
          </cell>
          <cell r="J41">
            <v>82165.42</v>
          </cell>
        </row>
        <row r="42">
          <cell r="D42">
            <v>135600</v>
          </cell>
          <cell r="H42">
            <v>0</v>
          </cell>
          <cell r="J42">
            <v>0</v>
          </cell>
        </row>
        <row r="43">
          <cell r="D43">
            <v>194400</v>
          </cell>
          <cell r="H43">
            <v>0</v>
          </cell>
          <cell r="J43">
            <v>0</v>
          </cell>
        </row>
        <row r="44">
          <cell r="D44">
            <v>45200</v>
          </cell>
          <cell r="H44">
            <v>0</v>
          </cell>
          <cell r="J44">
            <v>0</v>
          </cell>
        </row>
        <row r="45">
          <cell r="D45">
            <v>149200</v>
          </cell>
          <cell r="H45">
            <v>0</v>
          </cell>
          <cell r="J45">
            <v>148000</v>
          </cell>
        </row>
        <row r="46">
          <cell r="D46">
            <v>104000</v>
          </cell>
          <cell r="H46">
            <v>0</v>
          </cell>
          <cell r="J46">
            <v>0</v>
          </cell>
        </row>
        <row r="47">
          <cell r="D47">
            <v>253200</v>
          </cell>
          <cell r="H47">
            <v>0</v>
          </cell>
          <cell r="J47">
            <v>0</v>
          </cell>
        </row>
        <row r="48">
          <cell r="D48">
            <v>524400</v>
          </cell>
          <cell r="H48">
            <v>0</v>
          </cell>
          <cell r="J48">
            <v>0</v>
          </cell>
        </row>
        <row r="49">
          <cell r="D49">
            <v>90400</v>
          </cell>
          <cell r="H49">
            <v>0</v>
          </cell>
          <cell r="J49">
            <v>0</v>
          </cell>
        </row>
        <row r="50">
          <cell r="D50">
            <v>149200</v>
          </cell>
          <cell r="H50">
            <v>0</v>
          </cell>
          <cell r="J50">
            <v>0</v>
          </cell>
        </row>
        <row r="51">
          <cell r="D51">
            <v>773200</v>
          </cell>
          <cell r="H51">
            <v>0</v>
          </cell>
          <cell r="J51">
            <v>0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แบบรายงานเงินกันเหลื่อมปี"/>
      <sheetName val="คีย์ข้อมูล"/>
      <sheetName val="Sheet1"/>
    </sheetNames>
    <sheetDataSet>
      <sheetData sheetId="0" refreshError="1"/>
      <sheetData sheetId="1">
        <row r="7">
          <cell r="D7">
            <v>31837802.98</v>
          </cell>
          <cell r="E7">
            <v>192044718.47999999</v>
          </cell>
          <cell r="F7">
            <v>282800079.23000002</v>
          </cell>
          <cell r="H7">
            <v>294894312.74000001</v>
          </cell>
        </row>
        <row r="79">
          <cell r="D79">
            <v>490022.13</v>
          </cell>
          <cell r="E79">
            <v>30291858.039999995</v>
          </cell>
          <cell r="F79">
            <v>24460172.509999998</v>
          </cell>
          <cell r="H79">
            <v>46330886.809999995</v>
          </cell>
        </row>
        <row r="140">
          <cell r="D140">
            <v>0</v>
          </cell>
          <cell r="E140">
            <v>574927</v>
          </cell>
          <cell r="F140">
            <v>1394780</v>
          </cell>
          <cell r="H140">
            <v>1969707</v>
          </cell>
        </row>
        <row r="148">
          <cell r="D148">
            <v>0</v>
          </cell>
          <cell r="E148">
            <v>54258000</v>
          </cell>
          <cell r="F148">
            <v>0</v>
          </cell>
          <cell r="H148">
            <v>46730800</v>
          </cell>
        </row>
      </sheetData>
      <sheetData sheetId="2">
        <row r="1">
          <cell r="A1" t="str">
            <v>รายงานผลการเบิกจ่ายงบประมาณเงินกันไว้เบิกเหลื่อมปีงบประมาณ พ.ศ. 2567</v>
          </cell>
        </row>
        <row r="2">
          <cell r="A2" t="str">
            <v>กรมการพัฒนาชุมชน</v>
          </cell>
        </row>
        <row r="3">
          <cell r="A3" t="str">
            <v>ข้อมูล ณ วันที่ 15 มกราคม 2568</v>
          </cell>
        </row>
        <row r="9">
          <cell r="E9">
            <v>299974.5</v>
          </cell>
          <cell r="G9">
            <v>299974.5</v>
          </cell>
          <cell r="J9" t="str">
            <v xml:space="preserve"> 25 ธ.ค.67</v>
          </cell>
          <cell r="K9" t="str">
            <v>สล.</v>
          </cell>
        </row>
        <row r="10">
          <cell r="D10">
            <v>60000</v>
          </cell>
          <cell r="G10">
            <v>60000</v>
          </cell>
          <cell r="K10" t="str">
            <v>สล.</v>
          </cell>
        </row>
        <row r="11">
          <cell r="D11">
            <v>1680756</v>
          </cell>
          <cell r="G11">
            <v>1680756</v>
          </cell>
          <cell r="J11" t="str">
            <v xml:space="preserve"> 30 ก.ย.67</v>
          </cell>
          <cell r="K11" t="str">
            <v>กค.</v>
          </cell>
        </row>
        <row r="12">
          <cell r="E12">
            <v>7740141</v>
          </cell>
          <cell r="G12">
            <v>7740141</v>
          </cell>
          <cell r="J12" t="str">
            <v xml:space="preserve"> 25 พ.ย.67</v>
          </cell>
          <cell r="K12" t="str">
            <v>กค.</v>
          </cell>
        </row>
        <row r="13">
          <cell r="E13">
            <v>107271000</v>
          </cell>
          <cell r="G13">
            <v>107271000</v>
          </cell>
          <cell r="J13" t="str">
            <v xml:space="preserve"> 28 พ.ย.67</v>
          </cell>
          <cell r="K13" t="str">
            <v>กค.</v>
          </cell>
        </row>
        <row r="14">
          <cell r="C14">
            <v>2926884</v>
          </cell>
          <cell r="E14">
            <v>47726316</v>
          </cell>
          <cell r="J14" t="str">
            <v xml:space="preserve"> 8 ม.ค.68</v>
          </cell>
          <cell r="K14" t="str">
            <v>กค.</v>
          </cell>
        </row>
        <row r="15">
          <cell r="C15">
            <v>396550</v>
          </cell>
          <cell r="E15">
            <v>7843450</v>
          </cell>
          <cell r="J15" t="str">
            <v xml:space="preserve"> 8 ม.ค.68</v>
          </cell>
          <cell r="K15" t="str">
            <v>กค.</v>
          </cell>
        </row>
        <row r="16">
          <cell r="E16">
            <v>4583967</v>
          </cell>
          <cell r="G16">
            <v>4583967</v>
          </cell>
          <cell r="J16" t="str">
            <v xml:space="preserve"> 22 ธ.ค.67</v>
          </cell>
          <cell r="K16" t="str">
            <v>กค.</v>
          </cell>
        </row>
        <row r="17">
          <cell r="E17">
            <v>13316400</v>
          </cell>
          <cell r="G17">
            <v>13316400</v>
          </cell>
          <cell r="J17" t="str">
            <v xml:space="preserve"> 23 ธ.ค.67</v>
          </cell>
          <cell r="K17" t="str">
            <v>กค.</v>
          </cell>
        </row>
        <row r="18">
          <cell r="E18">
            <v>495629.71</v>
          </cell>
          <cell r="G18">
            <v>495629.71</v>
          </cell>
          <cell r="J18" t="str">
            <v xml:space="preserve"> 26 พ.ย.67</v>
          </cell>
          <cell r="K18" t="str">
            <v>กค.</v>
          </cell>
        </row>
        <row r="19">
          <cell r="E19">
            <v>41100</v>
          </cell>
          <cell r="G19">
            <v>41100</v>
          </cell>
          <cell r="J19" t="str">
            <v xml:space="preserve"> 26 ธ.ค.67</v>
          </cell>
          <cell r="K19" t="str">
            <v>กค.</v>
          </cell>
        </row>
        <row r="20">
          <cell r="E20">
            <v>936200</v>
          </cell>
          <cell r="G20">
            <v>936200</v>
          </cell>
          <cell r="J20" t="str">
            <v xml:space="preserve"> 26 ธ.ค.67</v>
          </cell>
          <cell r="K20" t="str">
            <v>กค.</v>
          </cell>
        </row>
        <row r="21">
          <cell r="E21">
            <v>486200</v>
          </cell>
          <cell r="G21">
            <v>486200</v>
          </cell>
          <cell r="J21" t="str">
            <v xml:space="preserve"> 26 พ.ย.67</v>
          </cell>
          <cell r="K21" t="str">
            <v>กค.</v>
          </cell>
        </row>
        <row r="22">
          <cell r="E22">
            <v>84980</v>
          </cell>
          <cell r="G22">
            <v>84980</v>
          </cell>
          <cell r="J22" t="str">
            <v xml:space="preserve"> 26 พ.ย.67</v>
          </cell>
          <cell r="K22" t="str">
            <v>กค.</v>
          </cell>
        </row>
        <row r="23">
          <cell r="E23">
            <v>2165600</v>
          </cell>
          <cell r="G23">
            <v>2165600</v>
          </cell>
          <cell r="J23" t="str">
            <v xml:space="preserve"> 26 พ.ย.67</v>
          </cell>
          <cell r="K23" t="str">
            <v>กค.</v>
          </cell>
        </row>
        <row r="24">
          <cell r="C24">
            <v>560628.98</v>
          </cell>
          <cell r="E24">
            <v>1022371.02</v>
          </cell>
          <cell r="J24" t="str">
            <v xml:space="preserve"> 11 ม.ค.68</v>
          </cell>
          <cell r="K24" t="str">
            <v>กค.</v>
          </cell>
        </row>
        <row r="25">
          <cell r="E25">
            <v>2895050</v>
          </cell>
          <cell r="G25">
            <v>868515</v>
          </cell>
          <cell r="J25" t="str">
            <v xml:space="preserve"> 26 พ.ย.67</v>
          </cell>
          <cell r="K25" t="str">
            <v>กค.</v>
          </cell>
        </row>
        <row r="26">
          <cell r="E26">
            <v>2192400</v>
          </cell>
          <cell r="G26">
            <v>2192400</v>
          </cell>
          <cell r="J26" t="str">
            <v xml:space="preserve"> 23 ต.ค.67</v>
          </cell>
          <cell r="K26" t="str">
            <v>กค.</v>
          </cell>
        </row>
        <row r="27">
          <cell r="E27">
            <v>2995000</v>
          </cell>
          <cell r="G27">
            <v>2995000</v>
          </cell>
          <cell r="J27" t="str">
            <v xml:space="preserve"> 12 ก.ย.67</v>
          </cell>
          <cell r="K27" t="str">
            <v>กค.</v>
          </cell>
        </row>
        <row r="28">
          <cell r="E28">
            <v>440000</v>
          </cell>
          <cell r="J28" t="str">
            <v xml:space="preserve"> 10 พ.ย.67</v>
          </cell>
          <cell r="K28" t="str">
            <v>กค.</v>
          </cell>
        </row>
        <row r="29">
          <cell r="E29">
            <v>2750000</v>
          </cell>
          <cell r="G29">
            <v>825000</v>
          </cell>
          <cell r="J29" t="str">
            <v xml:space="preserve"> 26 พ.ย.67</v>
          </cell>
          <cell r="K29" t="str">
            <v>กค.</v>
          </cell>
        </row>
        <row r="30">
          <cell r="E30">
            <v>4115000</v>
          </cell>
          <cell r="J30" t="str">
            <v xml:space="preserve"> 28 ก.พ.68</v>
          </cell>
          <cell r="K30" t="str">
            <v>กค.</v>
          </cell>
        </row>
        <row r="31">
          <cell r="E31">
            <v>900000</v>
          </cell>
          <cell r="J31" t="str">
            <v xml:space="preserve"> 4 ต.ค.67</v>
          </cell>
          <cell r="K31" t="str">
            <v>กค.</v>
          </cell>
        </row>
        <row r="32">
          <cell r="D32">
            <v>146668</v>
          </cell>
          <cell r="G32">
            <v>146668</v>
          </cell>
          <cell r="J32" t="str">
            <v xml:space="preserve"> 7 ต.ค.67</v>
          </cell>
          <cell r="K32" t="str">
            <v>กค.</v>
          </cell>
        </row>
        <row r="33">
          <cell r="D33">
            <v>496998.95</v>
          </cell>
          <cell r="J33" t="str">
            <v xml:space="preserve"> 1 ม.ค.68</v>
          </cell>
          <cell r="K33" t="str">
            <v>ศสท.</v>
          </cell>
        </row>
        <row r="34">
          <cell r="D34">
            <v>37756.730000000003</v>
          </cell>
          <cell r="G34">
            <v>37756.730000000003</v>
          </cell>
          <cell r="J34" t="str">
            <v xml:space="preserve"> 3 ต.ค.67</v>
          </cell>
          <cell r="K34" t="str">
            <v>ศสท.</v>
          </cell>
        </row>
        <row r="35">
          <cell r="D35">
            <v>2514500</v>
          </cell>
          <cell r="J35" t="str">
            <v xml:space="preserve"> 25 ม.ค.68</v>
          </cell>
          <cell r="K35" t="str">
            <v>ศสท.</v>
          </cell>
        </row>
        <row r="36">
          <cell r="D36">
            <v>7450000</v>
          </cell>
          <cell r="G36">
            <v>4470000</v>
          </cell>
          <cell r="J36" t="str">
            <v xml:space="preserve"> 27 มิ.ย.68</v>
          </cell>
          <cell r="K36" t="str">
            <v>ศสท.</v>
          </cell>
        </row>
        <row r="37">
          <cell r="D37">
            <v>3200000</v>
          </cell>
          <cell r="G37">
            <v>320000</v>
          </cell>
          <cell r="J37" t="str">
            <v xml:space="preserve"> 29 มี.ค.68</v>
          </cell>
          <cell r="K37" t="str">
            <v>ศสท.</v>
          </cell>
        </row>
        <row r="38">
          <cell r="D38">
            <v>5617500</v>
          </cell>
          <cell r="J38" t="str">
            <v xml:space="preserve"> 25 ก.ย.68</v>
          </cell>
          <cell r="K38" t="str">
            <v>ศสท.</v>
          </cell>
        </row>
        <row r="39">
          <cell r="C39">
            <v>72540</v>
          </cell>
          <cell r="D39">
            <v>9927460</v>
          </cell>
          <cell r="G39">
            <v>992746</v>
          </cell>
          <cell r="J39" t="str">
            <v xml:space="preserve"> 19 มิ.ย.68</v>
          </cell>
          <cell r="K39" t="str">
            <v>ศสท.</v>
          </cell>
        </row>
        <row r="40">
          <cell r="D40">
            <v>2580000</v>
          </cell>
          <cell r="G40">
            <v>1548000</v>
          </cell>
          <cell r="J40" t="str">
            <v xml:space="preserve"> 9 มิ.ย.68</v>
          </cell>
          <cell r="K40" t="str">
            <v>ศสท.</v>
          </cell>
        </row>
        <row r="41">
          <cell r="D41">
            <v>229985.8</v>
          </cell>
          <cell r="G41">
            <v>229985.8</v>
          </cell>
          <cell r="J41" t="str">
            <v xml:space="preserve"> 4 ต.ค.67</v>
          </cell>
          <cell r="K41" t="str">
            <v>กผ.</v>
          </cell>
        </row>
        <row r="42">
          <cell r="C42">
            <v>30000</v>
          </cell>
          <cell r="J42" t="str">
            <v xml:space="preserve"> 30 ก.ย.67</v>
          </cell>
          <cell r="K42" t="str">
            <v>กผ.</v>
          </cell>
        </row>
        <row r="43">
          <cell r="D43">
            <v>54000</v>
          </cell>
          <cell r="G43">
            <v>54000</v>
          </cell>
          <cell r="J43" t="str">
            <v xml:space="preserve"> 1 ต.ค.67</v>
          </cell>
          <cell r="K43" t="str">
            <v>กจ.</v>
          </cell>
        </row>
        <row r="44">
          <cell r="D44">
            <v>276000</v>
          </cell>
          <cell r="G44">
            <v>276000</v>
          </cell>
          <cell r="J44" t="str">
            <v xml:space="preserve"> 27 ต.ค.67</v>
          </cell>
          <cell r="K44" t="str">
            <v>สพช.</v>
          </cell>
        </row>
        <row r="45">
          <cell r="D45">
            <v>174240</v>
          </cell>
          <cell r="G45">
            <v>174240</v>
          </cell>
          <cell r="J45" t="str">
            <v xml:space="preserve"> 17 พ.ย.67</v>
          </cell>
          <cell r="K45" t="str">
            <v>สพช.</v>
          </cell>
        </row>
        <row r="46">
          <cell r="E46">
            <v>500000</v>
          </cell>
          <cell r="G46">
            <v>500000</v>
          </cell>
          <cell r="J46" t="str">
            <v xml:space="preserve"> 26 ธ.ค.67</v>
          </cell>
          <cell r="K46" t="str">
            <v>สพช.</v>
          </cell>
        </row>
        <row r="47">
          <cell r="E47">
            <v>181900</v>
          </cell>
          <cell r="G47">
            <v>181900</v>
          </cell>
          <cell r="J47" t="str">
            <v xml:space="preserve"> 27 ต.ค.67</v>
          </cell>
          <cell r="K47" t="str">
            <v>สพช.</v>
          </cell>
        </row>
        <row r="48">
          <cell r="E48">
            <v>189400</v>
          </cell>
          <cell r="G48">
            <v>189400</v>
          </cell>
          <cell r="J48" t="str">
            <v xml:space="preserve"> 27 ต.ค.67</v>
          </cell>
          <cell r="K48" t="str">
            <v>สพช.</v>
          </cell>
        </row>
        <row r="49">
          <cell r="D49">
            <v>42900</v>
          </cell>
          <cell r="G49">
            <v>42900</v>
          </cell>
          <cell r="J49" t="str">
            <v xml:space="preserve"> 15 ต.ค.67</v>
          </cell>
          <cell r="K49" t="str">
            <v>สพช.</v>
          </cell>
        </row>
        <row r="50">
          <cell r="D50">
            <v>252000</v>
          </cell>
          <cell r="G50">
            <v>252000</v>
          </cell>
          <cell r="J50" t="str">
            <v xml:space="preserve"> 17 ต.ค.67</v>
          </cell>
          <cell r="K50" t="str">
            <v>สพช.</v>
          </cell>
        </row>
        <row r="51">
          <cell r="D51">
            <v>71500</v>
          </cell>
          <cell r="G51">
            <v>71500</v>
          </cell>
          <cell r="J51" t="str">
            <v xml:space="preserve"> 17 ต.ค.67</v>
          </cell>
          <cell r="K51" t="str">
            <v>สพช.</v>
          </cell>
        </row>
        <row r="52">
          <cell r="E52">
            <v>480000</v>
          </cell>
          <cell r="G52">
            <v>480000</v>
          </cell>
          <cell r="J52" t="str">
            <v xml:space="preserve"> 26 พ.ย.67</v>
          </cell>
          <cell r="K52" t="str">
            <v>สพช.</v>
          </cell>
        </row>
        <row r="53">
          <cell r="D53">
            <v>3980000</v>
          </cell>
          <cell r="G53">
            <v>3980000</v>
          </cell>
          <cell r="J53" t="str">
            <v xml:space="preserve"> 20 ต.ค.67</v>
          </cell>
          <cell r="K53" t="str">
            <v>สภว.</v>
          </cell>
        </row>
        <row r="54">
          <cell r="D54">
            <v>11960000</v>
          </cell>
          <cell r="G54">
            <v>11960000</v>
          </cell>
          <cell r="J54" t="str">
            <v xml:space="preserve"> 4 ต.ค.67</v>
          </cell>
          <cell r="K54" t="str">
            <v>สภว.</v>
          </cell>
        </row>
        <row r="55">
          <cell r="D55">
            <v>19920000</v>
          </cell>
          <cell r="G55">
            <v>19920000</v>
          </cell>
          <cell r="J55" t="str">
            <v xml:space="preserve"> 28 ต.ค.67</v>
          </cell>
          <cell r="K55" t="str">
            <v>สภว.</v>
          </cell>
        </row>
        <row r="56">
          <cell r="D56">
            <v>2376000</v>
          </cell>
          <cell r="G56">
            <v>2376000</v>
          </cell>
          <cell r="J56" t="str">
            <v xml:space="preserve"> 1 พ.ย.67</v>
          </cell>
          <cell r="K56" t="str">
            <v>สภว.</v>
          </cell>
        </row>
        <row r="57">
          <cell r="D57">
            <v>14315000</v>
          </cell>
          <cell r="G57">
            <v>14315000</v>
          </cell>
          <cell r="J57" t="str">
            <v xml:space="preserve"> 30 พ.ย.67</v>
          </cell>
          <cell r="K57" t="str">
            <v>สภว.</v>
          </cell>
        </row>
        <row r="58">
          <cell r="D58">
            <v>7936000</v>
          </cell>
          <cell r="G58">
            <v>7936000</v>
          </cell>
          <cell r="J58" t="str">
            <v xml:space="preserve"> 13 พ.ย.67</v>
          </cell>
          <cell r="K58" t="str">
            <v>สภว.</v>
          </cell>
        </row>
        <row r="59">
          <cell r="D59">
            <v>760000</v>
          </cell>
          <cell r="G59">
            <v>760000</v>
          </cell>
          <cell r="J59" t="str">
            <v xml:space="preserve"> 14 ต.ค.67</v>
          </cell>
          <cell r="K59" t="str">
            <v>สภว.</v>
          </cell>
        </row>
        <row r="60">
          <cell r="D60">
            <v>32688000</v>
          </cell>
          <cell r="G60">
            <v>32688000</v>
          </cell>
          <cell r="J60" t="str">
            <v xml:space="preserve"> 3 ธ.ค.67</v>
          </cell>
          <cell r="K60" t="str">
            <v>สภว.</v>
          </cell>
        </row>
        <row r="61">
          <cell r="D61">
            <v>9838000</v>
          </cell>
          <cell r="G61">
            <v>2951400</v>
          </cell>
          <cell r="J61" t="str">
            <v xml:space="preserve"> 2 ม.ค.68</v>
          </cell>
          <cell r="K61" t="str">
            <v>สภว.</v>
          </cell>
        </row>
        <row r="62">
          <cell r="D62">
            <v>995000</v>
          </cell>
          <cell r="G62">
            <v>995000</v>
          </cell>
          <cell r="J62" t="str">
            <v xml:space="preserve"> 19 ธ.ค.67</v>
          </cell>
          <cell r="K62" t="str">
            <v>สภว.</v>
          </cell>
        </row>
        <row r="63">
          <cell r="D63">
            <v>17980000</v>
          </cell>
          <cell r="G63">
            <v>17980000</v>
          </cell>
          <cell r="J63" t="str">
            <v xml:space="preserve"> 20 ธ.ค.67</v>
          </cell>
          <cell r="K63" t="str">
            <v>สภว.</v>
          </cell>
        </row>
        <row r="64">
          <cell r="D64">
            <v>16500000</v>
          </cell>
          <cell r="G64">
            <v>16500000</v>
          </cell>
          <cell r="J64" t="str">
            <v xml:space="preserve"> 3 ธ.ค.67</v>
          </cell>
          <cell r="K64" t="str">
            <v>สภว.</v>
          </cell>
        </row>
        <row r="65">
          <cell r="D65">
            <v>2680000</v>
          </cell>
          <cell r="J65" t="str">
            <v xml:space="preserve"> 10 พ.ค.68</v>
          </cell>
          <cell r="K65" t="str">
            <v>สภว.</v>
          </cell>
        </row>
        <row r="66">
          <cell r="D66">
            <v>40553</v>
          </cell>
          <cell r="G66">
            <v>40553</v>
          </cell>
          <cell r="J66" t="str">
            <v xml:space="preserve"> 3 ต.ค.67</v>
          </cell>
          <cell r="K66" t="str">
            <v>สภว.</v>
          </cell>
        </row>
        <row r="67">
          <cell r="D67">
            <v>200000</v>
          </cell>
          <cell r="G67">
            <v>200000</v>
          </cell>
          <cell r="J67" t="str">
            <v xml:space="preserve"> 25 ต.ค.67</v>
          </cell>
          <cell r="K67" t="str">
            <v>สภว.</v>
          </cell>
        </row>
        <row r="68">
          <cell r="D68">
            <v>385000</v>
          </cell>
          <cell r="G68">
            <v>385000</v>
          </cell>
          <cell r="J68" t="str">
            <v xml:space="preserve"> 25 ต.ค.67</v>
          </cell>
          <cell r="K68" t="str">
            <v>สภว.</v>
          </cell>
        </row>
        <row r="69">
          <cell r="D69">
            <v>12545000</v>
          </cell>
          <cell r="G69">
            <v>3763500</v>
          </cell>
          <cell r="J69" t="str">
            <v xml:space="preserve"> 29 มี.ค.68</v>
          </cell>
          <cell r="K69" t="str">
            <v>สภว.</v>
          </cell>
        </row>
        <row r="70">
          <cell r="C70">
            <v>1560000</v>
          </cell>
          <cell r="E70">
            <v>6520000</v>
          </cell>
          <cell r="K70" t="str">
            <v>สสช.</v>
          </cell>
        </row>
        <row r="71">
          <cell r="C71">
            <v>14020700</v>
          </cell>
          <cell r="E71">
            <v>59998000</v>
          </cell>
          <cell r="K71" t="str">
            <v>สสช.</v>
          </cell>
        </row>
        <row r="72">
          <cell r="C72">
            <v>644500</v>
          </cell>
          <cell r="E72">
            <v>4630000</v>
          </cell>
          <cell r="K72" t="str">
            <v>สสช.</v>
          </cell>
        </row>
        <row r="73">
          <cell r="C73">
            <v>11626000</v>
          </cell>
          <cell r="K73" t="str">
            <v>สสช.</v>
          </cell>
        </row>
        <row r="74">
          <cell r="D74">
            <v>211900</v>
          </cell>
          <cell r="G74">
            <v>211900</v>
          </cell>
          <cell r="J74" t="str">
            <v xml:space="preserve"> 17 พ.ย.67</v>
          </cell>
          <cell r="K74" t="str">
            <v>สสช.</v>
          </cell>
        </row>
        <row r="75">
          <cell r="D75">
            <v>247000</v>
          </cell>
          <cell r="G75">
            <v>247000</v>
          </cell>
          <cell r="J75" t="str">
            <v xml:space="preserve"> 17 พ.ย.67</v>
          </cell>
          <cell r="K75" t="str">
            <v>สสช.</v>
          </cell>
        </row>
        <row r="76">
          <cell r="D76">
            <v>25000</v>
          </cell>
          <cell r="G76">
            <v>25000</v>
          </cell>
          <cell r="J76" t="str">
            <v xml:space="preserve"> 2 ต.ค.67</v>
          </cell>
          <cell r="K76" t="str">
            <v>สสช.</v>
          </cell>
        </row>
        <row r="77">
          <cell r="D77">
            <v>1500000</v>
          </cell>
          <cell r="G77">
            <v>1500000</v>
          </cell>
          <cell r="J77" t="str">
            <v xml:space="preserve"> 27 พ.ย.67</v>
          </cell>
          <cell r="K77" t="str">
            <v>สทอ.</v>
          </cell>
        </row>
        <row r="78">
          <cell r="D78">
            <v>150000</v>
          </cell>
          <cell r="G78">
            <v>150000</v>
          </cell>
          <cell r="J78" t="str">
            <v xml:space="preserve"> 4 ต.ค.67</v>
          </cell>
          <cell r="K78" t="str">
            <v>สทอ.</v>
          </cell>
        </row>
        <row r="81">
          <cell r="B81" t="str">
            <v>จังหวัดนนทบุรี 4 รายการ</v>
          </cell>
          <cell r="C81">
            <v>0</v>
          </cell>
          <cell r="D81">
            <v>933600</v>
          </cell>
          <cell r="E81">
            <v>0</v>
          </cell>
          <cell r="G81">
            <v>933600</v>
          </cell>
        </row>
        <row r="87">
          <cell r="C87">
            <v>0</v>
          </cell>
          <cell r="D87">
            <v>775000</v>
          </cell>
          <cell r="E87">
            <v>0</v>
          </cell>
          <cell r="G87">
            <v>775000</v>
          </cell>
        </row>
        <row r="91">
          <cell r="C91">
            <v>0</v>
          </cell>
          <cell r="D91">
            <v>507000</v>
          </cell>
          <cell r="E91">
            <v>0</v>
          </cell>
          <cell r="G91">
            <v>507000</v>
          </cell>
        </row>
        <row r="95">
          <cell r="C95">
            <v>0</v>
          </cell>
          <cell r="D95">
            <v>874000</v>
          </cell>
          <cell r="E95">
            <v>0</v>
          </cell>
          <cell r="G95">
            <v>874000</v>
          </cell>
        </row>
        <row r="99">
          <cell r="C99">
            <v>0</v>
          </cell>
          <cell r="D99">
            <v>0</v>
          </cell>
          <cell r="E99">
            <v>252000</v>
          </cell>
          <cell r="G99">
            <v>252000</v>
          </cell>
        </row>
        <row r="102">
          <cell r="C102">
            <v>0</v>
          </cell>
          <cell r="D102">
            <v>516500</v>
          </cell>
          <cell r="E102">
            <v>940000</v>
          </cell>
          <cell r="G102">
            <v>1456500</v>
          </cell>
        </row>
        <row r="107">
          <cell r="C107">
            <v>0</v>
          </cell>
          <cell r="D107">
            <v>575874.74</v>
          </cell>
          <cell r="E107">
            <v>0</v>
          </cell>
          <cell r="G107">
            <v>575874.74</v>
          </cell>
        </row>
        <row r="111">
          <cell r="C111">
            <v>0</v>
          </cell>
          <cell r="D111">
            <v>0</v>
          </cell>
          <cell r="E111">
            <v>45200</v>
          </cell>
          <cell r="G111">
            <v>45200</v>
          </cell>
        </row>
        <row r="114">
          <cell r="C114">
            <v>0</v>
          </cell>
          <cell r="D114">
            <v>144798.66</v>
          </cell>
          <cell r="E114">
            <v>0</v>
          </cell>
          <cell r="G114">
            <v>144798.66</v>
          </cell>
        </row>
        <row r="117">
          <cell r="C117">
            <v>0</v>
          </cell>
          <cell r="D117">
            <v>380244.03</v>
          </cell>
          <cell r="E117">
            <v>208000</v>
          </cell>
          <cell r="G117">
            <v>479000</v>
          </cell>
        </row>
        <row r="123">
          <cell r="C123">
            <v>0</v>
          </cell>
          <cell r="D123">
            <v>0</v>
          </cell>
          <cell r="E123">
            <v>104000</v>
          </cell>
          <cell r="G123">
            <v>104000</v>
          </cell>
        </row>
        <row r="126">
          <cell r="C126">
            <v>12958</v>
          </cell>
          <cell r="D126">
            <v>500000</v>
          </cell>
          <cell r="E126">
            <v>77442</v>
          </cell>
          <cell r="G126">
            <v>577442</v>
          </cell>
        </row>
        <row r="131">
          <cell r="C131">
            <v>560.86</v>
          </cell>
          <cell r="D131">
            <v>775000</v>
          </cell>
          <cell r="E131">
            <v>3026036.78</v>
          </cell>
          <cell r="G131">
            <v>1693327.02</v>
          </cell>
        </row>
        <row r="148">
          <cell r="C148">
            <v>0</v>
          </cell>
          <cell r="D148">
            <v>810372.69</v>
          </cell>
          <cell r="E148">
            <v>0</v>
          </cell>
          <cell r="G148">
            <v>810372.69</v>
          </cell>
        </row>
        <row r="153">
          <cell r="C153">
            <v>51268.32</v>
          </cell>
          <cell r="D153">
            <v>586125</v>
          </cell>
          <cell r="E153">
            <v>396331.68</v>
          </cell>
          <cell r="G153">
            <v>329256.68</v>
          </cell>
        </row>
        <row r="164">
          <cell r="C164">
            <v>0</v>
          </cell>
          <cell r="D164">
            <v>694000</v>
          </cell>
          <cell r="E164">
            <v>0</v>
          </cell>
          <cell r="G164">
            <v>694000</v>
          </cell>
        </row>
        <row r="168">
          <cell r="C168">
            <v>4587.59</v>
          </cell>
          <cell r="D168">
            <v>375000</v>
          </cell>
          <cell r="E168">
            <v>330212.41000000003</v>
          </cell>
          <cell r="G168">
            <v>705212.41</v>
          </cell>
        </row>
        <row r="176">
          <cell r="C176">
            <v>83300</v>
          </cell>
          <cell r="D176">
            <v>1172605.98</v>
          </cell>
          <cell r="E176">
            <v>451670</v>
          </cell>
          <cell r="G176">
            <v>1624275.98</v>
          </cell>
        </row>
        <row r="191">
          <cell r="C191">
            <v>0</v>
          </cell>
          <cell r="D191">
            <v>1334281.1100000001</v>
          </cell>
          <cell r="E191">
            <v>253200</v>
          </cell>
          <cell r="G191">
            <v>1587481.11</v>
          </cell>
        </row>
        <row r="200">
          <cell r="C200">
            <v>0</v>
          </cell>
          <cell r="D200">
            <v>132500</v>
          </cell>
          <cell r="E200">
            <v>82200</v>
          </cell>
          <cell r="G200">
            <v>214700</v>
          </cell>
        </row>
        <row r="204">
          <cell r="C204">
            <v>0</v>
          </cell>
          <cell r="D204">
            <v>400000</v>
          </cell>
          <cell r="E204">
            <v>547900</v>
          </cell>
          <cell r="G204">
            <v>699200</v>
          </cell>
        </row>
        <row r="213">
          <cell r="C213">
            <v>0</v>
          </cell>
          <cell r="D213">
            <v>996271.22</v>
          </cell>
          <cell r="E213">
            <v>8000</v>
          </cell>
          <cell r="G213">
            <v>1004271.22</v>
          </cell>
        </row>
        <row r="224">
          <cell r="C224">
            <v>31841.360000000001</v>
          </cell>
          <cell r="D224">
            <v>250000</v>
          </cell>
          <cell r="E224">
            <v>2136558.64</v>
          </cell>
          <cell r="G224">
            <v>2157098.69</v>
          </cell>
        </row>
        <row r="232">
          <cell r="C232">
            <v>34600</v>
          </cell>
          <cell r="D232">
            <v>0</v>
          </cell>
          <cell r="E232">
            <v>61700</v>
          </cell>
          <cell r="G232">
            <v>61700</v>
          </cell>
        </row>
        <row r="235">
          <cell r="C235">
            <v>82455</v>
          </cell>
          <cell r="D235">
            <v>0</v>
          </cell>
          <cell r="E235">
            <v>677145</v>
          </cell>
          <cell r="G235">
            <v>677145</v>
          </cell>
        </row>
        <row r="241">
          <cell r="C241">
            <v>13883</v>
          </cell>
          <cell r="D241">
            <v>0</v>
          </cell>
          <cell r="E241">
            <v>331137</v>
          </cell>
          <cell r="G241">
            <v>331137</v>
          </cell>
        </row>
        <row r="248">
          <cell r="C248">
            <v>0</v>
          </cell>
          <cell r="D248">
            <v>0</v>
          </cell>
          <cell r="E248">
            <v>500000</v>
          </cell>
          <cell r="G248">
            <v>0</v>
          </cell>
        </row>
        <row r="251">
          <cell r="C251">
            <v>131000</v>
          </cell>
          <cell r="D251">
            <v>663061.18000000005</v>
          </cell>
          <cell r="E251">
            <v>507948</v>
          </cell>
          <cell r="G251">
            <v>1121779.18</v>
          </cell>
        </row>
        <row r="267">
          <cell r="C267">
            <v>0</v>
          </cell>
          <cell r="D267">
            <v>0</v>
          </cell>
          <cell r="E267">
            <v>350700</v>
          </cell>
          <cell r="G267">
            <v>232000</v>
          </cell>
        </row>
        <row r="272">
          <cell r="C272">
            <v>3200</v>
          </cell>
          <cell r="D272">
            <v>0</v>
          </cell>
          <cell r="E272">
            <v>450800</v>
          </cell>
          <cell r="G272">
            <v>450800</v>
          </cell>
        </row>
        <row r="275">
          <cell r="C275">
            <v>0</v>
          </cell>
          <cell r="D275">
            <v>8000</v>
          </cell>
          <cell r="E275">
            <v>70500</v>
          </cell>
          <cell r="G275">
            <v>78500</v>
          </cell>
        </row>
        <row r="279">
          <cell r="C279">
            <v>0</v>
          </cell>
          <cell r="D279">
            <v>500000</v>
          </cell>
          <cell r="E279">
            <v>564400</v>
          </cell>
          <cell r="G279">
            <v>1064400</v>
          </cell>
        </row>
        <row r="285">
          <cell r="C285">
            <v>0</v>
          </cell>
          <cell r="D285">
            <v>398300</v>
          </cell>
          <cell r="E285">
            <v>418000</v>
          </cell>
          <cell r="G285">
            <v>816300</v>
          </cell>
        </row>
        <row r="291">
          <cell r="C291">
            <v>0</v>
          </cell>
          <cell r="D291">
            <v>1584700</v>
          </cell>
          <cell r="E291">
            <v>1256100</v>
          </cell>
          <cell r="G291">
            <v>2341800</v>
          </cell>
        </row>
        <row r="310">
          <cell r="C310">
            <v>0</v>
          </cell>
          <cell r="D310">
            <v>465000</v>
          </cell>
          <cell r="E310">
            <v>0</v>
          </cell>
          <cell r="G310">
            <v>465000</v>
          </cell>
        </row>
        <row r="314">
          <cell r="C314">
            <v>0</v>
          </cell>
          <cell r="D314">
            <v>21000</v>
          </cell>
          <cell r="E314">
            <v>0</v>
          </cell>
          <cell r="G314">
            <v>21000</v>
          </cell>
        </row>
        <row r="317">
          <cell r="C317">
            <v>0</v>
          </cell>
          <cell r="D317">
            <v>811800</v>
          </cell>
          <cell r="E317">
            <v>780000</v>
          </cell>
          <cell r="G317">
            <v>1591800</v>
          </cell>
        </row>
        <row r="323">
          <cell r="C323">
            <v>0</v>
          </cell>
          <cell r="D323">
            <v>934370.47</v>
          </cell>
          <cell r="E323">
            <v>227800</v>
          </cell>
          <cell r="G323">
            <v>1162170.47</v>
          </cell>
        </row>
        <row r="335">
          <cell r="C335">
            <v>0</v>
          </cell>
          <cell r="D335">
            <v>500000</v>
          </cell>
          <cell r="E335">
            <v>0</v>
          </cell>
          <cell r="G335">
            <v>500000</v>
          </cell>
        </row>
        <row r="338">
          <cell r="C338">
            <v>0</v>
          </cell>
          <cell r="D338">
            <v>0</v>
          </cell>
          <cell r="E338">
            <v>195730</v>
          </cell>
          <cell r="G338">
            <v>195730</v>
          </cell>
        </row>
        <row r="341">
          <cell r="C341">
            <v>0</v>
          </cell>
          <cell r="D341">
            <v>380460.4</v>
          </cell>
          <cell r="E341">
            <v>104000</v>
          </cell>
          <cell r="G341">
            <v>484460.4</v>
          </cell>
        </row>
        <row r="352">
          <cell r="C352">
            <v>0</v>
          </cell>
          <cell r="D352">
            <v>775000</v>
          </cell>
          <cell r="E352">
            <v>23300</v>
          </cell>
          <cell r="G352">
            <v>423300</v>
          </cell>
        </row>
        <row r="357">
          <cell r="C357">
            <v>14162</v>
          </cell>
          <cell r="D357">
            <v>152000</v>
          </cell>
          <cell r="E357">
            <v>31038</v>
          </cell>
          <cell r="G357">
            <v>183038</v>
          </cell>
        </row>
        <row r="361">
          <cell r="C361">
            <v>0</v>
          </cell>
          <cell r="D361">
            <v>74900</v>
          </cell>
          <cell r="E361">
            <v>387800</v>
          </cell>
          <cell r="G361">
            <v>462700</v>
          </cell>
        </row>
        <row r="368">
          <cell r="C368">
            <v>0</v>
          </cell>
          <cell r="D368">
            <v>0</v>
          </cell>
          <cell r="E368">
            <v>362220</v>
          </cell>
          <cell r="G368">
            <v>362220</v>
          </cell>
        </row>
        <row r="372">
          <cell r="C372">
            <v>0</v>
          </cell>
          <cell r="D372">
            <v>868600</v>
          </cell>
          <cell r="E372">
            <v>360000</v>
          </cell>
          <cell r="G372">
            <v>432500</v>
          </cell>
        </row>
        <row r="380">
          <cell r="C380">
            <v>0</v>
          </cell>
          <cell r="D380">
            <v>1860913.03</v>
          </cell>
          <cell r="E380">
            <v>107000</v>
          </cell>
          <cell r="G380">
            <v>1192913.03</v>
          </cell>
        </row>
        <row r="402">
          <cell r="C402">
            <v>0</v>
          </cell>
          <cell r="D402">
            <v>562000</v>
          </cell>
          <cell r="E402">
            <v>2186289</v>
          </cell>
          <cell r="G402">
            <v>2748289</v>
          </cell>
        </row>
        <row r="408">
          <cell r="C408">
            <v>0</v>
          </cell>
          <cell r="D408">
            <v>0</v>
          </cell>
          <cell r="E408">
            <v>656600</v>
          </cell>
          <cell r="G408">
            <v>656600</v>
          </cell>
        </row>
        <row r="413">
          <cell r="C413">
            <v>0</v>
          </cell>
          <cell r="D413">
            <v>0</v>
          </cell>
          <cell r="E413">
            <v>416760</v>
          </cell>
          <cell r="G413">
            <v>410960</v>
          </cell>
        </row>
        <row r="419">
          <cell r="C419">
            <v>26206</v>
          </cell>
          <cell r="D419">
            <v>785000</v>
          </cell>
          <cell r="E419">
            <v>18994</v>
          </cell>
          <cell r="G419">
            <v>803994</v>
          </cell>
        </row>
        <row r="425">
          <cell r="C425">
            <v>0</v>
          </cell>
          <cell r="D425">
            <v>598159.35999999999</v>
          </cell>
          <cell r="E425">
            <v>371820</v>
          </cell>
          <cell r="G425">
            <v>969979.36</v>
          </cell>
        </row>
        <row r="439">
          <cell r="C439">
            <v>0</v>
          </cell>
          <cell r="D439">
            <v>1056000</v>
          </cell>
          <cell r="E439">
            <v>161000</v>
          </cell>
          <cell r="G439">
            <v>442000</v>
          </cell>
        </row>
        <row r="447">
          <cell r="C447">
            <v>0</v>
          </cell>
          <cell r="D447">
            <v>500000</v>
          </cell>
          <cell r="E447">
            <v>147780</v>
          </cell>
          <cell r="G447">
            <v>647780</v>
          </cell>
        </row>
        <row r="451">
          <cell r="C451">
            <v>0</v>
          </cell>
          <cell r="D451">
            <v>28000</v>
          </cell>
          <cell r="E451">
            <v>747000</v>
          </cell>
          <cell r="G451">
            <v>775000</v>
          </cell>
        </row>
        <row r="457">
          <cell r="C457">
            <v>0</v>
          </cell>
          <cell r="D457">
            <v>1688245.09</v>
          </cell>
          <cell r="E457">
            <v>144860</v>
          </cell>
          <cell r="G457">
            <v>862105.09</v>
          </cell>
        </row>
        <row r="475">
          <cell r="C475">
            <v>0</v>
          </cell>
          <cell r="D475">
            <v>862600</v>
          </cell>
          <cell r="E475">
            <v>102300</v>
          </cell>
          <cell r="G475">
            <v>964900</v>
          </cell>
        </row>
        <row r="482">
          <cell r="C482">
            <v>0</v>
          </cell>
          <cell r="D482">
            <v>400000</v>
          </cell>
          <cell r="E482">
            <v>0</v>
          </cell>
          <cell r="G482">
            <v>400000</v>
          </cell>
        </row>
        <row r="485">
          <cell r="C485">
            <v>0</v>
          </cell>
          <cell r="D485">
            <v>1080575.08</v>
          </cell>
          <cell r="E485">
            <v>2880700</v>
          </cell>
          <cell r="G485">
            <v>3753275.08</v>
          </cell>
        </row>
        <row r="501">
          <cell r="C501">
            <v>0</v>
          </cell>
          <cell r="D501">
            <v>0</v>
          </cell>
          <cell r="E501">
            <v>87500</v>
          </cell>
          <cell r="G501">
            <v>87500</v>
          </cell>
        </row>
        <row r="504">
          <cell r="C504">
            <v>0</v>
          </cell>
          <cell r="D504">
            <v>120400</v>
          </cell>
          <cell r="E504">
            <v>66640</v>
          </cell>
          <cell r="G504">
            <v>187040</v>
          </cell>
        </row>
        <row r="509">
          <cell r="C509">
            <v>0</v>
          </cell>
          <cell r="D509">
            <v>206027</v>
          </cell>
          <cell r="E509">
            <v>195790</v>
          </cell>
          <cell r="G509">
            <v>401817</v>
          </cell>
        </row>
        <row r="513">
          <cell r="C513">
            <v>0</v>
          </cell>
          <cell r="D513">
            <v>0</v>
          </cell>
          <cell r="E513">
            <v>715000</v>
          </cell>
          <cell r="G513">
            <v>715000</v>
          </cell>
        </row>
        <row r="517">
          <cell r="C517">
            <v>0</v>
          </cell>
          <cell r="D517">
            <v>248500</v>
          </cell>
          <cell r="E517">
            <v>110500</v>
          </cell>
          <cell r="G517">
            <v>359000</v>
          </cell>
        </row>
        <row r="522">
          <cell r="C522">
            <v>0</v>
          </cell>
          <cell r="D522">
            <v>0</v>
          </cell>
          <cell r="E522">
            <v>219350</v>
          </cell>
          <cell r="G522">
            <v>219350</v>
          </cell>
        </row>
        <row r="528">
          <cell r="D528">
            <v>15642000</v>
          </cell>
          <cell r="G528">
            <v>15642000</v>
          </cell>
        </row>
        <row r="529">
          <cell r="D529">
            <v>37636000</v>
          </cell>
          <cell r="G529">
            <v>30108800</v>
          </cell>
        </row>
        <row r="530">
          <cell r="D530">
            <v>980000</v>
          </cell>
          <cell r="G530">
            <v>980000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CA73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R10" sqref="R10"/>
    </sheetView>
  </sheetViews>
  <sheetFormatPr defaultRowHeight="23.25"/>
  <cols>
    <col min="1" max="1" width="68.7109375" style="172" customWidth="1"/>
    <col min="2" max="2" width="23.7109375" style="80" customWidth="1"/>
    <col min="3" max="3" width="22.140625" style="80" hidden="1" customWidth="1"/>
    <col min="4" max="4" width="24" style="80" hidden="1" customWidth="1"/>
    <col min="5" max="5" width="21.7109375" style="80" customWidth="1"/>
    <col min="6" max="6" width="12.140625" style="209" customWidth="1"/>
    <col min="7" max="7" width="22.28515625" style="80" customWidth="1"/>
    <col min="8" max="8" width="11.140625" style="210" customWidth="1"/>
    <col min="9" max="9" width="21.7109375" style="80" customWidth="1"/>
    <col min="10" max="10" width="11.28515625" style="94" customWidth="1"/>
    <col min="11" max="11" width="22.85546875" style="80" hidden="1" customWidth="1"/>
    <col min="12" max="12" width="10" style="80" hidden="1" customWidth="1"/>
    <col min="13" max="13" width="21.28515625" style="80" hidden="1" customWidth="1"/>
    <col min="14" max="14" width="11.7109375" style="80" hidden="1" customWidth="1"/>
    <col min="15" max="15" width="24.5703125" style="80" customWidth="1"/>
    <col min="16" max="17" width="10.140625" style="154" customWidth="1"/>
    <col min="18" max="18" width="27.28515625" style="154" customWidth="1"/>
    <col min="19" max="20" width="10.140625" style="154" customWidth="1"/>
    <col min="21" max="16384" width="9.140625" style="154"/>
  </cols>
  <sheetData>
    <row r="1" spans="1:18" s="153" customFormat="1" ht="33.75" customHeight="1">
      <c r="A1" s="795" t="s">
        <v>235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</row>
    <row r="2" spans="1:18" s="153" customFormat="1" ht="31.5" customHeight="1">
      <c r="A2" s="795" t="s">
        <v>17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5"/>
    </row>
    <row r="3" spans="1:18" s="153" customFormat="1" ht="33.75" customHeight="1">
      <c r="A3" s="796" t="str">
        <f>+[3]คีย์ข้อมูล!B3</f>
        <v>ข้อมูลสะสมตั้งแต่วันที่ 1 ตุลาคม 2567 - ถึงวันที่ 15 มกราคม 2568</v>
      </c>
      <c r="B3" s="796"/>
      <c r="C3" s="796"/>
      <c r="D3" s="796"/>
      <c r="E3" s="796"/>
      <c r="F3" s="796"/>
      <c r="G3" s="796"/>
      <c r="H3" s="796"/>
      <c r="I3" s="796"/>
      <c r="J3" s="796"/>
      <c r="K3" s="796"/>
      <c r="L3" s="796"/>
      <c r="M3" s="796"/>
      <c r="N3" s="796"/>
      <c r="O3" s="796"/>
    </row>
    <row r="4" spans="1:18" s="303" customFormat="1" ht="41.25" customHeight="1">
      <c r="A4" s="803" t="s">
        <v>3</v>
      </c>
      <c r="B4" s="805" t="s">
        <v>10</v>
      </c>
      <c r="C4" s="805" t="s">
        <v>150</v>
      </c>
      <c r="D4" s="805" t="s">
        <v>151</v>
      </c>
      <c r="E4" s="797" t="s">
        <v>9</v>
      </c>
      <c r="F4" s="798"/>
      <c r="G4" s="799" t="s">
        <v>182</v>
      </c>
      <c r="H4" s="800"/>
      <c r="I4" s="799" t="s">
        <v>179</v>
      </c>
      <c r="J4" s="798"/>
      <c r="K4" s="797" t="s">
        <v>27</v>
      </c>
      <c r="L4" s="798"/>
      <c r="M4" s="797" t="s">
        <v>205</v>
      </c>
      <c r="N4" s="798"/>
      <c r="O4" s="801" t="s">
        <v>4</v>
      </c>
    </row>
    <row r="5" spans="1:18" s="297" customFormat="1" ht="30" customHeight="1">
      <c r="A5" s="804"/>
      <c r="B5" s="802"/>
      <c r="C5" s="802"/>
      <c r="D5" s="802"/>
      <c r="E5" s="324" t="s">
        <v>113</v>
      </c>
      <c r="F5" s="325" t="s">
        <v>206</v>
      </c>
      <c r="G5" s="324" t="s">
        <v>113</v>
      </c>
      <c r="H5" s="326" t="s">
        <v>7</v>
      </c>
      <c r="I5" s="324" t="s">
        <v>113</v>
      </c>
      <c r="J5" s="324" t="s">
        <v>7</v>
      </c>
      <c r="K5" s="324" t="s">
        <v>113</v>
      </c>
      <c r="L5" s="324" t="s">
        <v>7</v>
      </c>
      <c r="M5" s="324" t="s">
        <v>113</v>
      </c>
      <c r="N5" s="324" t="s">
        <v>7</v>
      </c>
      <c r="O5" s="802"/>
    </row>
    <row r="6" spans="1:18" s="157" customFormat="1" ht="30" customHeight="1">
      <c r="A6" s="156" t="s">
        <v>15</v>
      </c>
      <c r="B6" s="65">
        <f>+B7+B10</f>
        <v>5609209300</v>
      </c>
      <c r="C6" s="65">
        <f>+C7+C10+C13</f>
        <v>0</v>
      </c>
      <c r="D6" s="65">
        <f>+D7+D10</f>
        <v>5609209300</v>
      </c>
      <c r="E6" s="65">
        <f>+E7+E10</f>
        <v>1304521997.3799999</v>
      </c>
      <c r="F6" s="642">
        <f>+E6*100/D6</f>
        <v>23.25678946193004</v>
      </c>
      <c r="G6" s="65">
        <f>+G7+G10</f>
        <v>247621768.47</v>
      </c>
      <c r="H6" s="642">
        <f t="shared" ref="H6:H12" si="0">G6/D6*100</f>
        <v>4.4145574755072881</v>
      </c>
      <c r="I6" s="65">
        <f>+I7+I10</f>
        <v>1552143765.8499999</v>
      </c>
      <c r="J6" s="642">
        <f>+I6*100/D6</f>
        <v>27.671346937437331</v>
      </c>
      <c r="K6" s="65">
        <f>K7+K10</f>
        <v>0</v>
      </c>
      <c r="L6" s="65">
        <f>K6/D6*100</f>
        <v>0</v>
      </c>
      <c r="M6" s="65">
        <f>K6+I6</f>
        <v>1552143765.8499999</v>
      </c>
      <c r="N6" s="65">
        <f>M6/D6*100</f>
        <v>27.671346937437331</v>
      </c>
      <c r="O6" s="65">
        <f t="shared" ref="O6:O12" si="1">D6-I6-K6</f>
        <v>4057065534.1500001</v>
      </c>
    </row>
    <row r="7" spans="1:18" s="157" customFormat="1" ht="30" customHeight="1">
      <c r="A7" s="158" t="s">
        <v>14</v>
      </c>
      <c r="B7" s="65">
        <f>+B8+B9+B13</f>
        <v>4920074900</v>
      </c>
      <c r="C7" s="65">
        <f>C8+C9</f>
        <v>0</v>
      </c>
      <c r="D7" s="65">
        <f>+D8+D9+D13</f>
        <v>4920074900</v>
      </c>
      <c r="E7" s="65">
        <f>+E8+E9+E13</f>
        <v>1279712072.9299998</v>
      </c>
      <c r="F7" s="642">
        <f>+E7*100/D7</f>
        <v>26.010012020955205</v>
      </c>
      <c r="G7" s="65">
        <f>+G8+G9+G13</f>
        <v>234756671.05000001</v>
      </c>
      <c r="H7" s="642">
        <f t="shared" si="0"/>
        <v>4.7714044160181386</v>
      </c>
      <c r="I7" s="65">
        <f>+I8+I9+I13</f>
        <v>1514468743.98</v>
      </c>
      <c r="J7" s="642">
        <f>+I7*100/D7</f>
        <v>30.781416436973348</v>
      </c>
      <c r="K7" s="65">
        <f>K8+K9+K13</f>
        <v>0</v>
      </c>
      <c r="L7" s="65">
        <f>K7/D7*100</f>
        <v>0</v>
      </c>
      <c r="M7" s="65">
        <f t="shared" ref="M7:M51" si="2">K7+I7</f>
        <v>1514468743.98</v>
      </c>
      <c r="N7" s="65">
        <f t="shared" ref="N7:N51" si="3">M7/D7*100</f>
        <v>30.781416436973348</v>
      </c>
      <c r="O7" s="65">
        <f t="shared" si="1"/>
        <v>3405606156.02</v>
      </c>
      <c r="R7" s="185"/>
    </row>
    <row r="8" spans="1:18" s="155" customFormat="1" ht="30" customHeight="1">
      <c r="A8" s="171" t="s">
        <v>0</v>
      </c>
      <c r="B8" s="186">
        <f>+B16</f>
        <v>2695794600</v>
      </c>
      <c r="C8" s="186">
        <f t="shared" ref="C8:G8" si="4">+C16</f>
        <v>0</v>
      </c>
      <c r="D8" s="186">
        <f t="shared" si="4"/>
        <v>2695794600</v>
      </c>
      <c r="E8" s="186">
        <f>+E16</f>
        <v>959712982.42999995</v>
      </c>
      <c r="F8" s="643">
        <f>E8/D8*100</f>
        <v>35.600374836792085</v>
      </c>
      <c r="G8" s="186">
        <f t="shared" si="4"/>
        <v>0</v>
      </c>
      <c r="H8" s="67">
        <f t="shared" si="0"/>
        <v>0</v>
      </c>
      <c r="I8" s="186">
        <f>+I16</f>
        <v>959712982.42999995</v>
      </c>
      <c r="J8" s="643">
        <f t="shared" ref="J8:J17" si="5">I8/D8*100</f>
        <v>35.600374836792085</v>
      </c>
      <c r="K8" s="186"/>
      <c r="L8" s="186"/>
      <c r="M8" s="67">
        <f t="shared" si="2"/>
        <v>959712982.42999995</v>
      </c>
      <c r="N8" s="67">
        <f>M8/D8*100</f>
        <v>35.600374836792085</v>
      </c>
      <c r="O8" s="67">
        <f t="shared" si="1"/>
        <v>1736081617.5700002</v>
      </c>
    </row>
    <row r="9" spans="1:18" s="155" customFormat="1" ht="30" customHeight="1">
      <c r="A9" s="171" t="s">
        <v>1</v>
      </c>
      <c r="B9" s="186">
        <f>B17+B26+B31+B40+B45+B51+B36</f>
        <v>2224280300</v>
      </c>
      <c r="C9" s="186">
        <f>C17+C26+C40+C45+C51+C31</f>
        <v>0</v>
      </c>
      <c r="D9" s="186">
        <f>D17+D26+D31+D40+D45+D51+D36</f>
        <v>2224280300</v>
      </c>
      <c r="E9" s="186">
        <f>E17+E26+E31+E40+E45+E51+E36</f>
        <v>319999090.5</v>
      </c>
      <c r="F9" s="643">
        <f>+E9*100/D9</f>
        <v>14.386635106195923</v>
      </c>
      <c r="G9" s="186">
        <f>G26+G31+G36+G40+G45+G51</f>
        <v>234756671.05000001</v>
      </c>
      <c r="H9" s="644">
        <f t="shared" si="0"/>
        <v>10.554275513297492</v>
      </c>
      <c r="I9" s="186">
        <f>G9+E9</f>
        <v>554755761.54999995</v>
      </c>
      <c r="J9" s="643">
        <f t="shared" si="5"/>
        <v>24.940910619493415</v>
      </c>
      <c r="K9" s="186"/>
      <c r="L9" s="186">
        <f>K9/D9*100</f>
        <v>0</v>
      </c>
      <c r="M9" s="67">
        <f t="shared" si="2"/>
        <v>554755761.54999995</v>
      </c>
      <c r="N9" s="67">
        <f t="shared" si="3"/>
        <v>24.940910619493415</v>
      </c>
      <c r="O9" s="67">
        <f t="shared" si="1"/>
        <v>1669524538.45</v>
      </c>
    </row>
    <row r="10" spans="1:18" s="155" customFormat="1" ht="30" customHeight="1">
      <c r="A10" s="158" t="s">
        <v>16</v>
      </c>
      <c r="B10" s="65">
        <f>SUM(B11:B12)</f>
        <v>689134400</v>
      </c>
      <c r="C10" s="65">
        <f>SUM(C11:C12)</f>
        <v>0</v>
      </c>
      <c r="D10" s="65">
        <f>D12+D11</f>
        <v>689134400</v>
      </c>
      <c r="E10" s="65">
        <f>SUM(E11:E12)</f>
        <v>24809924.449999999</v>
      </c>
      <c r="F10" s="642">
        <f>+E10*100/D10</f>
        <v>3.6001575962540833</v>
      </c>
      <c r="G10" s="65">
        <f>G11+G12</f>
        <v>12865097.42</v>
      </c>
      <c r="H10" s="642">
        <f t="shared" si="0"/>
        <v>1.8668488207815483</v>
      </c>
      <c r="I10" s="65">
        <f>I11+I12</f>
        <v>37675021.869999997</v>
      </c>
      <c r="J10" s="642">
        <f t="shared" si="5"/>
        <v>5.4670064170356314</v>
      </c>
      <c r="K10" s="65">
        <f>SUM(K11:K12)</f>
        <v>0</v>
      </c>
      <c r="L10" s="65">
        <f>K10/D10*100</f>
        <v>0</v>
      </c>
      <c r="M10" s="65">
        <f t="shared" si="2"/>
        <v>37675021.869999997</v>
      </c>
      <c r="N10" s="65">
        <f t="shared" si="3"/>
        <v>5.4670064170356314</v>
      </c>
      <c r="O10" s="65">
        <f t="shared" si="1"/>
        <v>651459378.13</v>
      </c>
    </row>
    <row r="11" spans="1:18" s="155" customFormat="1" ht="30" customHeight="1">
      <c r="A11" s="171" t="s">
        <v>1</v>
      </c>
      <c r="B11" s="186">
        <f>B22+B27</f>
        <v>486669600</v>
      </c>
      <c r="C11" s="186">
        <f>C22</f>
        <v>0</v>
      </c>
      <c r="D11" s="186">
        <f>D22+D27</f>
        <v>486669600</v>
      </c>
      <c r="E11" s="186">
        <f>E22+E27</f>
        <v>23919444.449999999</v>
      </c>
      <c r="F11" s="643">
        <f t="shared" ref="F11:F17" si="6">E11/D11*100</f>
        <v>4.9149247148373352</v>
      </c>
      <c r="G11" s="186">
        <f>G22+G27</f>
        <v>1945860</v>
      </c>
      <c r="H11" s="644">
        <f t="shared" si="0"/>
        <v>0.39983183663002581</v>
      </c>
      <c r="I11" s="186">
        <f>E11+G11</f>
        <v>25865304.449999999</v>
      </c>
      <c r="J11" s="643">
        <f t="shared" si="5"/>
        <v>5.3147565514673607</v>
      </c>
      <c r="K11" s="186">
        <f>K22</f>
        <v>0</v>
      </c>
      <c r="L11" s="186">
        <f>K11/D11*100</f>
        <v>0</v>
      </c>
      <c r="M11" s="67">
        <f t="shared" si="2"/>
        <v>25865304.449999999</v>
      </c>
      <c r="N11" s="67">
        <f t="shared" si="3"/>
        <v>5.3147565514673607</v>
      </c>
      <c r="O11" s="67">
        <f t="shared" si="1"/>
        <v>460804295.55000001</v>
      </c>
    </row>
    <row r="12" spans="1:18" s="155" customFormat="1" ht="30" customHeight="1">
      <c r="A12" s="171" t="s">
        <v>6</v>
      </c>
      <c r="B12" s="67">
        <f>+B28+B32+B23+B37</f>
        <v>202464800</v>
      </c>
      <c r="C12" s="67">
        <f>C18+C23+C28+C32+C41+C46+C52</f>
        <v>0</v>
      </c>
      <c r="D12" s="67">
        <f>D18+D23+D28+D32+D41+D46+D52+D37</f>
        <v>202464800</v>
      </c>
      <c r="E12" s="67">
        <f>E18+E23+E28+E32+E41+E46+E52</f>
        <v>890480</v>
      </c>
      <c r="F12" s="644">
        <f t="shared" si="6"/>
        <v>0.43981966247960136</v>
      </c>
      <c r="G12" s="67">
        <f>G18+G23+G28+G32+G41+G46+G52</f>
        <v>10919237.42</v>
      </c>
      <c r="H12" s="644">
        <f t="shared" si="0"/>
        <v>5.3931534864331967</v>
      </c>
      <c r="I12" s="67">
        <f>G12+E12</f>
        <v>11809717.42</v>
      </c>
      <c r="J12" s="644">
        <f t="shared" si="5"/>
        <v>5.8329731489127985</v>
      </c>
      <c r="K12" s="67">
        <f>+K23+K28+K32</f>
        <v>0</v>
      </c>
      <c r="L12" s="67">
        <f>K12/D12*100</f>
        <v>0</v>
      </c>
      <c r="M12" s="67">
        <f t="shared" si="2"/>
        <v>11809717.42</v>
      </c>
      <c r="N12" s="67">
        <f t="shared" si="3"/>
        <v>5.8329731489127985</v>
      </c>
      <c r="O12" s="67">
        <f t="shared" si="1"/>
        <v>190655082.58000001</v>
      </c>
    </row>
    <row r="13" spans="1:18" s="155" customFormat="1" ht="30" hidden="1" customHeight="1">
      <c r="A13" s="158" t="s">
        <v>5</v>
      </c>
      <c r="B13" s="65">
        <f>B19+B24+B29+B33+B42+B47+B48+B53</f>
        <v>0</v>
      </c>
      <c r="C13" s="65">
        <f>C19+C24+C29+C33+C42+C47+C48+C53</f>
        <v>0</v>
      </c>
      <c r="D13" s="65">
        <f>D19+D24+D29+D33+D42+D47+D48+D53</f>
        <v>0</v>
      </c>
      <c r="E13" s="65">
        <f>E29+E33</f>
        <v>0</v>
      </c>
      <c r="F13" s="642">
        <v>0</v>
      </c>
      <c r="G13" s="65">
        <f>G29</f>
        <v>0</v>
      </c>
      <c r="H13" s="65">
        <v>0</v>
      </c>
      <c r="I13" s="65">
        <f>I19+I24+I29+I33+I42+I47+I48+I53</f>
        <v>0</v>
      </c>
      <c r="J13" s="642">
        <v>0</v>
      </c>
      <c r="K13" s="65"/>
      <c r="L13" s="65" t="e">
        <f>K13/D13*100</f>
        <v>#DIV/0!</v>
      </c>
      <c r="M13" s="65">
        <f t="shared" si="2"/>
        <v>0</v>
      </c>
      <c r="N13" s="65">
        <v>0</v>
      </c>
      <c r="O13" s="65">
        <f t="shared" ref="O13" si="7">D13-I13</f>
        <v>0</v>
      </c>
      <c r="P13" s="162"/>
    </row>
    <row r="14" spans="1:18" s="153" customFormat="1" ht="30" customHeight="1">
      <c r="A14" s="163" t="s">
        <v>163</v>
      </c>
      <c r="B14" s="68">
        <f>+'[3]โอนเปลี่ยนแปลง '!C6</f>
        <v>2967128500</v>
      </c>
      <c r="C14" s="68">
        <f>+'[3]โอนเปลี่ยนแปลง '!D6</f>
        <v>0</v>
      </c>
      <c r="D14" s="68">
        <f>+'[3]โอนเปลี่ยนแปลง '!F6</f>
        <v>2967128500</v>
      </c>
      <c r="E14" s="69">
        <f>E15</f>
        <v>1035511751.04</v>
      </c>
      <c r="F14" s="645">
        <f t="shared" si="6"/>
        <v>34.899457540851365</v>
      </c>
      <c r="G14" s="69">
        <f>G15</f>
        <v>0</v>
      </c>
      <c r="H14" s="187">
        <f t="shared" ref="H14:H16" si="8">G14/D14*100</f>
        <v>0</v>
      </c>
      <c r="I14" s="69">
        <f>+E14+G14</f>
        <v>1035511751.04</v>
      </c>
      <c r="J14" s="645">
        <f t="shared" si="5"/>
        <v>34.899457540851365</v>
      </c>
      <c r="K14" s="68">
        <v>0</v>
      </c>
      <c r="L14" s="68"/>
      <c r="M14" s="68">
        <f t="shared" si="2"/>
        <v>1035511751.04</v>
      </c>
      <c r="N14" s="68">
        <f>M14/D14*100</f>
        <v>34.899457540851365</v>
      </c>
      <c r="O14" s="68">
        <f>D14-I14</f>
        <v>1931616748.96</v>
      </c>
    </row>
    <row r="15" spans="1:18" s="157" customFormat="1" ht="47.25" customHeight="1">
      <c r="A15" s="164" t="str">
        <f>'[3]โอนเปลี่ยนแปลง '!B7</f>
        <v>รายการค่าใช้จ่ายบุคลากรภาครัฐ (1500414002001000000,15004142002002000000)</v>
      </c>
      <c r="B15" s="70">
        <f>+'[3]โอนเปลี่ยนแปลง '!C7</f>
        <v>2967128500</v>
      </c>
      <c r="C15" s="70">
        <f>+'[3]โอนเปลี่ยนแปลง '!D7</f>
        <v>0</v>
      </c>
      <c r="D15" s="70">
        <f>+'[3]โอนเปลี่ยนแปลง '!F7</f>
        <v>2967128500</v>
      </c>
      <c r="E15" s="71">
        <f>SUM(E16:E19)</f>
        <v>1035511751.04</v>
      </c>
      <c r="F15" s="646">
        <f t="shared" si="6"/>
        <v>34.899457540851365</v>
      </c>
      <c r="G15" s="71">
        <f>SUM(G16:G19)</f>
        <v>0</v>
      </c>
      <c r="H15" s="188">
        <f t="shared" si="8"/>
        <v>0</v>
      </c>
      <c r="I15" s="71">
        <f>+E15+G15</f>
        <v>1035511751.04</v>
      </c>
      <c r="J15" s="646">
        <f t="shared" si="5"/>
        <v>34.899457540851365</v>
      </c>
      <c r="K15" s="70">
        <v>0</v>
      </c>
      <c r="L15" s="70"/>
      <c r="M15" s="70">
        <f t="shared" si="2"/>
        <v>1035511751.04</v>
      </c>
      <c r="N15" s="70">
        <f>M15/D15*100</f>
        <v>34.899457540851365</v>
      </c>
      <c r="O15" s="70">
        <f>D15-I15</f>
        <v>1931616748.96</v>
      </c>
    </row>
    <row r="16" spans="1:18" s="157" customFormat="1" ht="30" customHeight="1">
      <c r="A16" s="171" t="s">
        <v>0</v>
      </c>
      <c r="B16" s="67">
        <f>+'[3]โอนเปลี่ยนแปลง '!C8</f>
        <v>2695794600</v>
      </c>
      <c r="C16" s="67">
        <f>+'[3]โอนเปลี่ยนแปลง '!D8</f>
        <v>0</v>
      </c>
      <c r="D16" s="67">
        <f>+'[3]โอนเปลี่ยนแปลง '!F8</f>
        <v>2695794600</v>
      </c>
      <c r="E16" s="91">
        <f>[3]คีย์ข้อมูล!H9</f>
        <v>959712982.42999995</v>
      </c>
      <c r="F16" s="644">
        <f t="shared" si="6"/>
        <v>35.600374836792085</v>
      </c>
      <c r="G16" s="91">
        <f>[3]คีย์ข้อมูล!G9</f>
        <v>0</v>
      </c>
      <c r="H16" s="67">
        <f t="shared" si="8"/>
        <v>0</v>
      </c>
      <c r="I16" s="91">
        <f>+E16+G16</f>
        <v>959712982.42999995</v>
      </c>
      <c r="J16" s="644">
        <f t="shared" si="5"/>
        <v>35.600374836792085</v>
      </c>
      <c r="K16" s="67"/>
      <c r="L16" s="67"/>
      <c r="M16" s="67">
        <f t="shared" si="2"/>
        <v>959712982.42999995</v>
      </c>
      <c r="N16" s="67">
        <f>M16/D16*100</f>
        <v>35.600374836792085</v>
      </c>
      <c r="O16" s="67">
        <f>D16-M16</f>
        <v>1736081617.5700002</v>
      </c>
    </row>
    <row r="17" spans="1:79" s="157" customFormat="1" ht="30" customHeight="1">
      <c r="A17" s="171" t="s">
        <v>1</v>
      </c>
      <c r="B17" s="67">
        <f>+'[3]โอนเปลี่ยนแปลง '!C9</f>
        <v>271333900</v>
      </c>
      <c r="C17" s="67">
        <f>+'[3]โอนเปลี่ยนแปลง '!D9</f>
        <v>0</v>
      </c>
      <c r="D17" s="67">
        <f>+'[3]โอนเปลี่ยนแปลง '!F9</f>
        <v>271333900</v>
      </c>
      <c r="E17" s="91">
        <f>[3]คีย์ข้อมูล!H10</f>
        <v>75798768.609999999</v>
      </c>
      <c r="F17" s="644">
        <f t="shared" si="6"/>
        <v>27.935605764705407</v>
      </c>
      <c r="G17" s="91">
        <f>[3]คีย์ข้อมูล!G10</f>
        <v>0</v>
      </c>
      <c r="H17" s="189">
        <f>G17/D17*100</f>
        <v>0</v>
      </c>
      <c r="I17" s="91">
        <f>G17+E17</f>
        <v>75798768.609999999</v>
      </c>
      <c r="J17" s="644">
        <f t="shared" si="5"/>
        <v>27.935605764705407</v>
      </c>
      <c r="K17" s="67"/>
      <c r="L17" s="67"/>
      <c r="M17" s="67">
        <f t="shared" si="2"/>
        <v>75798768.609999999</v>
      </c>
      <c r="N17" s="67">
        <f t="shared" si="3"/>
        <v>27.935605764705407</v>
      </c>
      <c r="O17" s="67">
        <f>D17-I17</f>
        <v>195535131.38999999</v>
      </c>
    </row>
    <row r="18" spans="1:79" s="157" customFormat="1" ht="30" hidden="1" customHeight="1">
      <c r="A18" s="171" t="s">
        <v>6</v>
      </c>
      <c r="B18" s="67">
        <f>+'[3]โอนเปลี่ยนแปลง '!C12</f>
        <v>0</v>
      </c>
      <c r="C18" s="67">
        <f>+'[3]โอนเปลี่ยนแปลง '!D12</f>
        <v>0</v>
      </c>
      <c r="D18" s="67">
        <f>+'[3]โอนเปลี่ยนแปลง '!F12</f>
        <v>0</v>
      </c>
      <c r="E18" s="91">
        <f>[3]คีย์ข้อมูล!G13</f>
        <v>0</v>
      </c>
      <c r="F18" s="644">
        <v>0</v>
      </c>
      <c r="G18" s="91">
        <f>[3]คีย์ข้อมูล!G13</f>
        <v>0</v>
      </c>
      <c r="H18" s="67">
        <v>0</v>
      </c>
      <c r="I18" s="91">
        <f>G18+E18</f>
        <v>0</v>
      </c>
      <c r="J18" s="644">
        <v>0</v>
      </c>
      <c r="K18" s="67"/>
      <c r="L18" s="67"/>
      <c r="M18" s="233">
        <f t="shared" si="2"/>
        <v>0</v>
      </c>
      <c r="N18" s="233" t="e">
        <f t="shared" si="3"/>
        <v>#DIV/0!</v>
      </c>
      <c r="O18" s="233">
        <f t="shared" ref="O18:O53" si="9">D18-M18</f>
        <v>0</v>
      </c>
    </row>
    <row r="19" spans="1:79" s="157" customFormat="1" ht="30" hidden="1" customHeight="1">
      <c r="A19" s="171" t="s">
        <v>5</v>
      </c>
      <c r="B19" s="67">
        <f>+'[3]โอนเปลี่ยนแปลง '!C15</f>
        <v>0</v>
      </c>
      <c r="C19" s="67">
        <f>+'[3]โอนเปลี่ยนแปลง '!D15</f>
        <v>0</v>
      </c>
      <c r="D19" s="67">
        <f>+'[3]โอนเปลี่ยนแปลง '!F15</f>
        <v>0</v>
      </c>
      <c r="E19" s="91">
        <f>[3]คีย์ข้อมูล!G16</f>
        <v>0</v>
      </c>
      <c r="F19" s="644">
        <v>0</v>
      </c>
      <c r="G19" s="91">
        <f>[3]คีย์ข้อมูล!G16</f>
        <v>0</v>
      </c>
      <c r="H19" s="67">
        <v>0</v>
      </c>
      <c r="I19" s="91">
        <f>G19+E19</f>
        <v>0</v>
      </c>
      <c r="J19" s="644">
        <v>0</v>
      </c>
      <c r="K19" s="67"/>
      <c r="L19" s="67"/>
      <c r="M19" s="233">
        <f t="shared" si="2"/>
        <v>0</v>
      </c>
      <c r="N19" s="233" t="e">
        <f t="shared" si="3"/>
        <v>#DIV/0!</v>
      </c>
      <c r="O19" s="233">
        <f t="shared" si="9"/>
        <v>0</v>
      </c>
    </row>
    <row r="20" spans="1:79" s="153" customFormat="1" ht="30" customHeight="1">
      <c r="A20" s="165" t="s">
        <v>180</v>
      </c>
      <c r="B20" s="68">
        <f>+'[3]โอนเปลี่ยนแปลง '!C16</f>
        <v>1491707000</v>
      </c>
      <c r="C20" s="68">
        <f>+'[3]โอนเปลี่ยนแปลง '!D16</f>
        <v>0</v>
      </c>
      <c r="D20" s="68">
        <f>+'[3]โอนเปลี่ยนแปลง '!F16</f>
        <v>1491707000</v>
      </c>
      <c r="E20" s="69">
        <f>E21+E25+E30</f>
        <v>203332699.34</v>
      </c>
      <c r="F20" s="645">
        <f>+E20*100/D20</f>
        <v>13.630873847209941</v>
      </c>
      <c r="G20" s="69">
        <f>G21+G25+G30</f>
        <v>55293258.469999999</v>
      </c>
      <c r="H20" s="645">
        <f>G20/D20*100</f>
        <v>3.7067103975512619</v>
      </c>
      <c r="I20" s="69">
        <f>+I21+I25+I30</f>
        <v>258625957.81</v>
      </c>
      <c r="J20" s="645">
        <f>+I20*100/D20</f>
        <v>17.337584244761203</v>
      </c>
      <c r="K20" s="68">
        <f>+K21</f>
        <v>0</v>
      </c>
      <c r="L20" s="68">
        <f>K20/D20*100</f>
        <v>0</v>
      </c>
      <c r="M20" s="68">
        <f t="shared" si="2"/>
        <v>258625957.81</v>
      </c>
      <c r="N20" s="68">
        <f t="shared" si="3"/>
        <v>17.337584244761203</v>
      </c>
      <c r="O20" s="68">
        <f>D20-I20-K20</f>
        <v>1233081042.1900001</v>
      </c>
    </row>
    <row r="21" spans="1:79" s="157" customFormat="1" ht="51" customHeight="1">
      <c r="A21" s="164" t="str">
        <f>'[3]โอนเปลี่ยนแปลง '!B17</f>
        <v>ผลผลิต การจัดการฐานข้อมูลเพื่อการพัฒนาชุมชน (15004381004002000000,15004380004003120001)</v>
      </c>
      <c r="B21" s="70">
        <f>'[3]โอนเปลี่ยนแปลง '!C17</f>
        <v>478438500</v>
      </c>
      <c r="C21" s="70">
        <f>+'[3]โอนเปลี่ยนแปลง '!D17</f>
        <v>0</v>
      </c>
      <c r="D21" s="70">
        <f>+'[3]โอนเปลี่ยนแปลง '!F17</f>
        <v>478438500</v>
      </c>
      <c r="E21" s="71">
        <f>SUM(E22:E24)</f>
        <v>23919444.449999999</v>
      </c>
      <c r="F21" s="646">
        <f>+E21*100/D21</f>
        <v>4.9994815321091428</v>
      </c>
      <c r="G21" s="71">
        <f>SUM(G22:G24)</f>
        <v>1945860</v>
      </c>
      <c r="H21" s="646">
        <f t="shared" ref="H21:H45" si="10">G21/D21*100</f>
        <v>0.40671058035672297</v>
      </c>
      <c r="I21" s="71">
        <f>SUM(I22:I24)</f>
        <v>25865304.449999999</v>
      </c>
      <c r="J21" s="646">
        <f>+I21*100/D21</f>
        <v>5.4061921124658658</v>
      </c>
      <c r="K21" s="70">
        <f>SUM(K22:K24)</f>
        <v>0</v>
      </c>
      <c r="L21" s="70">
        <f>K21/D21*100</f>
        <v>0</v>
      </c>
      <c r="M21" s="70">
        <f t="shared" si="2"/>
        <v>25865304.449999999</v>
      </c>
      <c r="N21" s="70">
        <f t="shared" si="3"/>
        <v>5.406192112465865</v>
      </c>
      <c r="O21" s="70">
        <f>D21-I21-K21</f>
        <v>452573195.55000001</v>
      </c>
    </row>
    <row r="22" spans="1:79" s="157" customFormat="1" ht="30" customHeight="1">
      <c r="A22" s="171" t="s">
        <v>207</v>
      </c>
      <c r="B22" s="67">
        <f>'[3]โอนเปลี่ยนแปลง '!C19</f>
        <v>472483500</v>
      </c>
      <c r="C22" s="67">
        <f>'[3]โอนเปลี่ยนแปลง '!D19</f>
        <v>0</v>
      </c>
      <c r="D22" s="67">
        <f>+'[3]โอนเปลี่ยนแปลง '!F19</f>
        <v>472483500</v>
      </c>
      <c r="E22" s="91">
        <f>[3]คีย์ข้อมูล!H20</f>
        <v>23919444.449999999</v>
      </c>
      <c r="F22" s="644">
        <f>E22/D22*100</f>
        <v>5.062493071186613</v>
      </c>
      <c r="G22" s="91">
        <f>[3]คีย์ข้อมูล!G20</f>
        <v>1945860</v>
      </c>
      <c r="H22" s="644">
        <f t="shared" si="10"/>
        <v>0.4118366038179111</v>
      </c>
      <c r="I22" s="91">
        <f>G22+E22</f>
        <v>25865304.449999999</v>
      </c>
      <c r="J22" s="644">
        <f>+I22*100/D22</f>
        <v>5.4743296750045243</v>
      </c>
      <c r="K22" s="67">
        <f>[3]คีย์ข้อมูล!I21</f>
        <v>0</v>
      </c>
      <c r="L22" s="67"/>
      <c r="M22" s="67">
        <f t="shared" si="2"/>
        <v>25865304.449999999</v>
      </c>
      <c r="N22" s="67">
        <f t="shared" si="3"/>
        <v>5.4743296750045234</v>
      </c>
      <c r="O22" s="67">
        <f>D22-I22-K22</f>
        <v>446618195.55000001</v>
      </c>
    </row>
    <row r="23" spans="1:79" s="157" customFormat="1" ht="31.5" customHeight="1">
      <c r="A23" s="171" t="s">
        <v>6</v>
      </c>
      <c r="B23" s="67">
        <f>'[3]โอนเปลี่ยนแปลง '!C23</f>
        <v>5955000</v>
      </c>
      <c r="C23" s="67">
        <f>'[3]โอนเปลี่ยนแปลง '!D23</f>
        <v>0</v>
      </c>
      <c r="D23" s="67">
        <f>+'[3]โอนเปลี่ยนแปลง '!F23</f>
        <v>5955000</v>
      </c>
      <c r="E23" s="91">
        <f>[3]คีย์ข้อมูล!H24</f>
        <v>0</v>
      </c>
      <c r="F23" s="91">
        <f>E23/D23*100</f>
        <v>0</v>
      </c>
      <c r="G23" s="91">
        <f>[3]คีย์ข้อมูล!G24</f>
        <v>0</v>
      </c>
      <c r="H23" s="67">
        <f t="shared" si="10"/>
        <v>0</v>
      </c>
      <c r="I23" s="91">
        <f>G23+E23</f>
        <v>0</v>
      </c>
      <c r="J23" s="67">
        <f>+I23*100/D23</f>
        <v>0</v>
      </c>
      <c r="K23" s="67">
        <f>[3]คีย์ข้อมูล!I24</f>
        <v>0</v>
      </c>
      <c r="L23" s="67">
        <f>K23/D23/100</f>
        <v>0</v>
      </c>
      <c r="M23" s="67">
        <f t="shared" si="2"/>
        <v>0</v>
      </c>
      <c r="N23" s="67">
        <v>0</v>
      </c>
      <c r="O23" s="67">
        <f t="shared" si="9"/>
        <v>5955000</v>
      </c>
    </row>
    <row r="24" spans="1:79" s="157" customFormat="1" ht="33" hidden="1" customHeight="1">
      <c r="A24" s="171" t="s">
        <v>5</v>
      </c>
      <c r="B24" s="67">
        <f>+'[3]โอนเปลี่ยนแปลง '!C26</f>
        <v>0</v>
      </c>
      <c r="C24" s="67">
        <f>'[3]โอนเปลี่ยนแปลง '!D26</f>
        <v>0</v>
      </c>
      <c r="D24" s="67">
        <f>+'[3]โอนเปลี่ยนแปลง '!F26</f>
        <v>0</v>
      </c>
      <c r="E24" s="91">
        <f>[3]คีย์ข้อมูล!H27</f>
        <v>0</v>
      </c>
      <c r="F24" s="91">
        <v>0</v>
      </c>
      <c r="G24" s="91">
        <f>[3]คีย์ข้อมูล!G27</f>
        <v>0</v>
      </c>
      <c r="H24" s="67">
        <v>0</v>
      </c>
      <c r="I24" s="91">
        <f>G24+E24</f>
        <v>0</v>
      </c>
      <c r="J24" s="67">
        <v>0</v>
      </c>
      <c r="K24" s="67"/>
      <c r="L24" s="67"/>
      <c r="M24" s="67">
        <f t="shared" si="2"/>
        <v>0</v>
      </c>
      <c r="N24" s="67">
        <v>0</v>
      </c>
      <c r="O24" s="67">
        <f t="shared" si="9"/>
        <v>0</v>
      </c>
    </row>
    <row r="25" spans="1:79" s="166" customFormat="1" ht="51" customHeight="1">
      <c r="A25" s="164" t="str">
        <f>'[3]โอนเปลี่ยนแปลง '!B27</f>
        <v>ผลผลิตเสริมสร้างขีดความสามารถในการบริหารจัดการชุมชน(15004382001002000000)</v>
      </c>
      <c r="B25" s="70">
        <f>'[3]โอนเปลี่ยนแปลง '!C27</f>
        <v>407375100</v>
      </c>
      <c r="C25" s="70">
        <f>C26+C28+C29</f>
        <v>0</v>
      </c>
      <c r="D25" s="70">
        <f>'[3]โอนเปลี่ยนแปลง '!F27</f>
        <v>407375100</v>
      </c>
      <c r="E25" s="71">
        <f>SUM(E26:E29)</f>
        <v>78615040.700000003</v>
      </c>
      <c r="F25" s="646">
        <f>+E25*100/D25</f>
        <v>19.297949408297168</v>
      </c>
      <c r="G25" s="71">
        <f>G26+G28+G27</f>
        <v>44876023.049999997</v>
      </c>
      <c r="H25" s="646">
        <f>G25/D25*100</f>
        <v>11.01589740020929</v>
      </c>
      <c r="I25" s="71">
        <f>SUM(I26:I29)</f>
        <v>123491063.75</v>
      </c>
      <c r="J25" s="646">
        <f>+I25*100/D25</f>
        <v>30.313846808506462</v>
      </c>
      <c r="K25" s="70">
        <f>SUM(K26:K28)</f>
        <v>0</v>
      </c>
      <c r="L25" s="70">
        <f>K25/D25*100</f>
        <v>0</v>
      </c>
      <c r="M25" s="70">
        <f t="shared" si="2"/>
        <v>123491063.75</v>
      </c>
      <c r="N25" s="70">
        <f t="shared" si="3"/>
        <v>30.313846808506462</v>
      </c>
      <c r="O25" s="70">
        <f>D25-I25-K25</f>
        <v>283884036.25</v>
      </c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</row>
    <row r="26" spans="1:79" s="195" customFormat="1" ht="30" customHeight="1">
      <c r="A26" s="190" t="s">
        <v>1</v>
      </c>
      <c r="B26" s="67">
        <f>'[3]โอนเปลี่ยนแปลง '!C29</f>
        <v>342066700</v>
      </c>
      <c r="C26" s="191">
        <f>'[3]โอนเปลี่ยนแปลง '!D29</f>
        <v>0</v>
      </c>
      <c r="D26" s="191">
        <f>B26+C26</f>
        <v>342066700</v>
      </c>
      <c r="E26" s="192">
        <f>[3]คีย์ข้อมูล!H31+[3]คีย์ข้อมูล!H32+[3]คีย์ข้อมูล!H33-239000</f>
        <v>77724560.700000003</v>
      </c>
      <c r="F26" s="647">
        <f>E26/D26*100</f>
        <v>22.722048273041487</v>
      </c>
      <c r="G26" s="192">
        <f>[3]คีย์ข้อมูล!G31+[3]คีย์ข้อมูล!G32+[3]คีย์ข้อมูล!G33-39000</f>
        <v>34691023.049999997</v>
      </c>
      <c r="H26" s="647">
        <f>G26/D26*100</f>
        <v>10.1415960834539</v>
      </c>
      <c r="I26" s="192">
        <f>G26+E26</f>
        <v>112415583.75</v>
      </c>
      <c r="J26" s="647">
        <f>+I26*100/D26</f>
        <v>32.863644356495385</v>
      </c>
      <c r="K26" s="191"/>
      <c r="L26" s="191">
        <f>K26/D26*100</f>
        <v>0</v>
      </c>
      <c r="M26" s="191">
        <f>K26+I26</f>
        <v>112415583.75</v>
      </c>
      <c r="N26" s="191">
        <f t="shared" si="3"/>
        <v>32.863644356495385</v>
      </c>
      <c r="O26" s="231">
        <f>D26-I26-K26</f>
        <v>229651116.25</v>
      </c>
      <c r="P26" s="193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4"/>
      <c r="BV26" s="194"/>
      <c r="BW26" s="194"/>
      <c r="BX26" s="194"/>
      <c r="BY26" s="194"/>
      <c r="BZ26" s="194"/>
      <c r="CA26" s="194"/>
    </row>
    <row r="27" spans="1:79" s="166" customFormat="1" ht="30" customHeight="1">
      <c r="A27" s="171" t="s">
        <v>207</v>
      </c>
      <c r="B27" s="67">
        <f>[3]คีย์ข้อมูล!C34</f>
        <v>14186100</v>
      </c>
      <c r="C27" s="67"/>
      <c r="D27" s="67">
        <f>C27+B27</f>
        <v>14186100</v>
      </c>
      <c r="E27" s="91">
        <f>[3]คีย์ข้อมูล!H34</f>
        <v>0</v>
      </c>
      <c r="F27" s="91">
        <f>E27/B27*100</f>
        <v>0</v>
      </c>
      <c r="G27" s="91">
        <f>[3]คีย์ข้อมูล!G34</f>
        <v>0</v>
      </c>
      <c r="H27" s="67">
        <f>G27/B27*100</f>
        <v>0</v>
      </c>
      <c r="I27" s="91">
        <f>G27+E27</f>
        <v>0</v>
      </c>
      <c r="J27" s="67">
        <f>I27/B27*100</f>
        <v>0</v>
      </c>
      <c r="K27" s="67"/>
      <c r="L27" s="67"/>
      <c r="M27" s="67">
        <f t="shared" si="2"/>
        <v>0</v>
      </c>
      <c r="N27" s="191">
        <f t="shared" si="3"/>
        <v>0</v>
      </c>
      <c r="O27" s="67">
        <f>B27-I27</f>
        <v>14186100</v>
      </c>
      <c r="P27" s="16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</row>
    <row r="28" spans="1:79" s="168" customFormat="1" ht="30" customHeight="1">
      <c r="A28" s="171" t="s">
        <v>6</v>
      </c>
      <c r="B28" s="67">
        <f>'[3]โอนเปลี่ยนแปลง '!C34</f>
        <v>51122300</v>
      </c>
      <c r="C28" s="67">
        <f>'[3]โอนเปลี่ยนแปลง '!D34</f>
        <v>0</v>
      </c>
      <c r="D28" s="67">
        <f>B28+C28</f>
        <v>51122300</v>
      </c>
      <c r="E28" s="91">
        <f>[3]คีย์ข้อมูล!H35</f>
        <v>890480</v>
      </c>
      <c r="F28" s="644">
        <f>E28/D28*100</f>
        <v>1.7418621619136856</v>
      </c>
      <c r="G28" s="91">
        <f>[3]คีย์ข้อมูล!G35</f>
        <v>10185000</v>
      </c>
      <c r="H28" s="644">
        <f>G28/D28*100</f>
        <v>19.922812549513615</v>
      </c>
      <c r="I28" s="91">
        <f>G28+E28</f>
        <v>11075480</v>
      </c>
      <c r="J28" s="644">
        <f>I28/D28*100</f>
        <v>21.664674711427303</v>
      </c>
      <c r="K28" s="67">
        <f>[3]คีย์ข้อมูล!I35</f>
        <v>0</v>
      </c>
      <c r="L28" s="67">
        <f>K28/D28*100</f>
        <v>0</v>
      </c>
      <c r="M28" s="67">
        <f t="shared" si="2"/>
        <v>11075480</v>
      </c>
      <c r="N28" s="191">
        <f t="shared" si="3"/>
        <v>21.664674711427303</v>
      </c>
      <c r="O28" s="67">
        <f>D28-I28-K28</f>
        <v>40046820</v>
      </c>
      <c r="P28" s="16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</row>
    <row r="29" spans="1:79" s="169" customFormat="1" ht="29.25" hidden="1" customHeight="1">
      <c r="A29" s="171" t="s">
        <v>5</v>
      </c>
      <c r="B29" s="67"/>
      <c r="C29" s="67">
        <f>'[3]โอนเปลี่ยนแปลง '!D37</f>
        <v>0</v>
      </c>
      <c r="D29" s="67">
        <f>C29+B29</f>
        <v>0</v>
      </c>
      <c r="E29" s="91">
        <f>[3]คีย์ข้อมูล!H38</f>
        <v>0</v>
      </c>
      <c r="F29" s="644" t="e">
        <f>E29/D29*100</f>
        <v>#DIV/0!</v>
      </c>
      <c r="G29" s="91">
        <f>[3]คีย์ข้อมูล!G38</f>
        <v>0</v>
      </c>
      <c r="H29" s="644" t="e">
        <f>G29/D29*100</f>
        <v>#DIV/0!</v>
      </c>
      <c r="I29" s="91">
        <f>G29+E29</f>
        <v>0</v>
      </c>
      <c r="J29" s="644" t="e">
        <f>I29/D29*100</f>
        <v>#DIV/0!</v>
      </c>
      <c r="K29" s="67"/>
      <c r="L29" s="67"/>
      <c r="M29" s="67">
        <f t="shared" si="2"/>
        <v>0</v>
      </c>
      <c r="N29" s="191" t="e">
        <f t="shared" si="3"/>
        <v>#DIV/0!</v>
      </c>
      <c r="O29" s="67">
        <f t="shared" ref="O29:O33" si="11">D29-I29</f>
        <v>0</v>
      </c>
      <c r="P29" s="16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</row>
    <row r="30" spans="1:79" s="166" customFormat="1" ht="30" customHeight="1">
      <c r="A30" s="234" t="str">
        <f>'[3]โอนเปลี่ยนแปลง '!B38</f>
        <v>ผลผลิตสร้างความมั่นคงทางอาชีพและรายได้ (15004382005002000000)</v>
      </c>
      <c r="B30" s="70">
        <f>'[3]โอนเปลี่ยนแปลง '!C38</f>
        <v>605893400</v>
      </c>
      <c r="C30" s="70">
        <f>'[3]โอนเปลี่ยนแปลง '!D38</f>
        <v>0</v>
      </c>
      <c r="D30" s="70">
        <f>'[3]โอนเปลี่ยนแปลง '!F38</f>
        <v>605893400</v>
      </c>
      <c r="E30" s="71">
        <f>SUM(E31:E33)</f>
        <v>100798214.19</v>
      </c>
      <c r="F30" s="646">
        <f>+E30*100/D30</f>
        <v>16.636295128813089</v>
      </c>
      <c r="G30" s="71">
        <f>SUM(G31:G33)</f>
        <v>8471375.4199999999</v>
      </c>
      <c r="H30" s="646">
        <f t="shared" si="10"/>
        <v>1.3981626834027241</v>
      </c>
      <c r="I30" s="71">
        <f>SUM(I31:I33)</f>
        <v>109269589.61</v>
      </c>
      <c r="J30" s="646">
        <f>+I30*100/D30</f>
        <v>18.034457812215813</v>
      </c>
      <c r="K30" s="70">
        <f>SUM(K31:K33)</f>
        <v>0</v>
      </c>
      <c r="L30" s="70">
        <f>K30/D30*100</f>
        <v>0</v>
      </c>
      <c r="M30" s="70">
        <f t="shared" si="2"/>
        <v>109269589.61</v>
      </c>
      <c r="N30" s="70">
        <f t="shared" si="3"/>
        <v>18.034457812215813</v>
      </c>
      <c r="O30" s="70">
        <f>D30-I30-K30</f>
        <v>496623810.38999999</v>
      </c>
      <c r="P30" s="167"/>
      <c r="Q30" s="157"/>
      <c r="R30" s="185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</row>
    <row r="31" spans="1:79" s="166" customFormat="1" ht="30" customHeight="1">
      <c r="A31" s="171" t="s">
        <v>1</v>
      </c>
      <c r="B31" s="67">
        <f>'[3]โอนเปลี่ยนแปลง '!C40</f>
        <v>460955900</v>
      </c>
      <c r="C31" s="67">
        <f>'[3]โอนเปลี่ยนแปลง '!D40</f>
        <v>0</v>
      </c>
      <c r="D31" s="67">
        <f>'[3]โอนเปลี่ยนแปลง '!F40</f>
        <v>460955900</v>
      </c>
      <c r="E31" s="90">
        <f>[3]คีย์ข้อมูล!H41</f>
        <v>100798214.19</v>
      </c>
      <c r="F31" s="644">
        <f>E31/D31*100</f>
        <v>21.867214236763214</v>
      </c>
      <c r="G31" s="91">
        <f>[3]คีย์ข้อมูล!G41</f>
        <v>7737138</v>
      </c>
      <c r="H31" s="644">
        <f t="shared" si="10"/>
        <v>1.6784985288180496</v>
      </c>
      <c r="I31" s="91">
        <f>G31+E31</f>
        <v>108535352.19</v>
      </c>
      <c r="J31" s="644">
        <f>+I31*100/D31</f>
        <v>23.545712765581264</v>
      </c>
      <c r="K31" s="67"/>
      <c r="L31" s="67"/>
      <c r="M31" s="67">
        <f t="shared" si="2"/>
        <v>108535352.19</v>
      </c>
      <c r="N31" s="67">
        <f t="shared" si="3"/>
        <v>23.545712765581261</v>
      </c>
      <c r="O31" s="67">
        <f>D31-I31-K31</f>
        <v>352420547.81</v>
      </c>
      <c r="P31" s="16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</row>
    <row r="32" spans="1:79" s="168" customFormat="1" ht="30" customHeight="1">
      <c r="A32" s="171" t="s">
        <v>6</v>
      </c>
      <c r="B32" s="67">
        <f>+'[3]โอนเปลี่ยนแปลง '!C43</f>
        <v>144937500</v>
      </c>
      <c r="C32" s="67">
        <f>'[3]โอนเปลี่ยนแปลง '!D43</f>
        <v>0</v>
      </c>
      <c r="D32" s="67">
        <f>'[3]โอนเปลี่ยนแปลง '!F43</f>
        <v>144937500</v>
      </c>
      <c r="E32" s="90">
        <f>[3]คีย์ข้อมูล!H44</f>
        <v>0</v>
      </c>
      <c r="F32" s="91">
        <f>E32/D32*100</f>
        <v>0</v>
      </c>
      <c r="G32" s="91">
        <f>[3]คีย์ข้อมูล!G44</f>
        <v>734237.41999999993</v>
      </c>
      <c r="H32" s="644">
        <f>G32/D32*100</f>
        <v>0.50658899180681327</v>
      </c>
      <c r="I32" s="91">
        <f>G32+E32</f>
        <v>734237.41999999993</v>
      </c>
      <c r="J32" s="644">
        <f>I32/D32*100</f>
        <v>0.50658899180681327</v>
      </c>
      <c r="K32" s="67">
        <f>[3]คีย์ข้อมูล!I46</f>
        <v>0</v>
      </c>
      <c r="L32" s="67">
        <f>K32/D32*100</f>
        <v>0</v>
      </c>
      <c r="M32" s="67">
        <f t="shared" si="2"/>
        <v>734237.41999999993</v>
      </c>
      <c r="N32" s="67">
        <f t="shared" si="3"/>
        <v>0.50658899180681327</v>
      </c>
      <c r="O32" s="67">
        <f>D32-I32-K32</f>
        <v>144203262.58000001</v>
      </c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</row>
    <row r="33" spans="1:15" s="169" customFormat="1" ht="30.75" hidden="1" customHeight="1">
      <c r="A33" s="171" t="s">
        <v>5</v>
      </c>
      <c r="B33" s="67">
        <f>+'[3]โอนเปลี่ยนแปลง '!C66</f>
        <v>0</v>
      </c>
      <c r="C33" s="67">
        <f>'[3]โอนเปลี่ยนแปลง '!D46</f>
        <v>0</v>
      </c>
      <c r="D33" s="67">
        <f>'[3]โอนเปลี่ยนแปลง '!F46</f>
        <v>0</v>
      </c>
      <c r="E33" s="91">
        <f>[3]คีย์ข้อมูล!H47</f>
        <v>0</v>
      </c>
      <c r="F33" s="91">
        <v>0</v>
      </c>
      <c r="G33" s="91">
        <f>[3]คีย์ข้อมูล!G47</f>
        <v>0</v>
      </c>
      <c r="H33" s="644">
        <v>0</v>
      </c>
      <c r="I33" s="91">
        <f>G33+E33</f>
        <v>0</v>
      </c>
      <c r="J33" s="644" t="e">
        <f>I33/D33*100</f>
        <v>#DIV/0!</v>
      </c>
      <c r="K33" s="67"/>
      <c r="L33" s="67"/>
      <c r="M33" s="67">
        <f t="shared" si="2"/>
        <v>0</v>
      </c>
      <c r="N33" s="67" t="e">
        <f t="shared" si="3"/>
        <v>#DIV/0!</v>
      </c>
      <c r="O33" s="67">
        <f t="shared" si="11"/>
        <v>0</v>
      </c>
    </row>
    <row r="34" spans="1:15" s="157" customFormat="1" ht="30" customHeight="1">
      <c r="A34" s="196" t="str">
        <f>[3]คีย์ข้อมูล!B48</f>
        <v>แผนงานยุทธศาสตร์พัฒนาและส่งเสริมเศรษฐกิจฐานราก</v>
      </c>
      <c r="B34" s="197">
        <f>'[3]โอนเปลี่ยนแปลง '!C47</f>
        <v>985848800</v>
      </c>
      <c r="C34" s="197"/>
      <c r="D34" s="197">
        <f>B34</f>
        <v>985848800</v>
      </c>
      <c r="E34" s="198">
        <f>E35</f>
        <v>45505584</v>
      </c>
      <c r="F34" s="648">
        <f>E34/D34*100</f>
        <v>4.6158786215492675</v>
      </c>
      <c r="G34" s="198">
        <f>G35</f>
        <v>191932200</v>
      </c>
      <c r="H34" s="648">
        <f>G34/D34*100</f>
        <v>19.468725833008062</v>
      </c>
      <c r="I34" s="198">
        <f>I35</f>
        <v>237437784</v>
      </c>
      <c r="J34" s="648">
        <f t="shared" ref="J34:J40" si="12">I34/D34*100</f>
        <v>24.084604454557333</v>
      </c>
      <c r="K34" s="197"/>
      <c r="L34" s="197"/>
      <c r="M34" s="197">
        <f t="shared" si="2"/>
        <v>237437784</v>
      </c>
      <c r="N34" s="197">
        <f>M34/D34*100</f>
        <v>24.084604454557333</v>
      </c>
      <c r="O34" s="197">
        <f>D34-I34</f>
        <v>748411016</v>
      </c>
    </row>
    <row r="35" spans="1:15" s="157" customFormat="1" ht="58.5" customHeight="1">
      <c r="A35" s="164" t="str">
        <f>[3]คีย์ข้อมูล!B49</f>
        <v>ผลผลิตส่งเสริมเศรษฐกิจฐานราก การผลิต การตลาดและการจำหน่าวยผลิตภัณฑ์ชุมชน (15004422006002000000)</v>
      </c>
      <c r="B35" s="70">
        <f>'[3]โอนเปลี่ยนแปลง '!C48</f>
        <v>985848800</v>
      </c>
      <c r="C35" s="70"/>
      <c r="D35" s="70">
        <f>B35</f>
        <v>985848800</v>
      </c>
      <c r="E35" s="71">
        <f>[3]คีย์ข้อมูล!H49</f>
        <v>45505584</v>
      </c>
      <c r="F35" s="646">
        <f>E35/D35*100</f>
        <v>4.6158786215492675</v>
      </c>
      <c r="G35" s="71">
        <f>[3]คีย์ข้อมูล!G49</f>
        <v>191932200</v>
      </c>
      <c r="H35" s="646">
        <f>G35/D35*100</f>
        <v>19.468725833008062</v>
      </c>
      <c r="I35" s="71">
        <f>[3]คีย์ข้อมูล!H49+[3]คีย์ข้อมูล!G49</f>
        <v>237437784</v>
      </c>
      <c r="J35" s="646">
        <f t="shared" si="12"/>
        <v>24.084604454557333</v>
      </c>
      <c r="K35" s="70"/>
      <c r="L35" s="70"/>
      <c r="M35" s="70"/>
      <c r="N35" s="70"/>
      <c r="O35" s="70">
        <f>D35-I35</f>
        <v>748411016</v>
      </c>
    </row>
    <row r="36" spans="1:15" s="157" customFormat="1" ht="30" customHeight="1">
      <c r="A36" s="171" t="s">
        <v>1</v>
      </c>
      <c r="B36" s="67">
        <f>'[3]โอนเปลี่ยนแปลง '!C51</f>
        <v>985398800</v>
      </c>
      <c r="C36" s="67"/>
      <c r="D36" s="67">
        <f>'[3]โอนเปลี่ยนแปลง '!F51</f>
        <v>985398800</v>
      </c>
      <c r="E36" s="91">
        <f>[3]คีย์ข้อมูล!H52</f>
        <v>45505584</v>
      </c>
      <c r="F36" s="644">
        <f>E36/D36*100</f>
        <v>4.6179865451429407</v>
      </c>
      <c r="G36" s="91">
        <f>[3]คีย์ข้อมูล!G52</f>
        <v>191932200</v>
      </c>
      <c r="H36" s="644">
        <f>G36/D36*100</f>
        <v>19.477616575136889</v>
      </c>
      <c r="I36" s="91">
        <f>G36+E36</f>
        <v>237437784</v>
      </c>
      <c r="J36" s="644">
        <f t="shared" si="12"/>
        <v>24.095603120279829</v>
      </c>
      <c r="K36" s="67"/>
      <c r="L36" s="67"/>
      <c r="M36" s="67"/>
      <c r="N36" s="67"/>
      <c r="O36" s="67">
        <f t="shared" ref="O36:O40" si="13">D36-I36</f>
        <v>747961016</v>
      </c>
    </row>
    <row r="37" spans="1:15" s="157" customFormat="1" ht="30" customHeight="1">
      <c r="A37" s="171" t="s">
        <v>6</v>
      </c>
      <c r="B37" s="67">
        <f>'[3]โอนเปลี่ยนแปลง '!C54</f>
        <v>450000</v>
      </c>
      <c r="C37" s="67"/>
      <c r="D37" s="67">
        <f>'[3]โอนเปลี่ยนแปลง '!F54</f>
        <v>450000</v>
      </c>
      <c r="E37" s="91"/>
      <c r="F37" s="91">
        <f>E37/D37*100</f>
        <v>0</v>
      </c>
      <c r="G37" s="91">
        <v>0</v>
      </c>
      <c r="H37" s="67">
        <f>G37/D37*100</f>
        <v>0</v>
      </c>
      <c r="I37" s="91">
        <f>G37+E37</f>
        <v>0</v>
      </c>
      <c r="J37" s="67">
        <f t="shared" si="12"/>
        <v>0</v>
      </c>
      <c r="K37" s="67"/>
      <c r="L37" s="67"/>
      <c r="M37" s="67"/>
      <c r="N37" s="67"/>
      <c r="O37" s="67">
        <f t="shared" si="13"/>
        <v>450000</v>
      </c>
    </row>
    <row r="38" spans="1:15" s="153" customFormat="1" ht="30" customHeight="1">
      <c r="A38" s="165" t="str">
        <f>[3]คีย์ข้อมูล!B58</f>
        <v>แผนงานบูรณาการป้องกัน ปราบปราม และบำบัดรักษาผู้ติดยาเสพติด</v>
      </c>
      <c r="B38" s="68">
        <f>'[3]โอนเปลี่ยนแปลง '!C57</f>
        <v>38492300</v>
      </c>
      <c r="C38" s="68">
        <f>'[3]โอนเปลี่ยนแปลง '!D57</f>
        <v>0</v>
      </c>
      <c r="D38" s="68">
        <f>'[3]โอนเปลี่ยนแปลง '!F57</f>
        <v>38492300</v>
      </c>
      <c r="E38" s="69">
        <f>E39</f>
        <v>15403727</v>
      </c>
      <c r="F38" s="645">
        <f>+E38*100/D38</f>
        <v>40.017684056291777</v>
      </c>
      <c r="G38" s="69">
        <f>+G39</f>
        <v>324810</v>
      </c>
      <c r="H38" s="645">
        <f t="shared" si="10"/>
        <v>0.84383110388311433</v>
      </c>
      <c r="I38" s="69">
        <f>G38+E38</f>
        <v>15728537</v>
      </c>
      <c r="J38" s="645">
        <f t="shared" si="12"/>
        <v>40.861515160174896</v>
      </c>
      <c r="K38" s="68">
        <v>0</v>
      </c>
      <c r="L38" s="68"/>
      <c r="M38" s="68">
        <f t="shared" si="2"/>
        <v>15728537</v>
      </c>
      <c r="N38" s="68">
        <f t="shared" si="3"/>
        <v>40.861515160174896</v>
      </c>
      <c r="O38" s="68">
        <f t="shared" si="13"/>
        <v>22763763</v>
      </c>
    </row>
    <row r="39" spans="1:15" s="157" customFormat="1" ht="50.25" customHeight="1">
      <c r="A39" s="164" t="str">
        <f>[3]คีย์ข้อมูล!B59</f>
        <v>โครงการป้องกันและแก้ไขปัญหายาเสพติดโดยกองทุนแม่ของแผ่นดิน(15004062009002000000)</v>
      </c>
      <c r="B39" s="70">
        <f>'[3]โอนเปลี่ยนแปลง '!C58</f>
        <v>38492300</v>
      </c>
      <c r="C39" s="70">
        <f>'[3]โอนเปลี่ยนแปลง '!D58</f>
        <v>0</v>
      </c>
      <c r="D39" s="70">
        <f>'[3]โอนเปลี่ยนแปลง '!F58</f>
        <v>38492300</v>
      </c>
      <c r="E39" s="71">
        <f>SUM(E40:E42)</f>
        <v>15403727</v>
      </c>
      <c r="F39" s="646">
        <f>E39/D39*100</f>
        <v>40.017684056291777</v>
      </c>
      <c r="G39" s="71">
        <f>SUM(G40:G42)</f>
        <v>324810</v>
      </c>
      <c r="H39" s="646">
        <f t="shared" si="10"/>
        <v>0.84383110388311433</v>
      </c>
      <c r="I39" s="71">
        <f>SUM(I40:I42)</f>
        <v>15728537</v>
      </c>
      <c r="J39" s="646">
        <f t="shared" si="12"/>
        <v>40.861515160174896</v>
      </c>
      <c r="K39" s="70">
        <v>0</v>
      </c>
      <c r="L39" s="70"/>
      <c r="M39" s="70">
        <f t="shared" si="2"/>
        <v>15728537</v>
      </c>
      <c r="N39" s="70">
        <f t="shared" si="3"/>
        <v>40.861515160174896</v>
      </c>
      <c r="O39" s="70">
        <f t="shared" si="13"/>
        <v>22763763</v>
      </c>
    </row>
    <row r="40" spans="1:15" s="157" customFormat="1" ht="30" customHeight="1">
      <c r="A40" s="171" t="s">
        <v>1</v>
      </c>
      <c r="B40" s="67">
        <f>'[3]โอนเปลี่ยนแปลง '!C61</f>
        <v>38492300</v>
      </c>
      <c r="C40" s="67">
        <f>'[3]โอนเปลี่ยนแปลง '!D60</f>
        <v>0</v>
      </c>
      <c r="D40" s="67">
        <f>'[3]โอนเปลี่ยนแปลง '!F60</f>
        <v>38492300</v>
      </c>
      <c r="E40" s="90">
        <f>[3]คีย์ข้อมูล!H61</f>
        <v>15403727</v>
      </c>
      <c r="F40" s="644">
        <f>E40/D40*100</f>
        <v>40.017684056291777</v>
      </c>
      <c r="G40" s="91">
        <f>[3]คีย์ข้อมูล!G61</f>
        <v>324810</v>
      </c>
      <c r="H40" s="644">
        <f t="shared" si="10"/>
        <v>0.84383110388311433</v>
      </c>
      <c r="I40" s="91">
        <f>G40+E40</f>
        <v>15728537</v>
      </c>
      <c r="J40" s="644">
        <f t="shared" si="12"/>
        <v>40.861515160174896</v>
      </c>
      <c r="K40" s="67"/>
      <c r="L40" s="67"/>
      <c r="M40" s="67">
        <f t="shared" si="2"/>
        <v>15728537</v>
      </c>
      <c r="N40" s="67">
        <f t="shared" si="3"/>
        <v>40.861515160174896</v>
      </c>
      <c r="O40" s="67">
        <f t="shared" si="13"/>
        <v>22763763</v>
      </c>
    </row>
    <row r="41" spans="1:15" s="157" customFormat="1" ht="27" hidden="1" customHeight="1">
      <c r="A41" s="159" t="s">
        <v>6</v>
      </c>
      <c r="B41" s="72">
        <f>'[3]โอนเปลี่ยนแปลง '!C63</f>
        <v>0</v>
      </c>
      <c r="C41" s="72">
        <f>'[3]โอนเปลี่ยนแปลง '!D63</f>
        <v>0</v>
      </c>
      <c r="D41" s="72">
        <f>'[3]โอนเปลี่ยนแปลง '!F63</f>
        <v>0</v>
      </c>
      <c r="E41" s="73">
        <f>[3]คีย์ข้อมูล!H64</f>
        <v>0</v>
      </c>
      <c r="F41" s="73">
        <v>0</v>
      </c>
      <c r="G41" s="73">
        <f>[3]คีย์ข้อมูล!G64</f>
        <v>0</v>
      </c>
      <c r="H41" s="72">
        <v>0</v>
      </c>
      <c r="I41" s="73">
        <f>G41+E41</f>
        <v>0</v>
      </c>
      <c r="J41" s="72">
        <v>0</v>
      </c>
      <c r="K41" s="72"/>
      <c r="L41" s="72"/>
      <c r="M41" s="72">
        <f t="shared" si="2"/>
        <v>0</v>
      </c>
      <c r="N41" s="72">
        <v>0</v>
      </c>
      <c r="O41" s="72">
        <f t="shared" si="9"/>
        <v>0</v>
      </c>
    </row>
    <row r="42" spans="1:15" s="157" customFormat="1" ht="26.25" hidden="1" customHeight="1">
      <c r="A42" s="170" t="s">
        <v>5</v>
      </c>
      <c r="B42" s="66">
        <f>+'[3]โอนเปลี่ยนแปลง '!C66</f>
        <v>0</v>
      </c>
      <c r="C42" s="66">
        <f>'[3]โอนเปลี่ยนแปลง '!D66</f>
        <v>0</v>
      </c>
      <c r="D42" s="66">
        <f>'[3]โอนเปลี่ยนแปลง '!F66</f>
        <v>0</v>
      </c>
      <c r="E42" s="77">
        <f>[3]คีย์ข้อมูล!H67</f>
        <v>0</v>
      </c>
      <c r="F42" s="77">
        <v>0</v>
      </c>
      <c r="G42" s="77">
        <f>[3]คีย์ข้อมูล!G67</f>
        <v>0</v>
      </c>
      <c r="H42" s="66">
        <v>0</v>
      </c>
      <c r="I42" s="77">
        <f>G42+E42</f>
        <v>0</v>
      </c>
      <c r="J42" s="66">
        <v>0</v>
      </c>
      <c r="K42" s="66"/>
      <c r="L42" s="66"/>
      <c r="M42" s="66">
        <f t="shared" si="2"/>
        <v>0</v>
      </c>
      <c r="N42" s="66">
        <v>0</v>
      </c>
      <c r="O42" s="66">
        <f t="shared" si="9"/>
        <v>0</v>
      </c>
    </row>
    <row r="43" spans="1:15" s="153" customFormat="1" ht="30" customHeight="1">
      <c r="A43" s="165" t="s">
        <v>164</v>
      </c>
      <c r="B43" s="68">
        <f>+'[3]โอนเปลี่ยนแปลง '!C67</f>
        <v>40000000</v>
      </c>
      <c r="C43" s="68">
        <f>'[3]โอนเปลี่ยนแปลง '!D67</f>
        <v>0</v>
      </c>
      <c r="D43" s="68">
        <f>+'[3]โอนเปลี่ยนแปลง '!F67</f>
        <v>40000000</v>
      </c>
      <c r="E43" s="69">
        <f>E44</f>
        <v>133160</v>
      </c>
      <c r="F43" s="645">
        <f>+E43*100/D43</f>
        <v>0.33289999999999997</v>
      </c>
      <c r="G43" s="69">
        <f>+G44</f>
        <v>0</v>
      </c>
      <c r="H43" s="68">
        <f t="shared" si="10"/>
        <v>0</v>
      </c>
      <c r="I43" s="69">
        <f>+I44</f>
        <v>133160</v>
      </c>
      <c r="J43" s="645">
        <f>+I43*100/D43</f>
        <v>0.33289999999999997</v>
      </c>
      <c r="K43" s="68">
        <f>K44</f>
        <v>0</v>
      </c>
      <c r="L43" s="68">
        <f>K43/D43*100</f>
        <v>0</v>
      </c>
      <c r="M43" s="68">
        <f t="shared" si="2"/>
        <v>133160</v>
      </c>
      <c r="N43" s="68">
        <f t="shared" si="3"/>
        <v>0.33289999999999997</v>
      </c>
      <c r="O43" s="68">
        <f>D43-I43</f>
        <v>39866840</v>
      </c>
    </row>
    <row r="44" spans="1:15" s="157" customFormat="1" ht="30" customHeight="1">
      <c r="A44" s="164" t="str">
        <f>'[3]โอนเปลี่ยนแปลง '!B68</f>
        <v>โครงการส่งเสริมการท่องเที่ยวชุมชน (15004182024002000000)</v>
      </c>
      <c r="B44" s="70">
        <f>+'[3]โอนเปลี่ยนแปลง '!C68</f>
        <v>40000000</v>
      </c>
      <c r="C44" s="70">
        <f>'[3]โอนเปลี่ยนแปลง '!D68</f>
        <v>0</v>
      </c>
      <c r="D44" s="70">
        <f>+'[3]โอนเปลี่ยนแปลง '!F68</f>
        <v>40000000</v>
      </c>
      <c r="E44" s="71">
        <f>SUM(E45:E47)</f>
        <v>133160</v>
      </c>
      <c r="F44" s="646">
        <f>+E44*100/D44</f>
        <v>0.33289999999999997</v>
      </c>
      <c r="G44" s="71">
        <f>SUM(G45:G47)</f>
        <v>0</v>
      </c>
      <c r="H44" s="70">
        <f t="shared" si="10"/>
        <v>0</v>
      </c>
      <c r="I44" s="71">
        <f>SUM(I45:I47)</f>
        <v>133160</v>
      </c>
      <c r="J44" s="646">
        <f>+I44*100/D44</f>
        <v>0.33289999999999997</v>
      </c>
      <c r="K44" s="70">
        <f>SUM(K45:K47)</f>
        <v>0</v>
      </c>
      <c r="L44" s="70">
        <f>K44/D44*100</f>
        <v>0</v>
      </c>
      <c r="M44" s="70">
        <f t="shared" si="2"/>
        <v>133160</v>
      </c>
      <c r="N44" s="70">
        <f t="shared" si="3"/>
        <v>0.33289999999999997</v>
      </c>
      <c r="O44" s="70">
        <f>D44-I44</f>
        <v>39866840</v>
      </c>
    </row>
    <row r="45" spans="1:15" s="157" customFormat="1" ht="30" customHeight="1">
      <c r="A45" s="161" t="s">
        <v>1</v>
      </c>
      <c r="B45" s="74">
        <f>'[3]โอนเปลี่ยนแปลง '!C70</f>
        <v>40000000</v>
      </c>
      <c r="C45" s="74">
        <f>'[3]โอนเปลี่ยนแปลง '!D70</f>
        <v>0</v>
      </c>
      <c r="D45" s="74">
        <f>+'[3]โอนเปลี่ยนแปลง '!F70</f>
        <v>40000000</v>
      </c>
      <c r="E45" s="76">
        <f>[3]คีย์ข้อมูล!H71</f>
        <v>133160</v>
      </c>
      <c r="F45" s="963">
        <f>E45/D45*100</f>
        <v>0.33289999999999997</v>
      </c>
      <c r="G45" s="75">
        <f>[3]คีย์ข้อมูล!G71</f>
        <v>0</v>
      </c>
      <c r="H45" s="199">
        <f t="shared" si="10"/>
        <v>0</v>
      </c>
      <c r="I45" s="75">
        <f>G45+E45</f>
        <v>133160</v>
      </c>
      <c r="J45" s="963">
        <f>I45/D45*100</f>
        <v>0.33289999999999997</v>
      </c>
      <c r="K45" s="74">
        <f>[3]คีย์ข้อมูล!I71</f>
        <v>0</v>
      </c>
      <c r="L45" s="74">
        <f>K45/D45*100</f>
        <v>0</v>
      </c>
      <c r="M45" s="200">
        <f t="shared" si="2"/>
        <v>133160</v>
      </c>
      <c r="N45" s="200">
        <f t="shared" si="3"/>
        <v>0.33289999999999997</v>
      </c>
      <c r="O45" s="200">
        <f>D45-I45</f>
        <v>39866840</v>
      </c>
    </row>
    <row r="46" spans="1:15" s="157" customFormat="1" ht="30.75" hidden="1" customHeight="1">
      <c r="A46" s="161" t="s">
        <v>6</v>
      </c>
      <c r="B46" s="74">
        <f>+'[3]โอนเปลี่ยนแปลง '!C73</f>
        <v>0</v>
      </c>
      <c r="C46" s="74">
        <f>'[3]โอนเปลี่ยนแปลง '!D73</f>
        <v>0</v>
      </c>
      <c r="D46" s="74">
        <f>+'[3]โอนเปลี่ยนแปลง '!F73</f>
        <v>0</v>
      </c>
      <c r="E46" s="75">
        <f>[3]คีย์ข้อมูล!H74</f>
        <v>0</v>
      </c>
      <c r="F46" s="75">
        <v>0</v>
      </c>
      <c r="G46" s="75">
        <f>[3]คีย์ข้อมูล!G74</f>
        <v>0</v>
      </c>
      <c r="H46" s="201">
        <v>0</v>
      </c>
      <c r="I46" s="75">
        <f>G46+E46</f>
        <v>0</v>
      </c>
      <c r="J46" s="74">
        <v>0</v>
      </c>
      <c r="K46" s="74"/>
      <c r="L46" s="74"/>
      <c r="M46" s="74">
        <f t="shared" si="2"/>
        <v>0</v>
      </c>
      <c r="N46" s="74">
        <v>0</v>
      </c>
      <c r="O46" s="74">
        <f t="shared" si="9"/>
        <v>0</v>
      </c>
    </row>
    <row r="47" spans="1:15" s="157" customFormat="1" ht="30.75" hidden="1" customHeight="1">
      <c r="A47" s="160" t="s">
        <v>5</v>
      </c>
      <c r="B47" s="78">
        <f>+'[3]โอนเปลี่ยนแปลง '!C76</f>
        <v>0</v>
      </c>
      <c r="C47" s="78">
        <f>'[3]โอนเปลี่ยนแปลง '!D76</f>
        <v>0</v>
      </c>
      <c r="D47" s="78">
        <f>+'[3]โอนเปลี่ยนแปลง '!F76</f>
        <v>0</v>
      </c>
      <c r="E47" s="76">
        <f>[3]คีย์ข้อมูล!H77</f>
        <v>0</v>
      </c>
      <c r="F47" s="79">
        <v>0</v>
      </c>
      <c r="G47" s="79">
        <f>[3]คีย์ข้อมูล!G77</f>
        <v>0</v>
      </c>
      <c r="H47" s="78">
        <v>0</v>
      </c>
      <c r="I47" s="79">
        <f>G47+E47</f>
        <v>0</v>
      </c>
      <c r="J47" s="78">
        <v>0</v>
      </c>
      <c r="K47" s="78"/>
      <c r="L47" s="78"/>
      <c r="M47" s="66">
        <f t="shared" si="2"/>
        <v>0</v>
      </c>
      <c r="N47" s="66">
        <v>0</v>
      </c>
      <c r="O47" s="66">
        <f t="shared" si="9"/>
        <v>0</v>
      </c>
    </row>
    <row r="48" spans="1:15" s="157" customFormat="1" ht="25.5" hidden="1" customHeight="1">
      <c r="A48" s="160" t="s">
        <v>5</v>
      </c>
      <c r="B48" s="78">
        <v>0</v>
      </c>
      <c r="C48" s="78">
        <v>0</v>
      </c>
      <c r="D48" s="78">
        <v>0</v>
      </c>
      <c r="E48" s="76">
        <v>0</v>
      </c>
      <c r="F48" s="79">
        <v>0</v>
      </c>
      <c r="G48" s="79">
        <v>0</v>
      </c>
      <c r="H48" s="66">
        <v>0</v>
      </c>
      <c r="I48" s="79">
        <f>G48+E48</f>
        <v>0</v>
      </c>
      <c r="J48" s="78"/>
      <c r="K48" s="78"/>
      <c r="L48" s="78"/>
      <c r="M48" s="65">
        <f t="shared" si="2"/>
        <v>0</v>
      </c>
      <c r="N48" s="65" t="e">
        <f t="shared" si="3"/>
        <v>#DIV/0!</v>
      </c>
      <c r="O48" s="65">
        <f t="shared" si="9"/>
        <v>0</v>
      </c>
    </row>
    <row r="49" spans="1:15" s="153" customFormat="1" ht="30" customHeight="1">
      <c r="A49" s="165" t="s">
        <v>165</v>
      </c>
      <c r="B49" s="68">
        <f>+'[3]โอนเปลี่ยนแปลง '!C77</f>
        <v>86032700</v>
      </c>
      <c r="C49" s="68">
        <f>'[3]โอนเปลี่ยนแปลง '!D77</f>
        <v>0</v>
      </c>
      <c r="D49" s="68">
        <f>+'[3]โอนเปลี่ยนแปลง '!F77</f>
        <v>86032700</v>
      </c>
      <c r="E49" s="69">
        <f>E50</f>
        <v>4635076</v>
      </c>
      <c r="F49" s="645">
        <f>+E49*100/D49</f>
        <v>5.3875747244942911</v>
      </c>
      <c r="G49" s="69">
        <f>+G50</f>
        <v>71500</v>
      </c>
      <c r="H49" s="645">
        <f>G49/D49*100</f>
        <v>8.310793454116866E-2</v>
      </c>
      <c r="I49" s="69">
        <f>+I50</f>
        <v>4706576</v>
      </c>
      <c r="J49" s="645">
        <f>+I49*100/D49</f>
        <v>5.47068265903546</v>
      </c>
      <c r="K49" s="68">
        <v>0</v>
      </c>
      <c r="L49" s="68"/>
      <c r="M49" s="68">
        <f t="shared" si="2"/>
        <v>4706576</v>
      </c>
      <c r="N49" s="68">
        <f t="shared" si="3"/>
        <v>5.47068265903546</v>
      </c>
      <c r="O49" s="68">
        <f>D49-I49</f>
        <v>81326124</v>
      </c>
    </row>
    <row r="50" spans="1:15" s="157" customFormat="1" ht="30" customHeight="1">
      <c r="A50" s="234" t="str">
        <f>'[3]โอนเปลี่ยนแปลง '!B78</f>
        <v>โครงการส่งเสริมการพัฒนาชุมชนธรรมาภิบาล (15004602011002000000)</v>
      </c>
      <c r="B50" s="70">
        <f>+'[3]โอนเปลี่ยนแปลง '!C78</f>
        <v>86032700</v>
      </c>
      <c r="C50" s="70">
        <f>'[3]โอนเปลี่ยนแปลง '!D78</f>
        <v>0</v>
      </c>
      <c r="D50" s="70">
        <f>+'[3]โอนเปลี่ยนแปลง '!F78</f>
        <v>86032700</v>
      </c>
      <c r="E50" s="71">
        <f>SUM(E51:E53)</f>
        <v>4635076</v>
      </c>
      <c r="F50" s="646">
        <f>+E50*100/D50</f>
        <v>5.3875747244942911</v>
      </c>
      <c r="G50" s="71">
        <f>SUM(G51:G53)</f>
        <v>71500</v>
      </c>
      <c r="H50" s="646">
        <f>G50/D50*100</f>
        <v>8.310793454116866E-2</v>
      </c>
      <c r="I50" s="71">
        <f>SUM(I51:I53)</f>
        <v>4706576</v>
      </c>
      <c r="J50" s="646">
        <f>+I50*100/D50</f>
        <v>5.47068265903546</v>
      </c>
      <c r="K50" s="70">
        <v>0</v>
      </c>
      <c r="L50" s="70"/>
      <c r="M50" s="70">
        <f t="shared" si="2"/>
        <v>4706576</v>
      </c>
      <c r="N50" s="70">
        <f t="shared" si="3"/>
        <v>5.47068265903546</v>
      </c>
      <c r="O50" s="70">
        <f>D50-I50</f>
        <v>81326124</v>
      </c>
    </row>
    <row r="51" spans="1:15" s="157" customFormat="1" ht="30" customHeight="1">
      <c r="A51" s="171" t="s">
        <v>1</v>
      </c>
      <c r="B51" s="67">
        <f>+'[3]โอนเปลี่ยนแปลง '!C80</f>
        <v>86032700</v>
      </c>
      <c r="C51" s="67">
        <f>'[3]โอนเปลี่ยนแปลง '!D80</f>
        <v>0</v>
      </c>
      <c r="D51" s="67">
        <f>+'[3]โอนเปลี่ยนแปลง '!F80</f>
        <v>86032700</v>
      </c>
      <c r="E51" s="91">
        <f>[3]คีย์ข้อมูล!H81</f>
        <v>4635076</v>
      </c>
      <c r="F51" s="644">
        <f>E51/D51*100</f>
        <v>5.3875747244942911</v>
      </c>
      <c r="G51" s="91">
        <f>[3]คีย์ข้อมูล!G81</f>
        <v>71500</v>
      </c>
      <c r="H51" s="644">
        <f>G51/D51*100</f>
        <v>8.310793454116866E-2</v>
      </c>
      <c r="I51" s="91">
        <f>G51+E51</f>
        <v>4706576</v>
      </c>
      <c r="J51" s="644">
        <f>I51/D51*100</f>
        <v>5.47068265903546</v>
      </c>
      <c r="K51" s="67"/>
      <c r="L51" s="67"/>
      <c r="M51" s="67">
        <f t="shared" si="2"/>
        <v>4706576</v>
      </c>
      <c r="N51" s="67">
        <f t="shared" si="3"/>
        <v>5.47068265903546</v>
      </c>
      <c r="O51" s="67">
        <f>D51-I51</f>
        <v>81326124</v>
      </c>
    </row>
    <row r="52" spans="1:15" s="157" customFormat="1" ht="30" hidden="1" customHeight="1">
      <c r="A52" s="159" t="s">
        <v>6</v>
      </c>
      <c r="B52" s="72">
        <f>+'[3]โอนเปลี่ยนแปลง '!C83</f>
        <v>0</v>
      </c>
      <c r="C52" s="72">
        <f>'[3]โอนเปลี่ยนแปลง '!D83</f>
        <v>0</v>
      </c>
      <c r="D52" s="72">
        <f>+'[3]โอนเปลี่ยนแปลง '!F83</f>
        <v>0</v>
      </c>
      <c r="E52" s="73">
        <f>[3]คีย์ข้อมูล!H84</f>
        <v>0</v>
      </c>
      <c r="F52" s="73">
        <v>0</v>
      </c>
      <c r="G52" s="73">
        <f>[3]คีย์ข้อมูล!G84</f>
        <v>0</v>
      </c>
      <c r="H52" s="72">
        <v>0</v>
      </c>
      <c r="I52" s="73">
        <f>G52+E52</f>
        <v>0</v>
      </c>
      <c r="J52" s="72">
        <v>0</v>
      </c>
      <c r="K52" s="72"/>
      <c r="L52" s="72"/>
      <c r="M52" s="72"/>
      <c r="N52" s="72">
        <v>0</v>
      </c>
      <c r="O52" s="72">
        <f t="shared" si="9"/>
        <v>0</v>
      </c>
    </row>
    <row r="53" spans="1:15" s="157" customFormat="1" ht="30" hidden="1" customHeight="1">
      <c r="A53" s="170" t="s">
        <v>5</v>
      </c>
      <c r="B53" s="66">
        <f>+'[3]โอนเปลี่ยนแปลง '!C86</f>
        <v>0</v>
      </c>
      <c r="C53" s="66">
        <f>'[3]โอนเปลี่ยนแปลง '!D86</f>
        <v>0</v>
      </c>
      <c r="D53" s="66">
        <f>+'[3]โอนเปลี่ยนแปลง '!F86</f>
        <v>0</v>
      </c>
      <c r="E53" s="77">
        <f>[3]คีย์ข้อมูล!H87</f>
        <v>0</v>
      </c>
      <c r="F53" s="77">
        <v>0</v>
      </c>
      <c r="G53" s="77">
        <f>[3]คีย์ข้อมูล!G87</f>
        <v>0</v>
      </c>
      <c r="H53" s="66">
        <v>0</v>
      </c>
      <c r="I53" s="77">
        <f>G53+E53</f>
        <v>0</v>
      </c>
      <c r="J53" s="66">
        <v>0</v>
      </c>
      <c r="K53" s="66"/>
      <c r="L53" s="66"/>
      <c r="M53" s="66"/>
      <c r="N53" s="66">
        <v>0</v>
      </c>
      <c r="O53" s="66">
        <f t="shared" si="9"/>
        <v>0</v>
      </c>
    </row>
    <row r="54" spans="1:15" s="297" customFormat="1" ht="21" customHeight="1">
      <c r="A54" s="293"/>
      <c r="B54" s="294"/>
      <c r="C54" s="294"/>
      <c r="D54" s="294"/>
      <c r="E54" s="295"/>
      <c r="F54" s="295"/>
      <c r="G54" s="295"/>
      <c r="H54" s="294"/>
      <c r="I54" s="295"/>
      <c r="J54" s="294"/>
      <c r="K54" s="294"/>
      <c r="L54" s="294"/>
      <c r="M54" s="294"/>
      <c r="N54" s="294"/>
      <c r="O54" s="296"/>
    </row>
    <row r="55" spans="1:15" s="303" customFormat="1" ht="33" customHeight="1">
      <c r="A55" s="806" t="s">
        <v>236</v>
      </c>
      <c r="B55" s="806"/>
      <c r="C55" s="806"/>
      <c r="D55" s="806"/>
      <c r="E55" s="806"/>
      <c r="F55" s="298"/>
      <c r="G55" s="299"/>
      <c r="H55" s="300"/>
      <c r="I55" s="301"/>
      <c r="J55" s="302"/>
      <c r="K55" s="301"/>
      <c r="L55" s="301"/>
      <c r="M55" s="301"/>
      <c r="N55" s="301"/>
      <c r="O55" s="301"/>
    </row>
    <row r="56" spans="1:15" s="303" customFormat="1" ht="30" customHeight="1">
      <c r="A56" s="304" t="s">
        <v>208</v>
      </c>
      <c r="B56" s="305" t="s">
        <v>209</v>
      </c>
      <c r="C56" s="305"/>
      <c r="D56" s="305"/>
      <c r="E56" s="305" t="s">
        <v>210</v>
      </c>
      <c r="F56" s="306"/>
      <c r="G56" s="304" t="s">
        <v>252</v>
      </c>
      <c r="H56" s="300"/>
      <c r="I56" s="301"/>
      <c r="J56" s="302"/>
      <c r="K56" s="301"/>
      <c r="L56" s="301"/>
      <c r="M56" s="301"/>
      <c r="N56" s="301"/>
      <c r="O56" s="301"/>
    </row>
    <row r="57" spans="1:15" s="309" customFormat="1" ht="30.75" customHeight="1">
      <c r="A57" s="307" t="s">
        <v>253</v>
      </c>
      <c r="B57" s="308" t="s">
        <v>254</v>
      </c>
      <c r="C57" s="308"/>
      <c r="D57" s="308"/>
      <c r="E57" s="308" t="s">
        <v>212</v>
      </c>
      <c r="F57" s="306"/>
      <c r="G57" s="307" t="s">
        <v>211</v>
      </c>
      <c r="H57" s="300"/>
      <c r="I57" s="301"/>
      <c r="J57" s="302"/>
      <c r="K57" s="301"/>
      <c r="L57" s="301"/>
      <c r="M57" s="301"/>
      <c r="N57" s="301"/>
      <c r="O57" s="301"/>
    </row>
    <row r="58" spans="1:15" s="309" customFormat="1" ht="30.75" customHeight="1">
      <c r="A58" s="307" t="s">
        <v>255</v>
      </c>
      <c r="B58" s="308" t="s">
        <v>256</v>
      </c>
      <c r="C58" s="308"/>
      <c r="D58" s="308"/>
      <c r="E58" s="308" t="s">
        <v>257</v>
      </c>
      <c r="F58" s="306"/>
      <c r="G58" s="307" t="s">
        <v>211</v>
      </c>
      <c r="H58" s="300"/>
      <c r="I58" s="310"/>
      <c r="J58" s="302"/>
      <c r="K58" s="301"/>
      <c r="L58" s="301"/>
      <c r="M58" s="301"/>
      <c r="N58" s="301"/>
      <c r="O58" s="301"/>
    </row>
    <row r="59" spans="1:15" s="309" customFormat="1" ht="30.75" customHeight="1">
      <c r="A59" s="307" t="s">
        <v>258</v>
      </c>
      <c r="B59" s="308" t="s">
        <v>259</v>
      </c>
      <c r="C59" s="308"/>
      <c r="D59" s="308"/>
      <c r="E59" s="308" t="s">
        <v>260</v>
      </c>
      <c r="F59" s="306"/>
      <c r="G59" s="307" t="s">
        <v>211</v>
      </c>
      <c r="H59" s="300"/>
      <c r="I59" s="301"/>
      <c r="J59" s="302"/>
      <c r="K59" s="301"/>
      <c r="L59" s="301"/>
      <c r="M59" s="301"/>
      <c r="N59" s="301"/>
      <c r="O59" s="301"/>
    </row>
    <row r="60" spans="1:15" s="309" customFormat="1" ht="24" customHeight="1">
      <c r="A60" s="311"/>
      <c r="B60" s="301"/>
      <c r="C60" s="301"/>
      <c r="D60" s="301"/>
      <c r="E60" s="301"/>
      <c r="F60" s="312"/>
      <c r="G60" s="301"/>
      <c r="H60" s="300"/>
      <c r="I60" s="301"/>
      <c r="J60" s="302"/>
      <c r="K60" s="301"/>
      <c r="L60" s="301"/>
      <c r="M60" s="301"/>
      <c r="N60" s="301"/>
      <c r="O60" s="301"/>
    </row>
    <row r="61" spans="1:15" s="309" customFormat="1" ht="26.25" customHeight="1">
      <c r="A61" s="807" t="s">
        <v>459</v>
      </c>
      <c r="B61" s="807"/>
      <c r="C61" s="807"/>
      <c r="D61" s="807"/>
      <c r="E61" s="807"/>
      <c r="F61" s="807"/>
      <c r="G61" s="807"/>
      <c r="H61" s="807"/>
      <c r="I61" s="807"/>
      <c r="J61" s="807"/>
      <c r="K61" s="807"/>
      <c r="L61" s="807"/>
      <c r="M61" s="807"/>
      <c r="N61" s="807"/>
      <c r="O61" s="807"/>
    </row>
    <row r="62" spans="1:15" ht="24" customHeight="1">
      <c r="A62" s="794" t="s">
        <v>197</v>
      </c>
      <c r="B62" s="794"/>
      <c r="C62" s="794"/>
      <c r="D62" s="794"/>
      <c r="E62" s="794"/>
      <c r="F62" s="794"/>
      <c r="G62" s="794"/>
      <c r="H62" s="202"/>
      <c r="I62" s="203"/>
      <c r="J62" s="204"/>
      <c r="K62" s="203"/>
      <c r="L62" s="203"/>
      <c r="M62" s="203"/>
      <c r="N62" s="203"/>
      <c r="O62" s="203"/>
    </row>
    <row r="63" spans="1:15" ht="24" customHeight="1">
      <c r="A63" s="794" t="s">
        <v>200</v>
      </c>
      <c r="B63" s="794"/>
      <c r="C63" s="794"/>
      <c r="D63" s="794"/>
      <c r="E63" s="794"/>
      <c r="F63" s="794"/>
      <c r="G63" s="794"/>
      <c r="H63" s="794"/>
      <c r="I63" s="794"/>
      <c r="J63" s="794"/>
      <c r="K63" s="794"/>
      <c r="L63" s="794"/>
      <c r="M63" s="794"/>
      <c r="N63" s="794"/>
      <c r="O63" s="794"/>
    </row>
    <row r="64" spans="1:15" ht="24" customHeight="1">
      <c r="A64" s="794" t="s">
        <v>198</v>
      </c>
      <c r="B64" s="794"/>
      <c r="C64" s="794"/>
      <c r="D64" s="794"/>
      <c r="E64" s="794"/>
      <c r="F64" s="794"/>
      <c r="G64" s="794"/>
      <c r="H64" s="794"/>
      <c r="I64" s="794"/>
      <c r="J64" s="794"/>
      <c r="K64" s="794"/>
      <c r="L64" s="794"/>
      <c r="M64" s="794"/>
      <c r="N64" s="794"/>
      <c r="O64" s="794"/>
    </row>
    <row r="65" spans="1:79" ht="24" customHeight="1">
      <c r="A65" s="794" t="s">
        <v>201</v>
      </c>
      <c r="B65" s="794"/>
      <c r="C65" s="794"/>
      <c r="D65" s="794"/>
      <c r="E65" s="794"/>
      <c r="F65" s="794"/>
      <c r="G65" s="794"/>
      <c r="H65" s="794"/>
      <c r="I65" s="794"/>
      <c r="J65" s="794"/>
      <c r="K65" s="794"/>
      <c r="L65" s="794"/>
      <c r="M65" s="794"/>
      <c r="N65" s="794"/>
      <c r="O65" s="794"/>
    </row>
    <row r="66" spans="1:79" ht="24" customHeight="1">
      <c r="A66" s="794" t="s">
        <v>203</v>
      </c>
      <c r="B66" s="794"/>
      <c r="C66" s="794"/>
      <c r="D66" s="794"/>
      <c r="E66" s="794"/>
      <c r="F66" s="794"/>
      <c r="G66" s="794"/>
      <c r="H66" s="794"/>
      <c r="I66" s="794"/>
      <c r="J66" s="794"/>
      <c r="K66" s="794"/>
      <c r="L66" s="794"/>
      <c r="M66" s="794"/>
      <c r="N66" s="794"/>
      <c r="O66" s="794"/>
    </row>
    <row r="67" spans="1:79" ht="24" customHeight="1">
      <c r="A67" s="794" t="s">
        <v>204</v>
      </c>
      <c r="B67" s="794"/>
      <c r="C67" s="794"/>
      <c r="D67" s="794"/>
      <c r="E67" s="794"/>
      <c r="F67" s="205"/>
      <c r="G67" s="206"/>
      <c r="H67" s="207"/>
      <c r="I67" s="206"/>
      <c r="J67" s="208"/>
      <c r="K67" s="206"/>
      <c r="L67" s="206"/>
      <c r="M67" s="206"/>
      <c r="N67" s="206"/>
      <c r="O67" s="206"/>
    </row>
    <row r="73" spans="1:79" s="80" customFormat="1">
      <c r="A73" s="172"/>
      <c r="D73" s="80" t="s">
        <v>177</v>
      </c>
      <c r="F73" s="209"/>
      <c r="H73" s="210"/>
      <c r="J73" s="9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  <c r="BI73" s="154"/>
      <c r="BJ73" s="154"/>
      <c r="BK73" s="154"/>
      <c r="BL73" s="154"/>
      <c r="BM73" s="154"/>
      <c r="BN73" s="154"/>
      <c r="BO73" s="154"/>
      <c r="BP73" s="154"/>
      <c r="BQ73" s="154"/>
      <c r="BR73" s="154"/>
      <c r="BS73" s="154"/>
      <c r="BT73" s="154"/>
      <c r="BU73" s="154"/>
      <c r="BV73" s="154"/>
      <c r="BW73" s="154"/>
      <c r="BX73" s="154"/>
      <c r="BY73" s="154"/>
      <c r="BZ73" s="154"/>
      <c r="CA73" s="154"/>
    </row>
  </sheetData>
  <mergeCells count="21">
    <mergeCell ref="A55:E55"/>
    <mergeCell ref="A64:O64"/>
    <mergeCell ref="A61:O61"/>
    <mergeCell ref="A62:G62"/>
    <mergeCell ref="A63:O63"/>
    <mergeCell ref="A67:E67"/>
    <mergeCell ref="A1:O1"/>
    <mergeCell ref="A2:O2"/>
    <mergeCell ref="A3:O3"/>
    <mergeCell ref="E4:F4"/>
    <mergeCell ref="G4:H4"/>
    <mergeCell ref="I4:J4"/>
    <mergeCell ref="K4:L4"/>
    <mergeCell ref="M4:N4"/>
    <mergeCell ref="O4:O5"/>
    <mergeCell ref="A65:O65"/>
    <mergeCell ref="A66:O66"/>
    <mergeCell ref="A4:A5"/>
    <mergeCell ref="B4:B5"/>
    <mergeCell ref="C4:C5"/>
    <mergeCell ref="D4:D5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2" manualBreakCount="2">
    <brk id="34" max="15" man="1"/>
    <brk id="59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>
    <tabColor rgb="FF92D050"/>
  </sheetPr>
  <dimension ref="A1:R84"/>
  <sheetViews>
    <sheetView zoomScale="80" zoomScaleNormal="80" workbookViewId="0">
      <selection activeCell="P23" sqref="P23"/>
    </sheetView>
  </sheetViews>
  <sheetFormatPr defaultRowHeight="22.5"/>
  <cols>
    <col min="1" max="1" width="7.140625" style="87" customWidth="1"/>
    <col min="2" max="2" width="11.140625" style="88" hidden="1" customWidth="1"/>
    <col min="3" max="3" width="19.28515625" style="89" customWidth="1"/>
    <col min="4" max="4" width="10.5703125" style="87" customWidth="1"/>
    <col min="5" max="5" width="20.140625" style="222" hidden="1" customWidth="1"/>
    <col min="6" max="7" width="10" style="222" hidden="1" customWidth="1"/>
    <col min="8" max="8" width="10" style="622" hidden="1" customWidth="1"/>
    <col min="9" max="9" width="20.7109375" style="223" customWidth="1"/>
    <col min="10" max="10" width="20.7109375" style="222" customWidth="1"/>
    <col min="11" max="11" width="11.7109375" style="222" customWidth="1"/>
    <col min="12" max="12" width="20.7109375" style="222" customWidth="1"/>
    <col min="13" max="13" width="20.7109375" style="223" customWidth="1"/>
    <col min="14" max="14" width="12.140625" style="223" customWidth="1"/>
    <col min="15" max="15" width="20.7109375" style="87" customWidth="1"/>
    <col min="16" max="16" width="22.5703125" style="14" customWidth="1"/>
    <col min="17" max="17" width="13.5703125" style="14" customWidth="1"/>
    <col min="18" max="18" width="19.5703125" style="14" customWidth="1"/>
    <col min="19" max="16384" width="9.140625" style="14"/>
  </cols>
  <sheetData>
    <row r="1" spans="1:18" s="612" customFormat="1" ht="33" customHeight="1">
      <c r="A1" s="891" t="s">
        <v>291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</row>
    <row r="2" spans="1:18" s="612" customFormat="1" ht="33" customHeight="1">
      <c r="A2" s="891" t="s">
        <v>222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</row>
    <row r="3" spans="1:18" s="612" customFormat="1" ht="33" customHeight="1">
      <c r="A3" s="891" t="str">
        <f>+[5]รายละเอียดงบลงทุน!A2</f>
        <v>ข้อมูลสะสมตั้งแต่วันที่ 1 ตุลาคม 2567 ถึงวันที่ 15 มกราคม 2568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</row>
    <row r="4" spans="1:18" s="11" customFormat="1" ht="27" customHeight="1">
      <c r="A4" s="895" t="s">
        <v>25</v>
      </c>
      <c r="B4" s="897" t="s">
        <v>77</v>
      </c>
      <c r="C4" s="897" t="s">
        <v>78</v>
      </c>
      <c r="D4" s="895" t="s">
        <v>3</v>
      </c>
      <c r="E4" s="901" t="s">
        <v>128</v>
      </c>
      <c r="F4" s="892" t="s">
        <v>493</v>
      </c>
      <c r="G4" s="901"/>
      <c r="H4" s="908" t="s">
        <v>494</v>
      </c>
      <c r="I4" s="911" t="s">
        <v>128</v>
      </c>
      <c r="J4" s="914" t="s">
        <v>9</v>
      </c>
      <c r="K4" s="915"/>
      <c r="L4" s="918" t="s">
        <v>137</v>
      </c>
      <c r="M4" s="904" t="s">
        <v>176</v>
      </c>
      <c r="N4" s="905"/>
      <c r="O4" s="895" t="s">
        <v>4</v>
      </c>
    </row>
    <row r="5" spans="1:18" s="11" customFormat="1" ht="27" customHeight="1">
      <c r="A5" s="896"/>
      <c r="B5" s="898"/>
      <c r="C5" s="898"/>
      <c r="D5" s="896"/>
      <c r="E5" s="902"/>
      <c r="F5" s="893"/>
      <c r="G5" s="902"/>
      <c r="H5" s="909"/>
      <c r="I5" s="912"/>
      <c r="J5" s="916"/>
      <c r="K5" s="917"/>
      <c r="L5" s="919"/>
      <c r="M5" s="906"/>
      <c r="N5" s="907"/>
      <c r="O5" s="896"/>
    </row>
    <row r="6" spans="1:18" s="11" customFormat="1" ht="27" customHeight="1">
      <c r="A6" s="896"/>
      <c r="B6" s="899"/>
      <c r="C6" s="899"/>
      <c r="D6" s="900"/>
      <c r="E6" s="903"/>
      <c r="F6" s="894"/>
      <c r="G6" s="903"/>
      <c r="H6" s="910"/>
      <c r="I6" s="913"/>
      <c r="J6" s="184" t="s">
        <v>113</v>
      </c>
      <c r="K6" s="184" t="s">
        <v>7</v>
      </c>
      <c r="L6" s="218" t="s">
        <v>113</v>
      </c>
      <c r="M6" s="96" t="s">
        <v>113</v>
      </c>
      <c r="N6" s="96" t="s">
        <v>7</v>
      </c>
      <c r="O6" s="900"/>
    </row>
    <row r="7" spans="1:18" s="12" customFormat="1" ht="27" customHeight="1" thickBot="1">
      <c r="A7" s="219"/>
      <c r="B7" s="83"/>
      <c r="C7" s="84"/>
      <c r="D7" s="362">
        <f>SUM(D8:D52)</f>
        <v>189</v>
      </c>
      <c r="E7" s="220" t="e">
        <f>SUM(E8:E52)</f>
        <v>#REF!</v>
      </c>
      <c r="F7" s="220">
        <f>SUM(F8:F53)</f>
        <v>0</v>
      </c>
      <c r="G7" s="220"/>
      <c r="H7" s="617">
        <f>SUM(H8:H52)</f>
        <v>0</v>
      </c>
      <c r="I7" s="220">
        <f>SUM(I8:I52)</f>
        <v>24386390</v>
      </c>
      <c r="J7" s="220">
        <f>SUM(J8:J52)</f>
        <v>616680</v>
      </c>
      <c r="K7" s="388">
        <f>+J7*100/I7</f>
        <v>2.5287875737245242</v>
      </c>
      <c r="L7" s="220">
        <f>SUM(L8:L52)</f>
        <v>2094237.42</v>
      </c>
      <c r="M7" s="220">
        <f>SUM(M8:M52)</f>
        <v>2710917.42</v>
      </c>
      <c r="N7" s="388">
        <f>M7/I7*100</f>
        <v>11.116517943000174</v>
      </c>
      <c r="O7" s="220">
        <f>SUM(O8:O52)</f>
        <v>21675472.579999998</v>
      </c>
    </row>
    <row r="8" spans="1:18" s="371" customFormat="1" ht="27" customHeight="1" thickTop="1">
      <c r="A8" s="623">
        <v>1</v>
      </c>
      <c r="B8" s="623">
        <v>30</v>
      </c>
      <c r="C8" s="624" t="s">
        <v>94</v>
      </c>
      <c r="D8" s="623">
        <f>+[5]สรุปงบขุดจังหวัด!C10</f>
        <v>1</v>
      </c>
      <c r="E8" s="625" t="e">
        <f>#REF!</f>
        <v>#REF!</v>
      </c>
      <c r="F8" s="625"/>
      <c r="G8" s="625"/>
      <c r="H8" s="626"/>
      <c r="I8" s="625">
        <f>+[5]สรุปงบขุดจังหวัด!D10</f>
        <v>104000</v>
      </c>
      <c r="J8" s="625">
        <f>+[5]สรุปงบขุดจังหวัด!H10</f>
        <v>0</v>
      </c>
      <c r="K8" s="625">
        <f>+J8*100/I8</f>
        <v>0</v>
      </c>
      <c r="L8" s="625">
        <f>+[5]สรุปงบขุดจังหวัด!J10</f>
        <v>0</v>
      </c>
      <c r="M8" s="625">
        <f>+J8+L8</f>
        <v>0</v>
      </c>
      <c r="N8" s="625">
        <f>+M8*100/I8</f>
        <v>0</v>
      </c>
      <c r="O8" s="627">
        <f>+I8-M8</f>
        <v>104000</v>
      </c>
    </row>
    <row r="9" spans="1:18" s="371" customFormat="1" ht="27" customHeight="1">
      <c r="A9" s="373">
        <v>2</v>
      </c>
      <c r="B9" s="373">
        <v>31</v>
      </c>
      <c r="C9" s="374" t="s">
        <v>32</v>
      </c>
      <c r="D9" s="373">
        <v>1</v>
      </c>
      <c r="E9" s="136" t="e">
        <f>#REF!+#REF!+#REF!+#REF!+#REF!+#REF!</f>
        <v>#REF!</v>
      </c>
      <c r="F9" s="136"/>
      <c r="G9" s="136"/>
      <c r="H9" s="619"/>
      <c r="I9" s="136">
        <f>+[5]สรุปงบขุดจังหวัด!D11</f>
        <v>208000</v>
      </c>
      <c r="J9" s="136">
        <f>+[5]สรุปงบขุดจังหวัด!H11</f>
        <v>0</v>
      </c>
      <c r="K9" s="136">
        <f>+J9*100/I9</f>
        <v>0</v>
      </c>
      <c r="L9" s="136">
        <f>+[5]สรุปงบขุดจังหวัด!J11</f>
        <v>0</v>
      </c>
      <c r="M9" s="136">
        <f>+J9+L9</f>
        <v>0</v>
      </c>
      <c r="N9" s="136">
        <f>+M9*100/I9</f>
        <v>0</v>
      </c>
      <c r="O9" s="628">
        <f>+I9-M9</f>
        <v>208000</v>
      </c>
      <c r="P9" s="368"/>
      <c r="Q9" s="368"/>
      <c r="R9" s="368"/>
    </row>
    <row r="10" spans="1:18" s="371" customFormat="1" ht="27" customHeight="1">
      <c r="A10" s="373">
        <v>3</v>
      </c>
      <c r="B10" s="373">
        <v>32</v>
      </c>
      <c r="C10" s="374" t="s">
        <v>95</v>
      </c>
      <c r="D10" s="373">
        <f>+[5]สรุปงบขุดจังหวัด!C12</f>
        <v>2</v>
      </c>
      <c r="E10" s="136" t="e">
        <f>#REF!+#REF!+#REF!+#REF!+#REF!+#REF!</f>
        <v>#REF!</v>
      </c>
      <c r="F10" s="136"/>
      <c r="G10" s="136"/>
      <c r="H10" s="619"/>
      <c r="I10" s="136">
        <f>+[5]สรุปงบขุดจังหวัด!D12</f>
        <v>90400</v>
      </c>
      <c r="J10" s="136">
        <f>+[5]สรุปงบขุดจังหวัด!H12</f>
        <v>0</v>
      </c>
      <c r="K10" s="136">
        <f t="shared" ref="K10:K52" si="0">+J10*100/I10</f>
        <v>0</v>
      </c>
      <c r="L10" s="136">
        <f>+[5]สรุปงบขุดจังหวัด!J12</f>
        <v>0</v>
      </c>
      <c r="M10" s="136">
        <f t="shared" ref="M10:M52" si="1">+J10+L10</f>
        <v>0</v>
      </c>
      <c r="N10" s="136">
        <f t="shared" ref="N10:N52" si="2">+M10*100/I10</f>
        <v>0</v>
      </c>
      <c r="O10" s="628">
        <f t="shared" ref="O10:O52" si="3">+I10-M10</f>
        <v>90400</v>
      </c>
      <c r="P10" s="368"/>
      <c r="Q10" s="368"/>
      <c r="R10" s="368"/>
    </row>
    <row r="11" spans="1:18" s="371" customFormat="1" ht="27" customHeight="1">
      <c r="A11" s="373">
        <v>4</v>
      </c>
      <c r="B11" s="373">
        <v>37</v>
      </c>
      <c r="C11" s="374" t="s">
        <v>35</v>
      </c>
      <c r="D11" s="373">
        <f>+[5]สรุปงบขุดจังหวัด!C13</f>
        <v>2</v>
      </c>
      <c r="E11" s="136" t="e">
        <f>#REF!+#REF!+#REF!+#REF!</f>
        <v>#REF!</v>
      </c>
      <c r="F11" s="136"/>
      <c r="G11" s="136"/>
      <c r="H11" s="619"/>
      <c r="I11" s="136">
        <f>+[5]สรุปงบขุดจังหวัด!D13</f>
        <v>149200</v>
      </c>
      <c r="J11" s="136">
        <f>+[5]สรุปงบขุดจังหวัด!H13</f>
        <v>0</v>
      </c>
      <c r="K11" s="136">
        <f t="shared" si="0"/>
        <v>0</v>
      </c>
      <c r="L11" s="136">
        <f>+[5]สรุปงบขุดจังหวัด!J13</f>
        <v>0</v>
      </c>
      <c r="M11" s="136">
        <f t="shared" si="1"/>
        <v>0</v>
      </c>
      <c r="N11" s="136">
        <f t="shared" si="2"/>
        <v>0</v>
      </c>
      <c r="O11" s="628">
        <f t="shared" si="3"/>
        <v>149200</v>
      </c>
      <c r="P11" s="368"/>
      <c r="Q11" s="368"/>
      <c r="R11" s="368"/>
    </row>
    <row r="12" spans="1:18" s="371" customFormat="1" ht="27" customHeight="1">
      <c r="A12" s="373">
        <v>5</v>
      </c>
      <c r="B12" s="373">
        <v>38</v>
      </c>
      <c r="C12" s="374" t="s">
        <v>98</v>
      </c>
      <c r="D12" s="373">
        <v>4</v>
      </c>
      <c r="E12" s="136" t="e">
        <f>#REF!+#REF!+#REF!+#REF!+#REF!+#REF!</f>
        <v>#REF!</v>
      </c>
      <c r="F12" s="136"/>
      <c r="G12" s="136"/>
      <c r="H12" s="619"/>
      <c r="I12" s="136">
        <f>+[5]สรุปงบขุดจังหวัด!D14</f>
        <v>461200</v>
      </c>
      <c r="J12" s="136">
        <f>+[5]สรุปงบขุดจังหวัด!H14</f>
        <v>0</v>
      </c>
      <c r="K12" s="136">
        <f t="shared" si="0"/>
        <v>0</v>
      </c>
      <c r="L12" s="136">
        <f>+[5]สรุปงบขุดจังหวัด!J14</f>
        <v>0</v>
      </c>
      <c r="M12" s="136">
        <f t="shared" si="1"/>
        <v>0</v>
      </c>
      <c r="N12" s="136">
        <f t="shared" si="2"/>
        <v>0</v>
      </c>
      <c r="O12" s="628">
        <f t="shared" si="3"/>
        <v>461200</v>
      </c>
      <c r="P12" s="368"/>
      <c r="Q12" s="368"/>
      <c r="R12" s="368"/>
    </row>
    <row r="13" spans="1:18" s="371" customFormat="1" ht="27" customHeight="1">
      <c r="A13" s="373">
        <v>6</v>
      </c>
      <c r="B13" s="373">
        <v>41</v>
      </c>
      <c r="C13" s="374" t="s">
        <v>38</v>
      </c>
      <c r="D13" s="373">
        <v>11</v>
      </c>
      <c r="E13" s="136" t="e">
        <f>#REF!+#REF!+#REF!+#REF!</f>
        <v>#REF!</v>
      </c>
      <c r="F13" s="136"/>
      <c r="G13" s="136"/>
      <c r="H13" s="619"/>
      <c r="I13" s="136">
        <f>+[5]สรุปงบขุดจังหวัด!D15</f>
        <v>926800</v>
      </c>
      <c r="J13" s="136">
        <f>+[5]สรุปงบขุดจังหวัด!H15</f>
        <v>0</v>
      </c>
      <c r="K13" s="136">
        <f t="shared" si="0"/>
        <v>0</v>
      </c>
      <c r="L13" s="136">
        <f>+[5]สรุปงบขุดจังหวัด!J15</f>
        <v>0</v>
      </c>
      <c r="M13" s="136">
        <f t="shared" si="1"/>
        <v>0</v>
      </c>
      <c r="N13" s="136">
        <f t="shared" si="2"/>
        <v>0</v>
      </c>
      <c r="O13" s="628">
        <f t="shared" si="3"/>
        <v>926800</v>
      </c>
      <c r="P13" s="368"/>
      <c r="Q13" s="368"/>
      <c r="R13" s="368"/>
    </row>
    <row r="14" spans="1:18" s="371" customFormat="1" ht="27" customHeight="1">
      <c r="A14" s="373">
        <v>7</v>
      </c>
      <c r="B14" s="373">
        <v>42</v>
      </c>
      <c r="C14" s="374" t="s">
        <v>39</v>
      </c>
      <c r="D14" s="373">
        <v>4</v>
      </c>
      <c r="E14" s="136" t="e">
        <f>#REF!+#REF!+#REF!+#REF!</f>
        <v>#REF!</v>
      </c>
      <c r="F14" s="136"/>
      <c r="G14" s="136"/>
      <c r="H14" s="619"/>
      <c r="I14" s="136">
        <f>+[5]สรุปงบขุดจังหวัด!D16</f>
        <v>565200</v>
      </c>
      <c r="J14" s="136">
        <f>+[5]สรุปงบขุดจังหวัด!H16</f>
        <v>0</v>
      </c>
      <c r="K14" s="136">
        <f t="shared" si="0"/>
        <v>0</v>
      </c>
      <c r="L14" s="136">
        <f>+[5]สรุปงบขุดจังหวัด!J16</f>
        <v>0</v>
      </c>
      <c r="M14" s="136">
        <f t="shared" si="1"/>
        <v>0</v>
      </c>
      <c r="N14" s="136">
        <f t="shared" si="2"/>
        <v>0</v>
      </c>
      <c r="O14" s="628">
        <f t="shared" si="3"/>
        <v>565200</v>
      </c>
      <c r="P14" s="368"/>
      <c r="Q14" s="368"/>
      <c r="R14" s="368"/>
    </row>
    <row r="15" spans="1:18" s="371" customFormat="1" ht="27" customHeight="1">
      <c r="A15" s="373">
        <v>8</v>
      </c>
      <c r="B15" s="373">
        <v>43</v>
      </c>
      <c r="C15" s="374" t="s">
        <v>40</v>
      </c>
      <c r="D15" s="373">
        <v>7</v>
      </c>
      <c r="E15" s="136" t="e">
        <f>#REF!+#REF!</f>
        <v>#REF!</v>
      </c>
      <c r="F15" s="136"/>
      <c r="G15" s="136"/>
      <c r="H15" s="619"/>
      <c r="I15" s="136">
        <f>+[5]สรุปงบขุดจังหวัด!D17</f>
        <v>524400</v>
      </c>
      <c r="J15" s="136">
        <f>+[5]สรุปงบขุดจังหวัด!H17</f>
        <v>0</v>
      </c>
      <c r="K15" s="136">
        <f t="shared" si="0"/>
        <v>0</v>
      </c>
      <c r="L15" s="136">
        <f>+[5]สรุปงบขุดจังหวัด!J17</f>
        <v>45200</v>
      </c>
      <c r="M15" s="136">
        <f t="shared" si="1"/>
        <v>45200</v>
      </c>
      <c r="N15" s="389">
        <f t="shared" si="2"/>
        <v>8.6193745232646837</v>
      </c>
      <c r="O15" s="628">
        <f t="shared" si="3"/>
        <v>479200</v>
      </c>
      <c r="P15" s="368"/>
      <c r="Q15" s="368"/>
      <c r="R15" s="368"/>
    </row>
    <row r="16" spans="1:18" s="371" customFormat="1" ht="27" customHeight="1">
      <c r="A16" s="373">
        <v>9</v>
      </c>
      <c r="B16" s="373">
        <v>44</v>
      </c>
      <c r="C16" s="374" t="s">
        <v>41</v>
      </c>
      <c r="D16" s="373">
        <v>4</v>
      </c>
      <c r="E16" s="136" t="e">
        <f>#REF!+#REF!+#REF!</f>
        <v>#REF!</v>
      </c>
      <c r="F16" s="136"/>
      <c r="G16" s="136"/>
      <c r="H16" s="619"/>
      <c r="I16" s="136">
        <f>+[5]สรุปงบขุดจังหวัด!D18</f>
        <v>402400</v>
      </c>
      <c r="J16" s="136">
        <f>+[5]สรุปงบขุดจังหวัด!H18</f>
        <v>0</v>
      </c>
      <c r="K16" s="136">
        <f t="shared" si="0"/>
        <v>0</v>
      </c>
      <c r="L16" s="136">
        <f>+[5]สรุปงบขุดจังหวัด!J18</f>
        <v>0</v>
      </c>
      <c r="M16" s="136">
        <f t="shared" si="1"/>
        <v>0</v>
      </c>
      <c r="N16" s="136">
        <f t="shared" si="2"/>
        <v>0</v>
      </c>
      <c r="O16" s="628">
        <f t="shared" si="3"/>
        <v>402400</v>
      </c>
      <c r="P16" s="368"/>
      <c r="Q16" s="368"/>
      <c r="R16" s="368"/>
    </row>
    <row r="17" spans="1:18" s="371" customFormat="1" ht="27" customHeight="1">
      <c r="A17" s="373">
        <v>10</v>
      </c>
      <c r="B17" s="373">
        <v>46</v>
      </c>
      <c r="C17" s="374" t="s">
        <v>42</v>
      </c>
      <c r="D17" s="373">
        <v>1</v>
      </c>
      <c r="E17" s="136" t="e">
        <f>#REF!+#REF!</f>
        <v>#REF!</v>
      </c>
      <c r="F17" s="136"/>
      <c r="G17" s="136"/>
      <c r="H17" s="619"/>
      <c r="I17" s="136">
        <f>+[5]สรุปงบขุดจังหวัด!D19</f>
        <v>135600</v>
      </c>
      <c r="J17" s="136">
        <f>+[5]สรุปงบขุดจังหวัด!H19</f>
        <v>0</v>
      </c>
      <c r="K17" s="136">
        <f t="shared" si="0"/>
        <v>0</v>
      </c>
      <c r="L17" s="136">
        <f>+[5]สรุปงบขุดจังหวัด!J19</f>
        <v>0</v>
      </c>
      <c r="M17" s="136">
        <f t="shared" si="1"/>
        <v>0</v>
      </c>
      <c r="N17" s="136">
        <f t="shared" si="2"/>
        <v>0</v>
      </c>
      <c r="O17" s="628">
        <f t="shared" si="3"/>
        <v>135600</v>
      </c>
      <c r="P17" s="368"/>
      <c r="Q17" s="368"/>
      <c r="R17" s="368"/>
    </row>
    <row r="18" spans="1:18" s="371" customFormat="1" ht="27" customHeight="1">
      <c r="A18" s="373">
        <v>11</v>
      </c>
      <c r="B18" s="373">
        <v>47</v>
      </c>
      <c r="C18" s="374" t="s">
        <v>170</v>
      </c>
      <c r="D18" s="373">
        <v>9</v>
      </c>
      <c r="E18" s="136" t="e">
        <f>#REF!</f>
        <v>#REF!</v>
      </c>
      <c r="F18" s="136"/>
      <c r="G18" s="136"/>
      <c r="H18" s="619"/>
      <c r="I18" s="136">
        <f>+[5]สรุปงบขุดจังหวัด!D20</f>
        <v>1356400</v>
      </c>
      <c r="J18" s="136">
        <f>+[5]สรุปงบขุดจังหวัด!H20</f>
        <v>0</v>
      </c>
      <c r="K18" s="136">
        <f t="shared" si="0"/>
        <v>0</v>
      </c>
      <c r="L18" s="136">
        <f>+[5]สรุปงบขุดจังหวัด!J20</f>
        <v>0</v>
      </c>
      <c r="M18" s="136">
        <f t="shared" si="1"/>
        <v>0</v>
      </c>
      <c r="N18" s="136">
        <f t="shared" si="2"/>
        <v>0</v>
      </c>
      <c r="O18" s="628">
        <f t="shared" si="3"/>
        <v>1356400</v>
      </c>
      <c r="P18" s="368"/>
      <c r="Q18" s="368"/>
      <c r="R18" s="368"/>
    </row>
    <row r="19" spans="1:18" s="371" customFormat="1" ht="27" customHeight="1">
      <c r="A19" s="373">
        <v>12</v>
      </c>
      <c r="B19" s="373">
        <v>48</v>
      </c>
      <c r="C19" s="374" t="s">
        <v>43</v>
      </c>
      <c r="D19" s="373">
        <v>5</v>
      </c>
      <c r="E19" s="136" t="e">
        <f>#REF!+#REF!+#REF!+#REF!+#REF!</f>
        <v>#REF!</v>
      </c>
      <c r="F19" s="136"/>
      <c r="G19" s="136"/>
      <c r="H19" s="619"/>
      <c r="I19" s="136">
        <f>+[5]สรุปงบขุดจังหวัด!D21</f>
        <v>773200</v>
      </c>
      <c r="J19" s="136">
        <f>+[5]สรุปงบขุดจังหวัด!H21</f>
        <v>0</v>
      </c>
      <c r="K19" s="136">
        <f t="shared" si="0"/>
        <v>0</v>
      </c>
      <c r="L19" s="136">
        <f>+[5]สรุปงบขุดจังหวัด!J21</f>
        <v>253200</v>
      </c>
      <c r="M19" s="136">
        <f t="shared" si="1"/>
        <v>253200</v>
      </c>
      <c r="N19" s="389">
        <f t="shared" si="2"/>
        <v>32.74702534919814</v>
      </c>
      <c r="O19" s="628">
        <f t="shared" si="3"/>
        <v>520000</v>
      </c>
      <c r="P19" s="368"/>
      <c r="Q19" s="368"/>
      <c r="R19" s="368"/>
    </row>
    <row r="20" spans="1:18" s="371" customFormat="1" ht="27" customHeight="1">
      <c r="A20" s="373">
        <v>13</v>
      </c>
      <c r="B20" s="373">
        <v>49</v>
      </c>
      <c r="C20" s="374" t="s">
        <v>171</v>
      </c>
      <c r="D20" s="373">
        <v>6</v>
      </c>
      <c r="E20" s="628" t="e">
        <f>#REF!+#REF!+#REF!</f>
        <v>#REF!</v>
      </c>
      <c r="F20" s="136"/>
      <c r="G20" s="136"/>
      <c r="H20" s="619"/>
      <c r="I20" s="136">
        <f>+[5]สรุปงบขุดจังหวัด!D22</f>
        <v>551600</v>
      </c>
      <c r="J20" s="628">
        <f>+[5]สรุปงบขุดจังหวัด!H22</f>
        <v>0</v>
      </c>
      <c r="K20" s="136">
        <f t="shared" si="0"/>
        <v>0</v>
      </c>
      <c r="L20" s="136">
        <f>+[5]สรุปงบขุดจังหวัด!J22</f>
        <v>0</v>
      </c>
      <c r="M20" s="136">
        <f t="shared" si="1"/>
        <v>0</v>
      </c>
      <c r="N20" s="136">
        <f t="shared" si="2"/>
        <v>0</v>
      </c>
      <c r="O20" s="628">
        <f t="shared" si="3"/>
        <v>551600</v>
      </c>
      <c r="P20" s="368"/>
      <c r="Q20" s="368"/>
      <c r="R20" s="368"/>
    </row>
    <row r="21" spans="1:18" s="371" customFormat="1" ht="27" customHeight="1">
      <c r="A21" s="373">
        <v>14</v>
      </c>
      <c r="B21" s="373">
        <v>50</v>
      </c>
      <c r="C21" s="374" t="s">
        <v>44</v>
      </c>
      <c r="D21" s="373">
        <v>7</v>
      </c>
      <c r="E21" s="136" t="e">
        <f>#REF!+#REF!+#REF!+#REF!+#REF!+#REF!+#REF!+#REF!+#REF!+#REF!+#REF!+#REF!+#REF!+#REF!+#REF!+#REF!+#REF!+#REF!+#REF!+#REF!+#REF!+#REF!+#REF!+#REF!+#REF!+#REF!</f>
        <v>#REF!</v>
      </c>
      <c r="F21" s="136"/>
      <c r="G21" s="136"/>
      <c r="H21" s="619"/>
      <c r="I21" s="136">
        <f>+[5]สรุปงบขุดจังหวัด!D23</f>
        <v>1085200</v>
      </c>
      <c r="J21" s="136">
        <f>+[5]สรุปงบขุดจังหวัด!H23</f>
        <v>0</v>
      </c>
      <c r="K21" s="136">
        <f t="shared" si="0"/>
        <v>0</v>
      </c>
      <c r="L21" s="136">
        <f>+[5]สรุปงบขุดจังหวัด!J23</f>
        <v>101672</v>
      </c>
      <c r="M21" s="136">
        <f t="shared" si="1"/>
        <v>101672</v>
      </c>
      <c r="N21" s="389">
        <f t="shared" si="2"/>
        <v>9.3689642462218945</v>
      </c>
      <c r="O21" s="628">
        <f t="shared" si="3"/>
        <v>983528</v>
      </c>
      <c r="P21" s="368"/>
      <c r="Q21" s="368"/>
      <c r="R21" s="368"/>
    </row>
    <row r="22" spans="1:18" s="371" customFormat="1" ht="27" customHeight="1">
      <c r="A22" s="629">
        <v>15</v>
      </c>
      <c r="B22" s="629">
        <v>51</v>
      </c>
      <c r="C22" s="630" t="s">
        <v>172</v>
      </c>
      <c r="D22" s="629">
        <v>7</v>
      </c>
      <c r="E22" s="631" t="e">
        <f>#REF!+#REF!+#REF!+#REF!+#REF!+#REF!+#REF!+#REF!+#REF!+#REF!+#REF!+#REF!+#REF!+#REF!+#REF!+#REF!+#REF!+#REF!+#REF!</f>
        <v>#REF!</v>
      </c>
      <c r="F22" s="631"/>
      <c r="G22" s="631"/>
      <c r="H22" s="232"/>
      <c r="I22" s="631">
        <f>+[5]สรุปงบขุดจังหวัด!D24</f>
        <v>863600</v>
      </c>
      <c r="J22" s="631">
        <f>+[5]สรุปงบขุดจังหวัด!H24</f>
        <v>0</v>
      </c>
      <c r="K22" s="631">
        <f t="shared" si="0"/>
        <v>0</v>
      </c>
      <c r="L22" s="631">
        <f>+[5]สรุปงบขุดจังหวัด!J24</f>
        <v>0</v>
      </c>
      <c r="M22" s="631">
        <f t="shared" si="1"/>
        <v>0</v>
      </c>
      <c r="N22" s="631">
        <f t="shared" si="2"/>
        <v>0</v>
      </c>
      <c r="O22" s="632">
        <f t="shared" si="3"/>
        <v>863600</v>
      </c>
      <c r="P22" s="368"/>
      <c r="Q22" s="368"/>
      <c r="R22" s="368"/>
    </row>
    <row r="23" spans="1:18" s="371" customFormat="1" ht="27" customHeight="1">
      <c r="A23" s="633">
        <v>16</v>
      </c>
      <c r="B23" s="633">
        <v>52</v>
      </c>
      <c r="C23" s="634" t="s">
        <v>45</v>
      </c>
      <c r="D23" s="633">
        <v>8</v>
      </c>
      <c r="E23" s="635" t="e">
        <f>#REF!+#REF!+#REF!+#REF!+#REF!+#REF!+#REF!+#REF!+#REF!+#REF!+#REF!+#REF!+#REF!+#REF!+#REF!</f>
        <v>#REF!</v>
      </c>
      <c r="F23" s="635"/>
      <c r="G23" s="635"/>
      <c r="H23" s="636"/>
      <c r="I23" s="635">
        <f>+[5]สรุปงบขุดจังหวัด!D25</f>
        <v>863600</v>
      </c>
      <c r="J23" s="635">
        <f>+[5]สรุปงบขุดจังหวัด!H25</f>
        <v>0</v>
      </c>
      <c r="K23" s="635">
        <f t="shared" si="0"/>
        <v>0</v>
      </c>
      <c r="L23" s="635">
        <f>+[5]สรุปงบขุดจังหวัด!J25</f>
        <v>0</v>
      </c>
      <c r="M23" s="635">
        <f t="shared" si="1"/>
        <v>0</v>
      </c>
      <c r="N23" s="635">
        <f t="shared" si="2"/>
        <v>0</v>
      </c>
      <c r="O23" s="637">
        <f t="shared" si="3"/>
        <v>863600</v>
      </c>
      <c r="P23" s="368"/>
      <c r="Q23" s="368"/>
      <c r="R23" s="368"/>
    </row>
    <row r="24" spans="1:18" s="371" customFormat="1" ht="27" customHeight="1">
      <c r="A24" s="373">
        <v>17</v>
      </c>
      <c r="B24" s="373">
        <v>53</v>
      </c>
      <c r="C24" s="374" t="s">
        <v>46</v>
      </c>
      <c r="D24" s="373">
        <f>3+1</f>
        <v>4</v>
      </c>
      <c r="E24" s="136" t="e">
        <f>#REF!+#REF!+#REF!+#REF!+#REF!+#REF!+#REF!+#REF!+#REF!+#REF!+#REF!+#REF!+#REF!+#REF!+#REF!+#REF!+#REF!</f>
        <v>#REF!</v>
      </c>
      <c r="F24" s="136"/>
      <c r="G24" s="136"/>
      <c r="H24" s="619"/>
      <c r="I24" s="136">
        <f>+[5]สรุปงบขุดจังหวัด!D26+[5]รายละเอียดงบลงทุน!K18</f>
        <v>371980</v>
      </c>
      <c r="J24" s="136">
        <f>+[5]สรุปงบขุดจังหวัด!H26+[5]รายละเอียดงบลงทุน!L18</f>
        <v>156880</v>
      </c>
      <c r="K24" s="389">
        <f t="shared" si="0"/>
        <v>42.174310446798216</v>
      </c>
      <c r="L24" s="136">
        <f>+[5]สรุปงบขุดจังหวัด!J26+[5]รายละเอียดงบลงทุน!N18</f>
        <v>0</v>
      </c>
      <c r="M24" s="136">
        <f t="shared" si="1"/>
        <v>156880</v>
      </c>
      <c r="N24" s="389">
        <f t="shared" si="2"/>
        <v>42.174310446798216</v>
      </c>
      <c r="O24" s="628">
        <f t="shared" si="3"/>
        <v>215100</v>
      </c>
      <c r="P24" s="368"/>
      <c r="Q24" s="368"/>
      <c r="R24" s="368"/>
    </row>
    <row r="25" spans="1:18" s="371" customFormat="1" ht="27" customHeight="1">
      <c r="A25" s="373">
        <v>18</v>
      </c>
      <c r="B25" s="373">
        <v>54</v>
      </c>
      <c r="C25" s="374" t="s">
        <v>47</v>
      </c>
      <c r="D25" s="373">
        <v>5</v>
      </c>
      <c r="E25" s="136" t="e">
        <f>#REF!+#REF!+#REF!+#REF!+#REF!+#REF!+#REF!+#REF!</f>
        <v>#REF!</v>
      </c>
      <c r="F25" s="136"/>
      <c r="G25" s="136"/>
      <c r="H25" s="619"/>
      <c r="I25" s="136">
        <f>+[5]สรุปงบขุดจังหวัด!D27</f>
        <v>1324800</v>
      </c>
      <c r="J25" s="136">
        <f>+[5]สรุปงบขุดจังหวัด!H27</f>
        <v>0</v>
      </c>
      <c r="K25" s="136">
        <f t="shared" si="0"/>
        <v>0</v>
      </c>
      <c r="L25" s="136">
        <f>+[5]สรุปงบขุดจังหวัด!J27</f>
        <v>0</v>
      </c>
      <c r="M25" s="136">
        <f t="shared" si="1"/>
        <v>0</v>
      </c>
      <c r="N25" s="136">
        <f t="shared" si="2"/>
        <v>0</v>
      </c>
      <c r="O25" s="628">
        <f t="shared" si="3"/>
        <v>1324800</v>
      </c>
      <c r="P25" s="368"/>
      <c r="Q25" s="368"/>
      <c r="R25" s="368"/>
    </row>
    <row r="26" spans="1:18" s="371" customFormat="1" ht="27" customHeight="1">
      <c r="A26" s="373">
        <v>19</v>
      </c>
      <c r="B26" s="373">
        <v>55</v>
      </c>
      <c r="C26" s="374" t="s">
        <v>48</v>
      </c>
      <c r="D26" s="373">
        <v>10</v>
      </c>
      <c r="E26" s="136" t="e">
        <f>#REF!+#REF!+#REF!+#REF!+#REF!+#REF!+#REF!+#REF!+#REF!+#REF!+#REF!+#REF!+#REF!</f>
        <v>#REF!</v>
      </c>
      <c r="F26" s="136"/>
      <c r="G26" s="136"/>
      <c r="H26" s="619"/>
      <c r="I26" s="136">
        <f>+[5]สรุปงบขุดจังหวัด!D28</f>
        <v>940400</v>
      </c>
      <c r="J26" s="136">
        <f>+[5]สรุปงบขุดจังหวัด!H28</f>
        <v>0</v>
      </c>
      <c r="K26" s="136">
        <f t="shared" si="0"/>
        <v>0</v>
      </c>
      <c r="L26" s="136">
        <f>+[5]สรุปงบขุดจังหวัด!J28</f>
        <v>0</v>
      </c>
      <c r="M26" s="136">
        <f t="shared" si="1"/>
        <v>0</v>
      </c>
      <c r="N26" s="136">
        <f t="shared" si="2"/>
        <v>0</v>
      </c>
      <c r="O26" s="628">
        <f t="shared" si="3"/>
        <v>940400</v>
      </c>
      <c r="P26" s="368"/>
      <c r="Q26" s="368"/>
      <c r="R26" s="368"/>
    </row>
    <row r="27" spans="1:18" s="371" customFormat="1" ht="27" customHeight="1">
      <c r="A27" s="373">
        <v>20</v>
      </c>
      <c r="B27" s="373">
        <v>56</v>
      </c>
      <c r="C27" s="374" t="s">
        <v>49</v>
      </c>
      <c r="D27" s="373">
        <v>2</v>
      </c>
      <c r="E27" s="136" t="e">
        <f>#REF!+#REF!+#REF!+#REF!+#REF!+#REF!+#REF!+#REF!+#REF!+#REF!+#REF!</f>
        <v>#REF!</v>
      </c>
      <c r="F27" s="136"/>
      <c r="G27" s="136"/>
      <c r="H27" s="619"/>
      <c r="I27" s="136">
        <f>+[5]สรุปงบขุดจังหวัด!D29</f>
        <v>312000</v>
      </c>
      <c r="J27" s="136">
        <f>+[5]สรุปงบขุดจังหวัด!H29</f>
        <v>0</v>
      </c>
      <c r="K27" s="136">
        <f t="shared" si="0"/>
        <v>0</v>
      </c>
      <c r="L27" s="136">
        <f>+[5]สรุปงบขุดจังหวัด!J29</f>
        <v>0</v>
      </c>
      <c r="M27" s="136">
        <f t="shared" si="1"/>
        <v>0</v>
      </c>
      <c r="N27" s="136">
        <f t="shared" si="2"/>
        <v>0</v>
      </c>
      <c r="O27" s="628">
        <f t="shared" si="3"/>
        <v>312000</v>
      </c>
      <c r="P27" s="368"/>
      <c r="Q27" s="368"/>
      <c r="R27" s="368"/>
    </row>
    <row r="28" spans="1:18" s="371" customFormat="1" ht="27" customHeight="1">
      <c r="A28" s="373">
        <v>21</v>
      </c>
      <c r="B28" s="373">
        <v>57</v>
      </c>
      <c r="C28" s="374" t="s">
        <v>50</v>
      </c>
      <c r="D28" s="373">
        <v>15</v>
      </c>
      <c r="E28" s="136" t="e">
        <f>#REF!+#REF!+#REF!+#REF!+#REF!+#REF!</f>
        <v>#REF!</v>
      </c>
      <c r="F28" s="136"/>
      <c r="G28" s="136"/>
      <c r="H28" s="619"/>
      <c r="I28" s="136">
        <f>+[5]สรุปงบขุดจังหวัด!D30</f>
        <v>2812400</v>
      </c>
      <c r="J28" s="136">
        <f>+[5]สรุปงบขุดจังหวัด!H30</f>
        <v>0</v>
      </c>
      <c r="K28" s="136">
        <f t="shared" si="0"/>
        <v>0</v>
      </c>
      <c r="L28" s="136">
        <f>+[5]สรุปงบขุดจังหวัด!J30</f>
        <v>0</v>
      </c>
      <c r="M28" s="136">
        <f t="shared" si="1"/>
        <v>0</v>
      </c>
      <c r="N28" s="136">
        <f t="shared" si="2"/>
        <v>0</v>
      </c>
      <c r="O28" s="628">
        <f t="shared" si="3"/>
        <v>2812400</v>
      </c>
      <c r="P28" s="368"/>
      <c r="Q28" s="368"/>
      <c r="R28" s="368"/>
    </row>
    <row r="29" spans="1:18" s="371" customFormat="1" ht="27" customHeight="1">
      <c r="A29" s="373">
        <v>22</v>
      </c>
      <c r="B29" s="373">
        <v>58</v>
      </c>
      <c r="C29" s="374" t="s">
        <v>103</v>
      </c>
      <c r="D29" s="373">
        <v>13</v>
      </c>
      <c r="E29" s="136" t="e">
        <f>#REF!+#REF!+#REF!+#REF!+#REF!+#REF!+#REF!+#REF!+#REF!+#REF!+#REF!</f>
        <v>#REF!</v>
      </c>
      <c r="F29" s="136"/>
      <c r="G29" s="136"/>
      <c r="H29" s="619"/>
      <c r="I29" s="136">
        <f>+[5]สรุปงบขุดจังหวัด!D31</f>
        <v>1193600</v>
      </c>
      <c r="J29" s="136">
        <f>+[5]สรุปงบขุดจังหวัด!H31</f>
        <v>0</v>
      </c>
      <c r="K29" s="136">
        <f t="shared" si="0"/>
        <v>0</v>
      </c>
      <c r="L29" s="136">
        <f>+[5]สรุปงบขุดจังหวัด!J31</f>
        <v>0</v>
      </c>
      <c r="M29" s="136">
        <f t="shared" si="1"/>
        <v>0</v>
      </c>
      <c r="N29" s="136">
        <f t="shared" si="2"/>
        <v>0</v>
      </c>
      <c r="O29" s="628">
        <f t="shared" si="3"/>
        <v>1193600</v>
      </c>
      <c r="P29" s="368"/>
      <c r="Q29" s="368"/>
      <c r="R29" s="368"/>
    </row>
    <row r="30" spans="1:18" s="371" customFormat="1" ht="27" customHeight="1">
      <c r="A30" s="373">
        <v>23</v>
      </c>
      <c r="B30" s="373">
        <v>59</v>
      </c>
      <c r="C30" s="374" t="s">
        <v>51</v>
      </c>
      <c r="D30" s="373">
        <f>1+1</f>
        <v>2</v>
      </c>
      <c r="E30" s="136" t="e">
        <f>#REF!+#REF!+#REF!+#REF!+#REF!+#REF!+#REF!+#REF!+#REF!+#REF!+#REF!+#REF!+#REF!+#REF!+#REF!+#REF!+#REF!+#REF!+#REF!+#REF!+#REF!+#REF!+#REF!+#REF!+#REF!+#REF!+#REF!+#REF!</f>
        <v>#REF!</v>
      </c>
      <c r="F30" s="136"/>
      <c r="G30" s="136"/>
      <c r="H30" s="619"/>
      <c r="I30" s="136">
        <f>+[5]สรุปงบขุดจังหวัด!D32+[5]รายละเอียดงบลงทุน!K17</f>
        <v>514000</v>
      </c>
      <c r="J30" s="136">
        <f>+[5]สรุปงบขุดจังหวัด!H32+[5]รายละเอียดงบลงทุน!L17</f>
        <v>0</v>
      </c>
      <c r="K30" s="136">
        <f t="shared" si="0"/>
        <v>0</v>
      </c>
      <c r="L30" s="136">
        <f>+[5]สรุปงบขุดจังหวัด!J32+[5]รายละเอียดงบลงทุน!N17</f>
        <v>410000</v>
      </c>
      <c r="M30" s="136">
        <f t="shared" si="1"/>
        <v>410000</v>
      </c>
      <c r="N30" s="389">
        <f t="shared" si="2"/>
        <v>79.766536964980546</v>
      </c>
      <c r="O30" s="628">
        <f t="shared" si="3"/>
        <v>104000</v>
      </c>
      <c r="P30" s="368"/>
      <c r="Q30" s="368"/>
      <c r="R30" s="368"/>
    </row>
    <row r="31" spans="1:18" s="371" customFormat="1" ht="27" customHeight="1">
      <c r="A31" s="373">
        <v>24</v>
      </c>
      <c r="B31" s="373">
        <v>60</v>
      </c>
      <c r="C31" s="374" t="s">
        <v>21</v>
      </c>
      <c r="D31" s="373">
        <v>3</v>
      </c>
      <c r="E31" s="136" t="e">
        <f>#REF!+#REF!+#REF!+#REF!+#REF!+#REF!+#REF!+#REF!+#REF!+#REF!+#REF!</f>
        <v>#REF!</v>
      </c>
      <c r="F31" s="136"/>
      <c r="G31" s="136"/>
      <c r="H31" s="619"/>
      <c r="I31" s="136">
        <f>+[5]สรุปงบขุดจังหวัด!D33</f>
        <v>135600</v>
      </c>
      <c r="J31" s="136">
        <f>+[5]สรุปงบขุดจังหวัด!H33</f>
        <v>0</v>
      </c>
      <c r="K31" s="136">
        <f t="shared" si="0"/>
        <v>0</v>
      </c>
      <c r="L31" s="136">
        <f>+[5]สรุปงบขุดจังหวัด!J33</f>
        <v>0</v>
      </c>
      <c r="M31" s="136">
        <f t="shared" si="1"/>
        <v>0</v>
      </c>
      <c r="N31" s="136">
        <f t="shared" si="2"/>
        <v>0</v>
      </c>
      <c r="O31" s="628">
        <f t="shared" si="3"/>
        <v>135600</v>
      </c>
      <c r="P31" s="368"/>
      <c r="Q31" s="368"/>
      <c r="R31" s="368"/>
    </row>
    <row r="32" spans="1:18" s="371" customFormat="1" ht="27" customHeight="1">
      <c r="A32" s="373">
        <v>25</v>
      </c>
      <c r="B32" s="373">
        <v>62</v>
      </c>
      <c r="C32" s="374" t="s">
        <v>23</v>
      </c>
      <c r="D32" s="373">
        <v>2</v>
      </c>
      <c r="E32" s="136" t="e">
        <f>#REF!+#REF!+#REF!+#REF!+#REF!+#REF!+#REF!+#REF!+#REF!+#REF!+#REF!+#REF!+#REF!+#REF!+#REF!+#REF!</f>
        <v>#REF!</v>
      </c>
      <c r="F32" s="136"/>
      <c r="G32" s="136"/>
      <c r="H32" s="619"/>
      <c r="I32" s="136">
        <f>+[5]สรุปงบขุดจังหวัด!D34</f>
        <v>149200</v>
      </c>
      <c r="J32" s="136">
        <f>+[5]สรุปงบขุดจังหวัด!H34</f>
        <v>0</v>
      </c>
      <c r="K32" s="136">
        <f t="shared" si="0"/>
        <v>0</v>
      </c>
      <c r="L32" s="136">
        <f>+[5]สรุปงบขุดจังหวัด!J34</f>
        <v>0</v>
      </c>
      <c r="M32" s="136">
        <f t="shared" si="1"/>
        <v>0</v>
      </c>
      <c r="N32" s="136">
        <f t="shared" si="2"/>
        <v>0</v>
      </c>
      <c r="O32" s="628">
        <f t="shared" si="3"/>
        <v>149200</v>
      </c>
      <c r="P32" s="368"/>
      <c r="Q32" s="368"/>
      <c r="R32" s="368"/>
    </row>
    <row r="33" spans="1:18" s="371" customFormat="1" ht="27" customHeight="1">
      <c r="A33" s="373">
        <v>26</v>
      </c>
      <c r="B33" s="373">
        <v>64</v>
      </c>
      <c r="C33" s="374" t="s">
        <v>173</v>
      </c>
      <c r="D33" s="373">
        <f>3+1</f>
        <v>4</v>
      </c>
      <c r="E33" s="136" t="e">
        <f>#REF!+#REF!+#REF!+#REF!+#REF!+#REF!</f>
        <v>#REF!</v>
      </c>
      <c r="F33" s="136"/>
      <c r="G33" s="136"/>
      <c r="H33" s="619"/>
      <c r="I33" s="136">
        <f>+[5]สรุปงบขุดจังหวัด!D35+[5]รายละเอียดงบลงทุน!K36</f>
        <v>703200</v>
      </c>
      <c r="J33" s="136">
        <f>+[5]สรุปงบขุดจังหวัด!H35+[5]รายละเอียดงบลงทุน!L36</f>
        <v>0</v>
      </c>
      <c r="K33" s="136">
        <f t="shared" si="0"/>
        <v>0</v>
      </c>
      <c r="L33" s="136">
        <f>+[5]สรุปงบขุดจังหวัด!J35+[5]รายละเอียดงบลงทุน!N36</f>
        <v>0</v>
      </c>
      <c r="M33" s="136">
        <f t="shared" si="1"/>
        <v>0</v>
      </c>
      <c r="N33" s="136">
        <f t="shared" si="2"/>
        <v>0</v>
      </c>
      <c r="O33" s="628">
        <f t="shared" si="3"/>
        <v>703200</v>
      </c>
      <c r="P33" s="368"/>
      <c r="Q33" s="368"/>
      <c r="R33" s="368"/>
    </row>
    <row r="34" spans="1:18" s="371" customFormat="1" ht="27" customHeight="1">
      <c r="A34" s="373">
        <v>27</v>
      </c>
      <c r="B34" s="373">
        <v>66</v>
      </c>
      <c r="C34" s="374" t="s">
        <v>54</v>
      </c>
      <c r="D34" s="373">
        <v>2</v>
      </c>
      <c r="E34" s="136" t="e">
        <f>#REF!+#REF!+#REF!+#REF!+#REF!+#REF!+#REF!+#REF!+#REF!+#REF!+#REF!+#REF!+#REF!</f>
        <v>#REF!</v>
      </c>
      <c r="F34" s="136"/>
      <c r="G34" s="136"/>
      <c r="H34" s="619"/>
      <c r="I34" s="136">
        <f>+[5]สรุปงบขุดจังหวัด!D36</f>
        <v>149200</v>
      </c>
      <c r="J34" s="136">
        <f>+[5]สรุปงบขุดจังหวัด!H36</f>
        <v>0</v>
      </c>
      <c r="K34" s="1074">
        <f t="shared" si="0"/>
        <v>0</v>
      </c>
      <c r="L34" s="136">
        <f>+[5]สรุปงบขุดจังหวัด!J36</f>
        <v>104000</v>
      </c>
      <c r="M34" s="136">
        <f t="shared" si="1"/>
        <v>104000</v>
      </c>
      <c r="N34" s="389">
        <f t="shared" si="2"/>
        <v>69.705093833780154</v>
      </c>
      <c r="O34" s="628">
        <f t="shared" si="3"/>
        <v>45200</v>
      </c>
      <c r="P34" s="368"/>
      <c r="Q34" s="368"/>
      <c r="R34" s="368"/>
    </row>
    <row r="35" spans="1:18" s="371" customFormat="1" ht="27" customHeight="1">
      <c r="A35" s="373">
        <v>28</v>
      </c>
      <c r="B35" s="373">
        <v>67</v>
      </c>
      <c r="C35" s="374" t="s">
        <v>55</v>
      </c>
      <c r="D35" s="373">
        <v>7</v>
      </c>
      <c r="E35" s="136" t="e">
        <f>#REF!+#REF!+#REF!+#REF!+#REF!+#REF!+#REF!+#REF!+#REF!+#REF!+#REF!+#REF!+#REF!+#REF!+#REF!</f>
        <v>#REF!</v>
      </c>
      <c r="F35" s="136"/>
      <c r="G35" s="136"/>
      <c r="H35" s="619"/>
      <c r="I35" s="136">
        <f>+[5]สรุปงบขุดจังหวัด!D37</f>
        <v>791200</v>
      </c>
      <c r="J35" s="136">
        <f>+[5]สรุปงบขุดจังหวัด!H37</f>
        <v>0</v>
      </c>
      <c r="K35" s="136">
        <f t="shared" si="0"/>
        <v>0</v>
      </c>
      <c r="L35" s="136">
        <f>+[5]สรุปงบขุดจังหวัด!J37</f>
        <v>0</v>
      </c>
      <c r="M35" s="136">
        <f t="shared" si="1"/>
        <v>0</v>
      </c>
      <c r="N35" s="136">
        <f t="shared" si="2"/>
        <v>0</v>
      </c>
      <c r="O35" s="628">
        <f t="shared" si="3"/>
        <v>791200</v>
      </c>
      <c r="P35" s="368"/>
      <c r="Q35" s="368"/>
      <c r="R35" s="368"/>
    </row>
    <row r="36" spans="1:18" s="371" customFormat="1" ht="27" customHeight="1">
      <c r="A36" s="373">
        <v>29</v>
      </c>
      <c r="B36" s="373">
        <v>68</v>
      </c>
      <c r="C36" s="374" t="s">
        <v>24</v>
      </c>
      <c r="D36" s="373">
        <v>1</v>
      </c>
      <c r="E36" s="136"/>
      <c r="F36" s="136"/>
      <c r="G36" s="136"/>
      <c r="H36" s="619"/>
      <c r="I36" s="136">
        <f>+[5]รายละเอียดงบลงทุน!K14</f>
        <v>972100</v>
      </c>
      <c r="J36" s="136">
        <f>+[5]รายละเอียดงบลงทุน!L14</f>
        <v>0</v>
      </c>
      <c r="K36" s="136">
        <f t="shared" si="0"/>
        <v>0</v>
      </c>
      <c r="L36" s="136">
        <f>+[5]รายละเอียดงบลงทุน!N14</f>
        <v>950000</v>
      </c>
      <c r="M36" s="136">
        <f t="shared" si="1"/>
        <v>950000</v>
      </c>
      <c r="N36" s="389">
        <f t="shared" si="2"/>
        <v>97.726571340397072</v>
      </c>
      <c r="O36" s="628">
        <f t="shared" si="3"/>
        <v>22100</v>
      </c>
      <c r="P36" s="368"/>
      <c r="Q36" s="368"/>
      <c r="R36" s="368"/>
    </row>
    <row r="37" spans="1:18" s="371" customFormat="1" ht="27" customHeight="1">
      <c r="A37" s="373">
        <v>30</v>
      </c>
      <c r="B37" s="373">
        <v>69</v>
      </c>
      <c r="C37" s="374" t="s">
        <v>56</v>
      </c>
      <c r="D37" s="373">
        <f>1+1</f>
        <v>2</v>
      </c>
      <c r="E37" s="136" t="e">
        <f>#REF!+#REF!+#REF!+#REF!+#REF!+#REF!+#REF!+#REF!+#REF!</f>
        <v>#REF!</v>
      </c>
      <c r="F37" s="136"/>
      <c r="G37" s="136"/>
      <c r="H37" s="619"/>
      <c r="I37" s="136">
        <f>+[5]สรุปงบขุดจังหวัด!D38+[5]รายละเอียดงบลงทุน!K12</f>
        <v>545100</v>
      </c>
      <c r="J37" s="136">
        <f>+[5]สรุปงบขุดจังหวัด!H38+[5]รายละเอียดงบลงทุน!L12</f>
        <v>0</v>
      </c>
      <c r="K37" s="136">
        <f t="shared" si="0"/>
        <v>0</v>
      </c>
      <c r="L37" s="136">
        <f>+[5]รายละเอียดงบลงทุน!N12+[5]สรุปงบขุดจังหวัด!J38</f>
        <v>0</v>
      </c>
      <c r="M37" s="136">
        <f t="shared" si="1"/>
        <v>0</v>
      </c>
      <c r="N37" s="136">
        <f t="shared" si="2"/>
        <v>0</v>
      </c>
      <c r="O37" s="628">
        <f t="shared" si="3"/>
        <v>545100</v>
      </c>
      <c r="P37" s="368"/>
      <c r="Q37" s="368"/>
      <c r="R37" s="368"/>
    </row>
    <row r="38" spans="1:18" s="371" customFormat="1" ht="27" customHeight="1">
      <c r="A38" s="373">
        <v>31</v>
      </c>
      <c r="B38" s="373">
        <v>70</v>
      </c>
      <c r="C38" s="374" t="s">
        <v>57</v>
      </c>
      <c r="D38" s="373">
        <v>1</v>
      </c>
      <c r="E38" s="136" t="e">
        <f>#REF!+#REF!+#REF!+#REF!+#REF!+#REF!+#REF!+#REF!+#REF!+#REF!+#REF!+#REF!+#REF!+#REF!+#REF!+#REF!+#REF!+#REF!+#REF!+#REF!+#REF!+#REF!+#REF!+#REF!</f>
        <v>#REF!</v>
      </c>
      <c r="F38" s="136"/>
      <c r="G38" s="136"/>
      <c r="H38" s="619"/>
      <c r="I38" s="136">
        <f>+[5]สรุปงบขุดจังหวัด!D39</f>
        <v>104000</v>
      </c>
      <c r="J38" s="136">
        <f>+[5]สรุปงบขุดจังหวัด!H39</f>
        <v>0</v>
      </c>
      <c r="K38" s="136">
        <f t="shared" si="0"/>
        <v>0</v>
      </c>
      <c r="L38" s="136">
        <f>+[5]สรุปงบขุดจังหวัด!J39</f>
        <v>0</v>
      </c>
      <c r="M38" s="136">
        <f t="shared" si="1"/>
        <v>0</v>
      </c>
      <c r="N38" s="136">
        <f t="shared" si="2"/>
        <v>0</v>
      </c>
      <c r="O38" s="628">
        <f t="shared" si="3"/>
        <v>104000</v>
      </c>
      <c r="P38" s="368"/>
      <c r="Q38" s="368"/>
      <c r="R38" s="368"/>
    </row>
    <row r="39" spans="1:18" s="371" customFormat="1" ht="27" customHeight="1">
      <c r="A39" s="373">
        <v>32</v>
      </c>
      <c r="B39" s="373">
        <v>72</v>
      </c>
      <c r="C39" s="374" t="s">
        <v>59</v>
      </c>
      <c r="D39" s="373">
        <v>1</v>
      </c>
      <c r="E39" s="136" t="e">
        <f>#REF!+#REF!+#REF!+#REF!+#REF!+#REF!+#REF!+#REF!+#REF!+#REF!+#REF!+#REF!+#REF!+#REF!+#REF!+#REF!+#REF!+#REF!</f>
        <v>#REF!</v>
      </c>
      <c r="F39" s="136"/>
      <c r="G39" s="136"/>
      <c r="H39" s="619"/>
      <c r="I39" s="136">
        <f>+[5]สรุปงบขุดจังหวัด!D40</f>
        <v>208000</v>
      </c>
      <c r="J39" s="136">
        <f>+[5]สรุปงบขุดจังหวัด!H40</f>
        <v>0</v>
      </c>
      <c r="K39" s="136">
        <f t="shared" si="0"/>
        <v>0</v>
      </c>
      <c r="L39" s="136">
        <f>+[5]สรุปงบขุดจังหวัด!J40</f>
        <v>0</v>
      </c>
      <c r="M39" s="136">
        <f t="shared" si="1"/>
        <v>0</v>
      </c>
      <c r="N39" s="136">
        <f t="shared" si="2"/>
        <v>0</v>
      </c>
      <c r="O39" s="628">
        <f t="shared" si="3"/>
        <v>208000</v>
      </c>
      <c r="P39" s="368"/>
      <c r="Q39" s="368"/>
      <c r="R39" s="368"/>
    </row>
    <row r="40" spans="1:18" s="371" customFormat="1" ht="27" customHeight="1">
      <c r="A40" s="373">
        <v>33</v>
      </c>
      <c r="B40" s="373">
        <v>75</v>
      </c>
      <c r="C40" s="374" t="s">
        <v>62</v>
      </c>
      <c r="D40" s="373">
        <v>2</v>
      </c>
      <c r="E40" s="136" t="e">
        <f>#REF!+#REF!+#REF!+#REF!+#REF!+#REF!</f>
        <v>#REF!</v>
      </c>
      <c r="F40" s="136"/>
      <c r="G40" s="136"/>
      <c r="H40" s="619"/>
      <c r="I40" s="136">
        <f>+[5]สรุปงบขุดจังหวัด!D41</f>
        <v>149200</v>
      </c>
      <c r="J40" s="136">
        <f>+[5]สรุปงบขุดจังหวัด!H41</f>
        <v>0</v>
      </c>
      <c r="K40" s="1074">
        <f t="shared" si="0"/>
        <v>0</v>
      </c>
      <c r="L40" s="136">
        <f>+[5]สรุปงบขุดจังหวัด!J41</f>
        <v>82165.42</v>
      </c>
      <c r="M40" s="136">
        <f t="shared" si="1"/>
        <v>82165.42</v>
      </c>
      <c r="N40" s="389">
        <f t="shared" si="2"/>
        <v>55.070656836461126</v>
      </c>
      <c r="O40" s="628">
        <f t="shared" si="3"/>
        <v>67034.58</v>
      </c>
      <c r="P40" s="368"/>
      <c r="Q40" s="368"/>
      <c r="R40" s="368"/>
    </row>
    <row r="41" spans="1:18" s="371" customFormat="1" ht="27" customHeight="1">
      <c r="A41" s="629">
        <v>34</v>
      </c>
      <c r="B41" s="629">
        <v>79</v>
      </c>
      <c r="C41" s="630" t="s">
        <v>183</v>
      </c>
      <c r="D41" s="629">
        <v>2</v>
      </c>
      <c r="E41" s="631"/>
      <c r="F41" s="631"/>
      <c r="G41" s="631"/>
      <c r="H41" s="232"/>
      <c r="I41" s="631">
        <f>+[5]รายละเอียดงบลงทุน!K19+[5]รายละเอียดงบลงทุน!K23</f>
        <v>400110</v>
      </c>
      <c r="J41" s="631">
        <f>+[5]รายละเอียดงบลงทุน!L19+[5]รายละเอียดงบลงทุน!L23</f>
        <v>399800</v>
      </c>
      <c r="K41" s="638">
        <f t="shared" si="0"/>
        <v>99.922521306640675</v>
      </c>
      <c r="L41" s="631">
        <f>+[5]รายละเอียดงบลงทุน!N19+[5]รายละเอียดงบลงทุน!N23</f>
        <v>0</v>
      </c>
      <c r="M41" s="631">
        <f t="shared" si="1"/>
        <v>399800</v>
      </c>
      <c r="N41" s="638">
        <f t="shared" si="2"/>
        <v>99.922521306640675</v>
      </c>
      <c r="O41" s="632">
        <f t="shared" si="3"/>
        <v>310</v>
      </c>
      <c r="P41" s="368"/>
      <c r="Q41" s="368"/>
      <c r="R41" s="368"/>
    </row>
    <row r="42" spans="1:18" s="371" customFormat="1" ht="27" customHeight="1">
      <c r="A42" s="633">
        <v>35</v>
      </c>
      <c r="B42" s="633">
        <v>85</v>
      </c>
      <c r="C42" s="634" t="s">
        <v>66</v>
      </c>
      <c r="D42" s="633">
        <v>3</v>
      </c>
      <c r="E42" s="635" t="e">
        <f>#REF!+#REF!+#REF!+#REF!+#REF!+#REF!+#REF!+#REF!+#REF!+#REF!+#REF!+#REF!</f>
        <v>#REF!</v>
      </c>
      <c r="F42" s="635"/>
      <c r="G42" s="635"/>
      <c r="H42" s="636"/>
      <c r="I42" s="635">
        <f>+[5]สรุปงบขุดจังหวัด!D42</f>
        <v>135600</v>
      </c>
      <c r="J42" s="635">
        <f>+[5]สรุปงบขุดจังหวัด!H42</f>
        <v>0</v>
      </c>
      <c r="K42" s="635">
        <f t="shared" si="0"/>
        <v>0</v>
      </c>
      <c r="L42" s="635">
        <f>+[5]สรุปงบขุดจังหวัด!J42</f>
        <v>0</v>
      </c>
      <c r="M42" s="635">
        <f t="shared" si="1"/>
        <v>0</v>
      </c>
      <c r="N42" s="635">
        <f t="shared" si="2"/>
        <v>0</v>
      </c>
      <c r="O42" s="637">
        <f t="shared" si="3"/>
        <v>135600</v>
      </c>
      <c r="P42" s="368"/>
      <c r="Q42" s="368"/>
      <c r="R42" s="368"/>
    </row>
    <row r="43" spans="1:18" s="371" customFormat="1" ht="27" customHeight="1">
      <c r="A43" s="373">
        <v>36</v>
      </c>
      <c r="B43" s="373">
        <v>87</v>
      </c>
      <c r="C43" s="374" t="s">
        <v>67</v>
      </c>
      <c r="D43" s="373">
        <v>1</v>
      </c>
      <c r="E43" s="136"/>
      <c r="F43" s="136"/>
      <c r="G43" s="136"/>
      <c r="H43" s="619"/>
      <c r="I43" s="136">
        <f>+[5]รายละเอียดงบลงทุน!K21</f>
        <v>60000</v>
      </c>
      <c r="J43" s="136">
        <f>+[5]รายละเอียดงบลงทุน!L21</f>
        <v>60000</v>
      </c>
      <c r="K43" s="389">
        <f t="shared" si="0"/>
        <v>100</v>
      </c>
      <c r="L43" s="136">
        <f>+[5]รายละเอียดงบลงทุน!N21</f>
        <v>0</v>
      </c>
      <c r="M43" s="136">
        <f t="shared" si="1"/>
        <v>60000</v>
      </c>
      <c r="N43" s="389">
        <f t="shared" si="2"/>
        <v>100</v>
      </c>
      <c r="O43" s="628">
        <f t="shared" si="3"/>
        <v>0</v>
      </c>
      <c r="P43" s="368"/>
      <c r="Q43" s="368"/>
      <c r="R43" s="368"/>
    </row>
    <row r="44" spans="1:18" s="371" customFormat="1" ht="27" customHeight="1">
      <c r="A44" s="373">
        <v>37</v>
      </c>
      <c r="B44" s="373">
        <v>89</v>
      </c>
      <c r="C44" s="374" t="s">
        <v>174</v>
      </c>
      <c r="D44" s="373">
        <v>3</v>
      </c>
      <c r="E44" s="136" t="e">
        <f>#REF!+#REF!</f>
        <v>#REF!</v>
      </c>
      <c r="F44" s="136"/>
      <c r="G44" s="136"/>
      <c r="H44" s="619"/>
      <c r="I44" s="136">
        <f>+[5]สรุปงบขุดจังหวัด!D43</f>
        <v>194400</v>
      </c>
      <c r="J44" s="136">
        <f>+[5]สรุปงบขุดจังหวัด!H43</f>
        <v>0</v>
      </c>
      <c r="K44" s="136">
        <f t="shared" si="0"/>
        <v>0</v>
      </c>
      <c r="L44" s="136">
        <f>+[5]สรุปงบขุดจังหวัด!J43</f>
        <v>0</v>
      </c>
      <c r="M44" s="136">
        <f t="shared" si="1"/>
        <v>0</v>
      </c>
      <c r="N44" s="136">
        <f t="shared" si="2"/>
        <v>0</v>
      </c>
      <c r="O44" s="628">
        <f t="shared" si="3"/>
        <v>194400</v>
      </c>
      <c r="P44" s="368"/>
      <c r="Q44" s="368"/>
      <c r="R44" s="368"/>
    </row>
    <row r="45" spans="1:18" s="371" customFormat="1" ht="27" customHeight="1">
      <c r="A45" s="373">
        <v>38</v>
      </c>
      <c r="B45" s="373">
        <v>90</v>
      </c>
      <c r="C45" s="374" t="s">
        <v>69</v>
      </c>
      <c r="D45" s="373">
        <v>1</v>
      </c>
      <c r="E45" s="136" t="e">
        <f>#REF!+#REF!+#REF!</f>
        <v>#REF!</v>
      </c>
      <c r="F45" s="136"/>
      <c r="G45" s="136"/>
      <c r="H45" s="619"/>
      <c r="I45" s="136">
        <f>+[5]สรุปงบขุดจังหวัด!D44</f>
        <v>45200</v>
      </c>
      <c r="J45" s="136">
        <f>+[5]สรุปงบขุดจังหวัด!H44</f>
        <v>0</v>
      </c>
      <c r="K45" s="136">
        <f t="shared" si="0"/>
        <v>0</v>
      </c>
      <c r="L45" s="136">
        <f>+[5]สรุปงบขุดจังหวัด!J44</f>
        <v>0</v>
      </c>
      <c r="M45" s="136">
        <f t="shared" si="1"/>
        <v>0</v>
      </c>
      <c r="N45" s="136">
        <f t="shared" si="2"/>
        <v>0</v>
      </c>
      <c r="O45" s="628">
        <f t="shared" si="3"/>
        <v>45200</v>
      </c>
      <c r="P45" s="368"/>
      <c r="Q45" s="368"/>
      <c r="R45" s="368"/>
    </row>
    <row r="46" spans="1:18" s="371" customFormat="1" ht="27" customHeight="1">
      <c r="A46" s="373">
        <v>39</v>
      </c>
      <c r="B46" s="373">
        <v>92</v>
      </c>
      <c r="C46" s="374" t="s">
        <v>71</v>
      </c>
      <c r="D46" s="373">
        <v>2</v>
      </c>
      <c r="E46" s="136" t="e">
        <f>#REF!+#REF!</f>
        <v>#REF!</v>
      </c>
      <c r="F46" s="136"/>
      <c r="G46" s="136"/>
      <c r="H46" s="619"/>
      <c r="I46" s="136">
        <f>+[5]สรุปงบขุดจังหวัด!D45</f>
        <v>149200</v>
      </c>
      <c r="J46" s="136">
        <f>+[5]สรุปงบขุดจังหวัด!H45</f>
        <v>0</v>
      </c>
      <c r="K46" s="1074">
        <f t="shared" si="0"/>
        <v>0</v>
      </c>
      <c r="L46" s="136">
        <f>+[5]สรุปงบขุดจังหวัด!J45</f>
        <v>148000</v>
      </c>
      <c r="M46" s="136">
        <f t="shared" si="1"/>
        <v>148000</v>
      </c>
      <c r="N46" s="389">
        <f t="shared" si="2"/>
        <v>99.195710455764072</v>
      </c>
      <c r="O46" s="628">
        <f t="shared" si="3"/>
        <v>1200</v>
      </c>
      <c r="P46" s="368"/>
      <c r="Q46" s="368"/>
      <c r="R46" s="368"/>
    </row>
    <row r="47" spans="1:18" s="371" customFormat="1" ht="27" customHeight="1">
      <c r="A47" s="373">
        <v>40</v>
      </c>
      <c r="B47" s="373">
        <v>93</v>
      </c>
      <c r="C47" s="374" t="s">
        <v>72</v>
      </c>
      <c r="D47" s="373">
        <f>1+1</f>
        <v>2</v>
      </c>
      <c r="E47" s="136" t="e">
        <f>#REF!+#REF!+#REF!+#REF!</f>
        <v>#REF!</v>
      </c>
      <c r="F47" s="136"/>
      <c r="G47" s="136"/>
      <c r="H47" s="619"/>
      <c r="I47" s="136">
        <f>+[5]สรุปงบขุดจังหวัด!D46+[5]รายละเอียดงบลงทุน!K13</f>
        <v>1174700</v>
      </c>
      <c r="J47" s="136">
        <f>+[5]สรุปงบขุดจังหวัด!H46+[5]รายละเอียดงบลงทุน!L13</f>
        <v>0</v>
      </c>
      <c r="K47" s="136">
        <f t="shared" si="0"/>
        <v>0</v>
      </c>
      <c r="L47" s="136">
        <f>+[5]รายละเอียดงบลงทุน!N13+[5]สรุปงบขุดจังหวัด!J46</f>
        <v>0</v>
      </c>
      <c r="M47" s="136">
        <f t="shared" si="1"/>
        <v>0</v>
      </c>
      <c r="N47" s="136">
        <f t="shared" si="2"/>
        <v>0</v>
      </c>
      <c r="O47" s="628">
        <f t="shared" si="3"/>
        <v>1174700</v>
      </c>
      <c r="P47" s="368"/>
      <c r="Q47" s="368"/>
      <c r="R47" s="368"/>
    </row>
    <row r="48" spans="1:18" s="371" customFormat="1" ht="27" customHeight="1">
      <c r="A48" s="373">
        <v>41</v>
      </c>
      <c r="B48" s="373">
        <v>95</v>
      </c>
      <c r="C48" s="374" t="s">
        <v>73</v>
      </c>
      <c r="D48" s="373">
        <v>3</v>
      </c>
      <c r="E48" s="136" t="e">
        <f>#REF!+#REF!+#REF!+#REF!+#REF!</f>
        <v>#REF!</v>
      </c>
      <c r="F48" s="136"/>
      <c r="G48" s="136"/>
      <c r="H48" s="619"/>
      <c r="I48" s="136">
        <f>+[5]สรุปงบขุดจังหวัด!D47</f>
        <v>253200</v>
      </c>
      <c r="J48" s="136">
        <f>+[5]สรุปงบขุดจังหวัด!H47</f>
        <v>0</v>
      </c>
      <c r="K48" s="136">
        <f t="shared" si="0"/>
        <v>0</v>
      </c>
      <c r="L48" s="136">
        <f>+[5]สรุปงบขุดจังหวัด!J47</f>
        <v>0</v>
      </c>
      <c r="M48" s="136">
        <f t="shared" si="1"/>
        <v>0</v>
      </c>
      <c r="N48" s="136">
        <f t="shared" si="2"/>
        <v>0</v>
      </c>
      <c r="O48" s="628">
        <f t="shared" si="3"/>
        <v>253200</v>
      </c>
      <c r="P48" s="368"/>
      <c r="Q48" s="368"/>
      <c r="R48" s="368"/>
    </row>
    <row r="49" spans="1:18" s="371" customFormat="1" ht="27" customHeight="1">
      <c r="A49" s="373">
        <v>42</v>
      </c>
      <c r="B49" s="373">
        <v>96</v>
      </c>
      <c r="C49" s="374" t="s">
        <v>175</v>
      </c>
      <c r="D49" s="373">
        <v>6</v>
      </c>
      <c r="E49" s="136" t="e">
        <f>#REF!+#REF!+#REF!+#REF!</f>
        <v>#REF!</v>
      </c>
      <c r="F49" s="136"/>
      <c r="G49" s="136"/>
      <c r="H49" s="619"/>
      <c r="I49" s="136">
        <f>+[5]สรุปงบขุดจังหวัด!D48</f>
        <v>524400</v>
      </c>
      <c r="J49" s="136">
        <f>+[5]สรุปงบขุดจังหวัด!H48</f>
        <v>0</v>
      </c>
      <c r="K49" s="136">
        <f t="shared" si="0"/>
        <v>0</v>
      </c>
      <c r="L49" s="136">
        <f>+[5]สรุปงบขุดจังหวัด!J48</f>
        <v>0</v>
      </c>
      <c r="M49" s="136">
        <f t="shared" si="1"/>
        <v>0</v>
      </c>
      <c r="N49" s="136">
        <f t="shared" si="2"/>
        <v>0</v>
      </c>
      <c r="O49" s="628">
        <f t="shared" si="3"/>
        <v>524400</v>
      </c>
      <c r="P49" s="368"/>
      <c r="Q49" s="368"/>
      <c r="R49" s="368"/>
    </row>
    <row r="50" spans="1:18" s="371" customFormat="1" ht="27" customHeight="1">
      <c r="A50" s="373">
        <v>43</v>
      </c>
      <c r="B50" s="373">
        <v>97</v>
      </c>
      <c r="C50" s="374" t="s">
        <v>74</v>
      </c>
      <c r="D50" s="373">
        <v>1</v>
      </c>
      <c r="E50" s="136" t="e">
        <f>#REF!+#REF!+#REF!+#REF!+#REF!+#REF!+#REF!+#REF!+#REF!+#REF!+#REF!+#REF!+#REF!+#REF!+#REF!+#REF!+#REF!+#REF!+#REF!+#REF!+#REF!+#REF!+#REF!</f>
        <v>#REF!</v>
      </c>
      <c r="F50" s="136"/>
      <c r="G50" s="136"/>
      <c r="H50" s="619"/>
      <c r="I50" s="136">
        <f>+[5]สรุปงบขุดจังหวัด!D49</f>
        <v>90400</v>
      </c>
      <c r="J50" s="136">
        <f>+[5]สรุปงบขุดจังหวัด!H49</f>
        <v>0</v>
      </c>
      <c r="K50" s="136">
        <f t="shared" si="0"/>
        <v>0</v>
      </c>
      <c r="L50" s="136">
        <f>+[5]สรุปงบขุดจังหวัด!J49</f>
        <v>0</v>
      </c>
      <c r="M50" s="136">
        <f t="shared" si="1"/>
        <v>0</v>
      </c>
      <c r="N50" s="136">
        <f t="shared" si="2"/>
        <v>0</v>
      </c>
      <c r="O50" s="628">
        <f t="shared" si="3"/>
        <v>90400</v>
      </c>
      <c r="P50" s="368"/>
      <c r="Q50" s="368"/>
      <c r="R50" s="368"/>
    </row>
    <row r="51" spans="1:18" s="371" customFormat="1" ht="27" customHeight="1">
      <c r="A51" s="373">
        <v>44</v>
      </c>
      <c r="B51" s="373">
        <v>98</v>
      </c>
      <c r="C51" s="374" t="s">
        <v>75</v>
      </c>
      <c r="D51" s="373">
        <v>2</v>
      </c>
      <c r="E51" s="136" t="e">
        <f>#REF!+#REF!</f>
        <v>#REF!</v>
      </c>
      <c r="F51" s="136"/>
      <c r="G51" s="136"/>
      <c r="H51" s="619"/>
      <c r="I51" s="136">
        <f>+[5]สรุปงบขุดจังหวัด!D50</f>
        <v>149200</v>
      </c>
      <c r="J51" s="136">
        <f>+[5]สรุปงบขุดจังหวัด!H50</f>
        <v>0</v>
      </c>
      <c r="K51" s="136">
        <f t="shared" si="0"/>
        <v>0</v>
      </c>
      <c r="L51" s="136">
        <f>+[5]สรุปงบขุดจังหวัด!J50</f>
        <v>0</v>
      </c>
      <c r="M51" s="136">
        <f t="shared" si="1"/>
        <v>0</v>
      </c>
      <c r="N51" s="136">
        <f t="shared" si="2"/>
        <v>0</v>
      </c>
      <c r="O51" s="628">
        <f t="shared" si="3"/>
        <v>149200</v>
      </c>
      <c r="P51" s="368"/>
      <c r="Q51" s="368"/>
      <c r="R51" s="368"/>
    </row>
    <row r="52" spans="1:18" s="371" customFormat="1" ht="27" customHeight="1">
      <c r="A52" s="373">
        <v>45</v>
      </c>
      <c r="B52" s="373">
        <v>124</v>
      </c>
      <c r="C52" s="374" t="s">
        <v>76</v>
      </c>
      <c r="D52" s="373">
        <v>8</v>
      </c>
      <c r="E52" s="136" t="e">
        <f>#REF!+#REF!+#REF!+#REF!+#REF!</f>
        <v>#REF!</v>
      </c>
      <c r="F52" s="136"/>
      <c r="G52" s="136"/>
      <c r="H52" s="619"/>
      <c r="I52" s="136">
        <f>+[5]สรุปงบขุดจังหวัด!D51</f>
        <v>773200</v>
      </c>
      <c r="J52" s="136">
        <f>+[5]สรุปงบขุดจังหวัด!H51</f>
        <v>0</v>
      </c>
      <c r="K52" s="136">
        <f t="shared" si="0"/>
        <v>0</v>
      </c>
      <c r="L52" s="136">
        <f>+[5]สรุปงบขุดจังหวัด!J51</f>
        <v>0</v>
      </c>
      <c r="M52" s="136">
        <f t="shared" si="1"/>
        <v>0</v>
      </c>
      <c r="N52" s="136">
        <f t="shared" si="2"/>
        <v>0</v>
      </c>
      <c r="O52" s="628">
        <f t="shared" si="3"/>
        <v>773200</v>
      </c>
      <c r="P52" s="368"/>
      <c r="Q52" s="368"/>
      <c r="R52" s="368"/>
    </row>
    <row r="53" spans="1:18" s="380" customFormat="1" ht="27" customHeight="1">
      <c r="A53" s="378"/>
      <c r="B53" s="378"/>
      <c r="C53" s="379"/>
      <c r="D53" s="378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632">
        <f t="shared" ref="O53" si="4">I53-M53</f>
        <v>0</v>
      </c>
    </row>
    <row r="54" spans="1:18">
      <c r="A54" s="85"/>
      <c r="B54" s="85"/>
      <c r="C54" s="86"/>
      <c r="D54" s="85"/>
      <c r="E54" s="221"/>
      <c r="F54" s="221"/>
      <c r="G54" s="221"/>
      <c r="H54" s="621"/>
      <c r="I54" s="221"/>
      <c r="J54" s="221"/>
      <c r="K54" s="221"/>
      <c r="L54" s="221"/>
      <c r="M54" s="221"/>
      <c r="N54" s="221"/>
      <c r="O54" s="85"/>
    </row>
    <row r="84" spans="10:10">
      <c r="J84" s="222" t="s">
        <v>186</v>
      </c>
    </row>
  </sheetData>
  <sortState xmlns:xlrd2="http://schemas.microsoft.com/office/spreadsheetml/2017/richdata2" ref="B9:H84">
    <sortCondition descending="1" ref="G9:G84"/>
  </sortState>
  <mergeCells count="16">
    <mergeCell ref="A4:A6"/>
    <mergeCell ref="B4:B6"/>
    <mergeCell ref="C4:C6"/>
    <mergeCell ref="D4:D6"/>
    <mergeCell ref="A1:O1"/>
    <mergeCell ref="A2:O2"/>
    <mergeCell ref="A3:O3"/>
    <mergeCell ref="E4:E6"/>
    <mergeCell ref="F4:F6"/>
    <mergeCell ref="M4:N5"/>
    <mergeCell ref="O4:O6"/>
    <mergeCell ref="G4:G6"/>
    <mergeCell ref="H4:H6"/>
    <mergeCell ref="I4:I6"/>
    <mergeCell ref="J4:K5"/>
    <mergeCell ref="L4:L5"/>
  </mergeCells>
  <printOptions horizontalCentered="1"/>
  <pageMargins left="0.7" right="0.7" top="0.81" bottom="0.38" header="0.05" footer="0.59"/>
  <pageSetup paperSize="9" scale="8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223D-152E-44E9-9CBA-9B8F0132D2C1}">
  <sheetPr>
    <tabColor rgb="FFFFC000"/>
  </sheetPr>
  <dimension ref="A1:N21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N9" sqref="N9"/>
    </sheetView>
  </sheetViews>
  <sheetFormatPr defaultColWidth="10.42578125" defaultRowHeight="26.1" customHeight="1"/>
  <cols>
    <col min="1" max="1" width="9.28515625" style="783" customWidth="1"/>
    <col min="2" max="2" width="55.140625" style="784" customWidth="1"/>
    <col min="3" max="3" width="16.42578125" style="785" customWidth="1"/>
    <col min="4" max="5" width="19.7109375" style="786" customWidth="1"/>
    <col min="6" max="6" width="12.140625" style="787" customWidth="1"/>
    <col min="7" max="8" width="19.7109375" style="788" customWidth="1"/>
    <col min="9" max="9" width="11.85546875" style="789" customWidth="1"/>
    <col min="10" max="10" width="19.7109375" style="786" customWidth="1"/>
    <col min="11" max="11" width="23.42578125" style="790" customWidth="1"/>
    <col min="12" max="12" width="10.42578125" style="791" customWidth="1"/>
    <col min="13" max="13" width="10.42578125" style="791"/>
    <col min="14" max="14" width="26.7109375" style="792" bestFit="1" customWidth="1"/>
    <col min="15" max="15" width="14.5703125" style="791" bestFit="1" customWidth="1"/>
    <col min="16" max="16384" width="10.42578125" style="791"/>
  </cols>
  <sheetData>
    <row r="1" spans="1:14" s="735" customFormat="1" ht="30" customHeight="1">
      <c r="A1" s="926" t="s">
        <v>191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N1" s="736"/>
    </row>
    <row r="2" spans="1:14" s="735" customFormat="1" ht="30" customHeight="1">
      <c r="A2" s="926" t="s">
        <v>294</v>
      </c>
      <c r="B2" s="926"/>
      <c r="C2" s="926"/>
      <c r="D2" s="926"/>
      <c r="E2" s="926"/>
      <c r="F2" s="926"/>
      <c r="G2" s="926"/>
      <c r="H2" s="926"/>
      <c r="I2" s="926"/>
      <c r="J2" s="926"/>
      <c r="K2" s="926"/>
      <c r="N2" s="736"/>
    </row>
    <row r="3" spans="1:14" s="735" customFormat="1" ht="30" customHeight="1">
      <c r="A3" s="926" t="s">
        <v>710</v>
      </c>
      <c r="B3" s="926"/>
      <c r="C3" s="926"/>
      <c r="D3" s="926"/>
      <c r="E3" s="926"/>
      <c r="F3" s="926"/>
      <c r="G3" s="926"/>
      <c r="H3" s="926"/>
      <c r="I3" s="926"/>
      <c r="J3" s="926"/>
      <c r="K3" s="926"/>
      <c r="N3" s="736"/>
    </row>
    <row r="4" spans="1:14" s="735" customFormat="1" ht="26.1" customHeight="1">
      <c r="A4" s="737"/>
      <c r="B4" s="738"/>
      <c r="C4" s="739"/>
      <c r="D4" s="739"/>
      <c r="E4" s="739"/>
      <c r="F4" s="740"/>
      <c r="G4" s="739"/>
      <c r="H4" s="739"/>
      <c r="I4" s="740"/>
      <c r="J4" s="739"/>
      <c r="K4" s="739"/>
      <c r="N4" s="736"/>
    </row>
    <row r="5" spans="1:14" s="741" customFormat="1" ht="27" customHeight="1">
      <c r="A5" s="923" t="s">
        <v>115</v>
      </c>
      <c r="B5" s="927" t="s">
        <v>192</v>
      </c>
      <c r="C5" s="923" t="s">
        <v>193</v>
      </c>
      <c r="D5" s="930" t="s">
        <v>194</v>
      </c>
      <c r="E5" s="933" t="s">
        <v>9</v>
      </c>
      <c r="F5" s="934"/>
      <c r="G5" s="930" t="s">
        <v>28</v>
      </c>
      <c r="H5" s="930" t="s">
        <v>149</v>
      </c>
      <c r="I5" s="920"/>
      <c r="J5" s="920" t="s">
        <v>4</v>
      </c>
      <c r="K5" s="923" t="s">
        <v>29</v>
      </c>
      <c r="N5" s="742"/>
    </row>
    <row r="6" spans="1:14" s="743" customFormat="1" ht="27" customHeight="1">
      <c r="A6" s="924"/>
      <c r="B6" s="928"/>
      <c r="C6" s="924"/>
      <c r="D6" s="931"/>
      <c r="E6" s="935"/>
      <c r="F6" s="936"/>
      <c r="G6" s="931"/>
      <c r="H6" s="922"/>
      <c r="I6" s="922"/>
      <c r="J6" s="921"/>
      <c r="K6" s="924"/>
      <c r="N6" s="744"/>
    </row>
    <row r="7" spans="1:14" s="743" customFormat="1" ht="27" customHeight="1">
      <c r="A7" s="925"/>
      <c r="B7" s="929"/>
      <c r="C7" s="925"/>
      <c r="D7" s="932"/>
      <c r="E7" s="745" t="s">
        <v>113</v>
      </c>
      <c r="F7" s="746" t="s">
        <v>7</v>
      </c>
      <c r="G7" s="932"/>
      <c r="H7" s="747" t="s">
        <v>113</v>
      </c>
      <c r="I7" s="746" t="s">
        <v>7</v>
      </c>
      <c r="J7" s="922"/>
      <c r="K7" s="925"/>
      <c r="N7" s="744"/>
    </row>
    <row r="8" spans="1:14" s="753" customFormat="1" ht="27" customHeight="1">
      <c r="A8" s="748"/>
      <c r="B8" s="749" t="s">
        <v>195</v>
      </c>
      <c r="C8" s="750"/>
      <c r="D8" s="751">
        <f>SUM(D9:D100)</f>
        <v>2800000</v>
      </c>
      <c r="E8" s="751">
        <f>SUM(E9:E100)</f>
        <v>0</v>
      </c>
      <c r="F8" s="752">
        <f>E8/D8*100</f>
        <v>0</v>
      </c>
      <c r="G8" s="751">
        <f>SUM(G9:G100)</f>
        <v>0</v>
      </c>
      <c r="H8" s="751">
        <f>SUM(H9:H100)</f>
        <v>0</v>
      </c>
      <c r="I8" s="752">
        <f>H8/D8*100</f>
        <v>0</v>
      </c>
      <c r="J8" s="751">
        <f>SUM(J9:J100)</f>
        <v>2800000</v>
      </c>
      <c r="K8" s="748"/>
      <c r="N8" s="754"/>
    </row>
    <row r="9" spans="1:14" s="761" customFormat="1" ht="67.5">
      <c r="A9" s="755">
        <v>1</v>
      </c>
      <c r="B9" s="756" t="s">
        <v>295</v>
      </c>
      <c r="C9" s="757" t="s">
        <v>296</v>
      </c>
      <c r="D9" s="758">
        <v>300000</v>
      </c>
      <c r="E9" s="758"/>
      <c r="F9" s="759">
        <f>E9/D9*100</f>
        <v>0</v>
      </c>
      <c r="G9" s="760"/>
      <c r="H9" s="760">
        <f>+E9+G9</f>
        <v>0</v>
      </c>
      <c r="I9" s="759">
        <f>H9/D9*100</f>
        <v>0</v>
      </c>
      <c r="J9" s="758">
        <f>D9-H9</f>
        <v>300000</v>
      </c>
      <c r="K9" s="755" t="s">
        <v>167</v>
      </c>
      <c r="N9" s="762"/>
    </row>
    <row r="10" spans="1:14" s="761" customFormat="1" ht="45">
      <c r="A10" s="763">
        <v>2</v>
      </c>
      <c r="B10" s="764" t="s">
        <v>223</v>
      </c>
      <c r="C10" s="765" t="s">
        <v>296</v>
      </c>
      <c r="D10" s="766">
        <v>300000</v>
      </c>
      <c r="E10" s="766"/>
      <c r="F10" s="767">
        <f t="shared" ref="F10:F17" si="0">E10/D10*100</f>
        <v>0</v>
      </c>
      <c r="G10" s="768"/>
      <c r="H10" s="768">
        <f>+E10+G10</f>
        <v>0</v>
      </c>
      <c r="I10" s="767">
        <f t="shared" ref="I10:I17" si="1">H10/D10*100</f>
        <v>0</v>
      </c>
      <c r="J10" s="766">
        <f>D10-H10</f>
        <v>300000</v>
      </c>
      <c r="K10" s="763" t="s">
        <v>157</v>
      </c>
      <c r="N10" s="762"/>
    </row>
    <row r="11" spans="1:14" s="761" customFormat="1" ht="45">
      <c r="A11" s="769">
        <v>3</v>
      </c>
      <c r="B11" s="770" t="s">
        <v>495</v>
      </c>
      <c r="C11" s="771" t="s">
        <v>496</v>
      </c>
      <c r="D11" s="772">
        <v>200000</v>
      </c>
      <c r="E11" s="772"/>
      <c r="F11" s="767">
        <f t="shared" si="0"/>
        <v>0</v>
      </c>
      <c r="G11" s="773"/>
      <c r="H11" s="768">
        <f t="shared" ref="H11:H17" si="2">+E11+G11</f>
        <v>0</v>
      </c>
      <c r="I11" s="767">
        <f t="shared" si="1"/>
        <v>0</v>
      </c>
      <c r="J11" s="766">
        <f t="shared" ref="J11:J17" si="3">D11-H11</f>
        <v>200000</v>
      </c>
      <c r="K11" s="769" t="s">
        <v>497</v>
      </c>
      <c r="N11" s="762"/>
    </row>
    <row r="12" spans="1:14" s="761" customFormat="1" ht="22.5">
      <c r="A12" s="769">
        <v>4</v>
      </c>
      <c r="B12" s="770" t="s">
        <v>498</v>
      </c>
      <c r="C12" s="771" t="s">
        <v>496</v>
      </c>
      <c r="D12" s="772">
        <v>500000</v>
      </c>
      <c r="E12" s="772"/>
      <c r="F12" s="767">
        <f t="shared" si="0"/>
        <v>0</v>
      </c>
      <c r="G12" s="773"/>
      <c r="H12" s="768">
        <f t="shared" si="2"/>
        <v>0</v>
      </c>
      <c r="I12" s="767">
        <f t="shared" si="1"/>
        <v>0</v>
      </c>
      <c r="J12" s="766">
        <f t="shared" si="3"/>
        <v>500000</v>
      </c>
      <c r="K12" s="769" t="s">
        <v>499</v>
      </c>
      <c r="N12" s="762"/>
    </row>
    <row r="13" spans="1:14" s="761" customFormat="1" ht="45">
      <c r="A13" s="769">
        <v>5</v>
      </c>
      <c r="B13" s="770" t="s">
        <v>502</v>
      </c>
      <c r="C13" s="771" t="s">
        <v>503</v>
      </c>
      <c r="D13" s="772">
        <v>500000</v>
      </c>
      <c r="E13" s="772"/>
      <c r="F13" s="774">
        <f t="shared" si="0"/>
        <v>0</v>
      </c>
      <c r="G13" s="773"/>
      <c r="H13" s="768">
        <f t="shared" si="2"/>
        <v>0</v>
      </c>
      <c r="I13" s="767">
        <f t="shared" si="1"/>
        <v>0</v>
      </c>
      <c r="J13" s="766">
        <f t="shared" si="3"/>
        <v>500000</v>
      </c>
      <c r="K13" s="769" t="s">
        <v>504</v>
      </c>
      <c r="N13" s="762"/>
    </row>
    <row r="14" spans="1:14" s="761" customFormat="1" ht="27" customHeight="1">
      <c r="A14" s="769">
        <v>6</v>
      </c>
      <c r="B14" s="770" t="s">
        <v>505</v>
      </c>
      <c r="C14" s="771" t="s">
        <v>503</v>
      </c>
      <c r="D14" s="772">
        <v>200000</v>
      </c>
      <c r="E14" s="772"/>
      <c r="F14" s="774">
        <f t="shared" si="0"/>
        <v>0</v>
      </c>
      <c r="G14" s="773"/>
      <c r="H14" s="768">
        <f t="shared" si="2"/>
        <v>0</v>
      </c>
      <c r="I14" s="767">
        <f t="shared" si="1"/>
        <v>0</v>
      </c>
      <c r="J14" s="766">
        <f t="shared" si="3"/>
        <v>200000</v>
      </c>
      <c r="K14" s="769" t="s">
        <v>506</v>
      </c>
      <c r="N14" s="762"/>
    </row>
    <row r="15" spans="1:14" s="761" customFormat="1" ht="45">
      <c r="A15" s="769">
        <v>7</v>
      </c>
      <c r="B15" s="770" t="s">
        <v>507</v>
      </c>
      <c r="C15" s="771" t="s">
        <v>503</v>
      </c>
      <c r="D15" s="772">
        <v>200000</v>
      </c>
      <c r="E15" s="772"/>
      <c r="F15" s="774">
        <f t="shared" si="0"/>
        <v>0</v>
      </c>
      <c r="G15" s="773"/>
      <c r="H15" s="768">
        <f t="shared" si="2"/>
        <v>0</v>
      </c>
      <c r="I15" s="767">
        <f t="shared" si="1"/>
        <v>0</v>
      </c>
      <c r="J15" s="766">
        <f t="shared" si="3"/>
        <v>200000</v>
      </c>
      <c r="K15" s="769" t="s">
        <v>508</v>
      </c>
      <c r="N15" s="762"/>
    </row>
    <row r="16" spans="1:14" s="761" customFormat="1" ht="22.5">
      <c r="A16" s="769">
        <v>8</v>
      </c>
      <c r="B16" s="770" t="s">
        <v>509</v>
      </c>
      <c r="C16" s="771" t="s">
        <v>503</v>
      </c>
      <c r="D16" s="772">
        <v>300000</v>
      </c>
      <c r="E16" s="772"/>
      <c r="F16" s="774">
        <f t="shared" si="0"/>
        <v>0</v>
      </c>
      <c r="G16" s="773"/>
      <c r="H16" s="768">
        <f t="shared" si="2"/>
        <v>0</v>
      </c>
      <c r="I16" s="767">
        <f t="shared" si="1"/>
        <v>0</v>
      </c>
      <c r="J16" s="766">
        <f t="shared" si="3"/>
        <v>300000</v>
      </c>
      <c r="K16" s="769" t="s">
        <v>510</v>
      </c>
      <c r="N16" s="762"/>
    </row>
    <row r="17" spans="1:14" s="761" customFormat="1" ht="22.5">
      <c r="A17" s="769">
        <v>9</v>
      </c>
      <c r="B17" s="770" t="s">
        <v>511</v>
      </c>
      <c r="C17" s="771" t="s">
        <v>503</v>
      </c>
      <c r="D17" s="772">
        <v>300000</v>
      </c>
      <c r="E17" s="772"/>
      <c r="F17" s="774">
        <f t="shared" si="0"/>
        <v>0</v>
      </c>
      <c r="G17" s="773"/>
      <c r="H17" s="768">
        <f t="shared" si="2"/>
        <v>0</v>
      </c>
      <c r="I17" s="767">
        <f t="shared" si="1"/>
        <v>0</v>
      </c>
      <c r="J17" s="766">
        <f t="shared" si="3"/>
        <v>300000</v>
      </c>
      <c r="K17" s="769" t="s">
        <v>512</v>
      </c>
      <c r="N17" s="762"/>
    </row>
    <row r="18" spans="1:14" s="781" customFormat="1" ht="22.5">
      <c r="A18" s="775"/>
      <c r="B18" s="776"/>
      <c r="C18" s="777"/>
      <c r="D18" s="778"/>
      <c r="E18" s="779"/>
      <c r="F18" s="780"/>
      <c r="G18" s="779"/>
      <c r="H18" s="779"/>
      <c r="I18" s="780"/>
      <c r="J18" s="779"/>
      <c r="K18" s="778"/>
      <c r="N18" s="782"/>
    </row>
    <row r="19" spans="1:14" ht="27" customHeight="1"/>
    <row r="20" spans="1:14" ht="26.25"/>
    <row r="21" spans="1:14" ht="27" customHeight="1"/>
  </sheetData>
  <mergeCells count="12"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F6"/>
    <mergeCell ref="G5:G7"/>
    <mergeCell ref="H5:I6"/>
  </mergeCells>
  <pageMargins left="0.43307086614173229" right="0.31496062992125984" top="0.59055118110236227" bottom="0.51181102362204722" header="0.23622047244094491" footer="0.15748031496062992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Q363"/>
  <sheetViews>
    <sheetView zoomScale="70" zoomScaleNormal="70" workbookViewId="0">
      <selection activeCell="C18" sqref="C18"/>
    </sheetView>
  </sheetViews>
  <sheetFormatPr defaultColWidth="9.140625" defaultRowHeight="24"/>
  <cols>
    <col min="1" max="1" width="3.42578125" style="472" customWidth="1"/>
    <col min="2" max="2" width="6.42578125" style="473" customWidth="1"/>
    <col min="3" max="3" width="54.85546875" style="471" customWidth="1"/>
    <col min="4" max="4" width="2.85546875" style="497" hidden="1" customWidth="1"/>
    <col min="5" max="5" width="24" style="498" bestFit="1" customWidth="1"/>
    <col min="6" max="6" width="27.28515625" style="499" bestFit="1" customWidth="1"/>
    <col min="7" max="7" width="24.42578125" style="500" customWidth="1"/>
    <col min="8" max="8" width="25.85546875" style="500" bestFit="1" customWidth="1"/>
    <col min="9" max="9" width="24.7109375" style="500" customWidth="1"/>
    <col min="10" max="10" width="24.42578125" style="500" bestFit="1" customWidth="1"/>
    <col min="11" max="11" width="12.7109375" style="500" bestFit="1" customWidth="1"/>
    <col min="12" max="12" width="27.28515625" style="500" bestFit="1" customWidth="1"/>
    <col min="13" max="13" width="14.85546875" style="461" hidden="1" customWidth="1"/>
    <col min="14" max="14" width="21.42578125" style="461" hidden="1" customWidth="1"/>
    <col min="15" max="15" width="21.85546875" style="443" bestFit="1" customWidth="1"/>
    <col min="16" max="16" width="22.42578125" style="475" customWidth="1"/>
    <col min="17" max="17" width="11.28515625" style="472" bestFit="1" customWidth="1"/>
    <col min="18" max="16384" width="9.140625" style="472"/>
  </cols>
  <sheetData>
    <row r="1" spans="2:16" s="393" customFormat="1" ht="39.950000000000003" customHeight="1">
      <c r="B1" s="937" t="str">
        <f>+[6]คีย์ข้อมูล!A1</f>
        <v>รายงานผลการเบิกจ่ายงบประมาณเงินกันไว้เบิกเหลื่อมปีงบประมาณ พ.ศ. 2567</v>
      </c>
      <c r="C1" s="937"/>
      <c r="D1" s="937"/>
      <c r="E1" s="937"/>
      <c r="F1" s="937"/>
      <c r="G1" s="937"/>
      <c r="H1" s="937"/>
      <c r="I1" s="937"/>
      <c r="J1" s="937"/>
      <c r="K1" s="937"/>
      <c r="L1" s="937"/>
      <c r="M1" s="937"/>
      <c r="N1" s="937"/>
      <c r="O1" s="391"/>
      <c r="P1" s="392"/>
    </row>
    <row r="2" spans="2:16" s="393" customFormat="1" ht="39.950000000000003" customHeight="1">
      <c r="B2" s="937" t="str">
        <f>+[6]คีย์ข้อมูล!A2</f>
        <v>กรมการพัฒนาชุมชน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394"/>
      <c r="P2" s="392"/>
    </row>
    <row r="3" spans="2:16" s="393" customFormat="1" ht="39.950000000000003" customHeight="1">
      <c r="B3" s="938" t="str">
        <f>+[6]คีย์ข้อมูล!A3</f>
        <v>ข้อมูล ณ วันที่ 15 มกราคม 2568</v>
      </c>
      <c r="C3" s="938"/>
      <c r="D3" s="938"/>
      <c r="E3" s="938"/>
      <c r="F3" s="938"/>
      <c r="G3" s="938"/>
      <c r="H3" s="938"/>
      <c r="I3" s="938"/>
      <c r="J3" s="938"/>
      <c r="K3" s="938"/>
      <c r="L3" s="938"/>
      <c r="M3" s="938"/>
      <c r="N3" s="938"/>
      <c r="O3" s="394"/>
      <c r="P3" s="392"/>
    </row>
    <row r="4" spans="2:16" s="393" customFormat="1" ht="39.950000000000003" customHeight="1">
      <c r="B4" s="939"/>
      <c r="C4" s="939"/>
      <c r="D4" s="939"/>
      <c r="E4" s="939"/>
      <c r="F4" s="939"/>
      <c r="G4" s="939"/>
      <c r="H4" s="939"/>
      <c r="I4" s="939"/>
      <c r="J4" s="939"/>
      <c r="K4" s="939"/>
      <c r="L4" s="939"/>
      <c r="M4" s="939"/>
      <c r="N4" s="939"/>
      <c r="O4" s="391"/>
      <c r="P4" s="392"/>
    </row>
    <row r="5" spans="2:16" s="5" customFormat="1" ht="39.950000000000003" customHeight="1">
      <c r="B5" s="940" t="s">
        <v>25</v>
      </c>
      <c r="C5" s="940" t="s">
        <v>3</v>
      </c>
      <c r="D5" s="941" t="s">
        <v>11</v>
      </c>
      <c r="E5" s="942" t="s">
        <v>27</v>
      </c>
      <c r="F5" s="943" t="s">
        <v>90</v>
      </c>
      <c r="G5" s="944"/>
      <c r="H5" s="945"/>
      <c r="I5" s="946" t="s">
        <v>2</v>
      </c>
      <c r="J5" s="946" t="s">
        <v>12</v>
      </c>
      <c r="K5" s="947" t="s">
        <v>297</v>
      </c>
      <c r="L5" s="948" t="s">
        <v>4</v>
      </c>
      <c r="M5" s="940" t="s">
        <v>298</v>
      </c>
      <c r="N5" s="940" t="s">
        <v>78</v>
      </c>
      <c r="O5" s="391"/>
      <c r="P5" s="397"/>
    </row>
    <row r="6" spans="2:16" s="401" customFormat="1" ht="39.950000000000003" customHeight="1">
      <c r="B6" s="940"/>
      <c r="C6" s="940"/>
      <c r="D6" s="941"/>
      <c r="E6" s="942"/>
      <c r="F6" s="395" t="s">
        <v>1</v>
      </c>
      <c r="G6" s="396" t="s">
        <v>6</v>
      </c>
      <c r="H6" s="398" t="s">
        <v>241</v>
      </c>
      <c r="I6" s="946"/>
      <c r="J6" s="946"/>
      <c r="K6" s="940"/>
      <c r="L6" s="949"/>
      <c r="M6" s="940"/>
      <c r="N6" s="940"/>
      <c r="O6" s="399"/>
      <c r="P6" s="400"/>
    </row>
    <row r="7" spans="2:16" s="292" customFormat="1" ht="54" customHeight="1" thickBot="1">
      <c r="B7" s="402"/>
      <c r="C7" s="403" t="s">
        <v>299</v>
      </c>
      <c r="D7" s="404"/>
      <c r="E7" s="405">
        <f>+E8+E12</f>
        <v>32327825.109999999</v>
      </c>
      <c r="F7" s="405">
        <f t="shared" ref="F7:L7" si="0">+F8+F12</f>
        <v>277169503.51999998</v>
      </c>
      <c r="G7" s="405">
        <f t="shared" si="0"/>
        <v>308655031.74000001</v>
      </c>
      <c r="H7" s="405">
        <f t="shared" si="0"/>
        <v>585824535.25999999</v>
      </c>
      <c r="I7" s="405">
        <f t="shared" si="0"/>
        <v>618152360.37</v>
      </c>
      <c r="J7" s="405">
        <f t="shared" si="0"/>
        <v>389925706.55000001</v>
      </c>
      <c r="K7" s="405">
        <f>+J7*100/I7</f>
        <v>63.079223108782898</v>
      </c>
      <c r="L7" s="405">
        <f t="shared" si="0"/>
        <v>228226653.82000005</v>
      </c>
      <c r="M7" s="406"/>
      <c r="N7" s="406"/>
      <c r="O7" s="407">
        <f>J7/H7*100</f>
        <v>66.560152926497622</v>
      </c>
      <c r="P7" s="408"/>
    </row>
    <row r="8" spans="2:16" s="292" customFormat="1" ht="54" customHeight="1" thickTop="1">
      <c r="B8" s="409">
        <v>1</v>
      </c>
      <c r="C8" s="410" t="s">
        <v>300</v>
      </c>
      <c r="D8" s="411"/>
      <c r="E8" s="412">
        <f>SUM(E9:E11)</f>
        <v>32327825.109999999</v>
      </c>
      <c r="F8" s="412">
        <f t="shared" ref="F8:I8" si="1">SUM(F9:F11)</f>
        <v>222911503.51999998</v>
      </c>
      <c r="G8" s="412">
        <f t="shared" si="1"/>
        <v>308655031.74000001</v>
      </c>
      <c r="H8" s="412">
        <f t="shared" si="1"/>
        <v>531566535.26000005</v>
      </c>
      <c r="I8" s="412">
        <f t="shared" si="1"/>
        <v>563894360.37</v>
      </c>
      <c r="J8" s="412">
        <f>SUM(J9:J11)</f>
        <v>343194906.55000001</v>
      </c>
      <c r="K8" s="412">
        <f>+J8*100/I8</f>
        <v>60.861560368295265</v>
      </c>
      <c r="L8" s="412">
        <f>SUM(L9:L11)</f>
        <v>220699453.82000005</v>
      </c>
      <c r="M8" s="413"/>
      <c r="N8" s="414"/>
      <c r="O8" s="407"/>
      <c r="P8" s="408"/>
    </row>
    <row r="9" spans="2:16" s="401" customFormat="1" ht="54" customHeight="1">
      <c r="B9" s="395"/>
      <c r="C9" s="415" t="s">
        <v>301</v>
      </c>
      <c r="D9" s="416"/>
      <c r="E9" s="417">
        <f>+[6]แบบรายงานเงินกันเหลื่อมปี!D7</f>
        <v>31837802.98</v>
      </c>
      <c r="F9" s="417">
        <f>+[6]แบบรายงานเงินกันเหลื่อมปี!E7</f>
        <v>192044718.47999999</v>
      </c>
      <c r="G9" s="417">
        <f>+[6]แบบรายงานเงินกันเหลื่อมปี!F7</f>
        <v>282800079.23000002</v>
      </c>
      <c r="H9" s="418">
        <f t="shared" ref="H9:H12" si="2">SUM(F9:G9)</f>
        <v>474844797.71000004</v>
      </c>
      <c r="I9" s="418">
        <f>+E9+H9</f>
        <v>506682600.69000006</v>
      </c>
      <c r="J9" s="418">
        <f>+[6]แบบรายงานเงินกันเหลื่อมปี!H7</f>
        <v>294894312.74000001</v>
      </c>
      <c r="K9" s="418">
        <f>+J9*100/I9</f>
        <v>58.200994535516536</v>
      </c>
      <c r="L9" s="418">
        <f>+I9-J9</f>
        <v>211788287.95000005</v>
      </c>
      <c r="M9" s="419"/>
      <c r="N9" s="420"/>
      <c r="O9" s="407">
        <f>J9/H9*100</f>
        <v>62.103304945566563</v>
      </c>
      <c r="P9" s="400"/>
    </row>
    <row r="10" spans="2:16" s="428" customFormat="1" ht="54" customHeight="1">
      <c r="B10" s="421"/>
      <c r="C10" s="422" t="s">
        <v>302</v>
      </c>
      <c r="D10" s="423"/>
      <c r="E10" s="424">
        <f>+[6]แบบรายงานเงินกันเหลื่อมปี!D79</f>
        <v>490022.13</v>
      </c>
      <c r="F10" s="424">
        <f>+[6]แบบรายงานเงินกันเหลื่อมปี!E79</f>
        <v>30291858.039999995</v>
      </c>
      <c r="G10" s="424">
        <f>+[6]แบบรายงานเงินกันเหลื่อมปี!F79</f>
        <v>24460172.509999998</v>
      </c>
      <c r="H10" s="418">
        <f t="shared" si="2"/>
        <v>54752030.549999997</v>
      </c>
      <c r="I10" s="418">
        <f t="shared" ref="I10:I12" si="3">+E10+H10</f>
        <v>55242052.68</v>
      </c>
      <c r="J10" s="424">
        <f>+[6]แบบรายงานเงินกันเหลื่อมปี!H79</f>
        <v>46330886.809999995</v>
      </c>
      <c r="K10" s="418">
        <f t="shared" ref="K10:K12" si="4">+J10*100/I10</f>
        <v>83.868872647402128</v>
      </c>
      <c r="L10" s="418">
        <f t="shared" ref="L10:L12" si="5">+I10-J10</f>
        <v>8911165.8700000048</v>
      </c>
      <c r="M10" s="425"/>
      <c r="N10" s="426"/>
      <c r="O10" s="407">
        <f>J10/H10*100</f>
        <v>84.619485970826702</v>
      </c>
      <c r="P10" s="427"/>
    </row>
    <row r="11" spans="2:16" s="434" customFormat="1" ht="54" customHeight="1">
      <c r="B11" s="429"/>
      <c r="C11" s="415" t="s">
        <v>303</v>
      </c>
      <c r="D11" s="430" t="s">
        <v>304</v>
      </c>
      <c r="E11" s="431">
        <f>+[6]แบบรายงานเงินกันเหลื่อมปี!D140</f>
        <v>0</v>
      </c>
      <c r="F11" s="431">
        <f>+[6]แบบรายงานเงินกันเหลื่อมปี!E140</f>
        <v>574927</v>
      </c>
      <c r="G11" s="431">
        <f>+[6]แบบรายงานเงินกันเหลื่อมปี!F140</f>
        <v>1394780</v>
      </c>
      <c r="H11" s="418">
        <f t="shared" si="2"/>
        <v>1969707</v>
      </c>
      <c r="I11" s="418">
        <f t="shared" si="3"/>
        <v>1969707</v>
      </c>
      <c r="J11" s="432">
        <f>+[6]แบบรายงานเงินกันเหลื่อมปี!H140</f>
        <v>1969707</v>
      </c>
      <c r="K11" s="418">
        <f t="shared" si="4"/>
        <v>100</v>
      </c>
      <c r="L11" s="418">
        <f t="shared" si="5"/>
        <v>0</v>
      </c>
      <c r="M11" s="432"/>
      <c r="N11" s="429"/>
      <c r="O11" s="407">
        <f>J11/H11*100</f>
        <v>100</v>
      </c>
      <c r="P11" s="433"/>
    </row>
    <row r="12" spans="2:16" s="434" customFormat="1" ht="54" customHeight="1">
      <c r="B12" s="429">
        <v>2</v>
      </c>
      <c r="C12" s="415" t="s">
        <v>305</v>
      </c>
      <c r="D12" s="430" t="s">
        <v>304</v>
      </c>
      <c r="E12" s="431">
        <f>+[6]แบบรายงานเงินกันเหลื่อมปี!D148</f>
        <v>0</v>
      </c>
      <c r="F12" s="431">
        <f>+[6]แบบรายงานเงินกันเหลื่อมปี!E148</f>
        <v>54258000</v>
      </c>
      <c r="G12" s="431">
        <f>+[6]แบบรายงานเงินกันเหลื่อมปี!F148</f>
        <v>0</v>
      </c>
      <c r="H12" s="418">
        <f t="shared" si="2"/>
        <v>54258000</v>
      </c>
      <c r="I12" s="418">
        <f t="shared" si="3"/>
        <v>54258000</v>
      </c>
      <c r="J12" s="432">
        <f>+[6]แบบรายงานเงินกันเหลื่อมปี!H148</f>
        <v>46730800</v>
      </c>
      <c r="K12" s="418">
        <f t="shared" si="4"/>
        <v>86.12702274318994</v>
      </c>
      <c r="L12" s="418">
        <f t="shared" si="5"/>
        <v>7527200</v>
      </c>
      <c r="M12" s="432"/>
      <c r="N12" s="429"/>
      <c r="O12" s="407">
        <f t="shared" ref="O12" si="6">J12/H12*100</f>
        <v>86.12702274318994</v>
      </c>
      <c r="P12" s="433"/>
    </row>
    <row r="13" spans="2:16" s="445" customFormat="1">
      <c r="B13" s="435"/>
      <c r="C13" s="436"/>
      <c r="D13" s="437"/>
      <c r="E13" s="438"/>
      <c r="F13" s="439"/>
      <c r="G13" s="440"/>
      <c r="H13" s="440"/>
      <c r="I13" s="440"/>
      <c r="J13" s="440"/>
      <c r="K13" s="440"/>
      <c r="L13" s="440"/>
      <c r="M13" s="441"/>
      <c r="N13" s="442"/>
      <c r="O13" s="443"/>
      <c r="P13" s="444"/>
    </row>
    <row r="14" spans="2:16" s="445" customFormat="1">
      <c r="B14" s="446"/>
      <c r="C14" s="436"/>
      <c r="D14" s="437"/>
      <c r="E14" s="438"/>
      <c r="F14" s="439"/>
      <c r="G14" s="440"/>
      <c r="H14" s="440"/>
      <c r="I14" s="440"/>
      <c r="J14" s="440"/>
      <c r="K14" s="440"/>
      <c r="L14" s="440"/>
      <c r="M14" s="441"/>
      <c r="N14" s="442"/>
      <c r="O14" s="443"/>
      <c r="P14" s="444"/>
    </row>
    <row r="15" spans="2:16" s="445" customFormat="1">
      <c r="B15" s="435"/>
      <c r="C15" s="436"/>
      <c r="D15" s="437"/>
      <c r="E15" s="438"/>
      <c r="F15" s="439"/>
      <c r="G15" s="440"/>
      <c r="H15" s="440"/>
      <c r="I15" s="440"/>
      <c r="J15" s="440"/>
      <c r="K15" s="440"/>
      <c r="L15" s="440"/>
      <c r="M15" s="441"/>
      <c r="N15" s="442"/>
      <c r="O15" s="443"/>
      <c r="P15" s="444"/>
    </row>
    <row r="16" spans="2:16" s="445" customFormat="1">
      <c r="B16" s="446"/>
      <c r="C16" s="436"/>
      <c r="D16" s="437"/>
      <c r="E16" s="438"/>
      <c r="F16" s="439"/>
      <c r="G16" s="440"/>
      <c r="H16" s="440"/>
      <c r="I16" s="440"/>
      <c r="J16" s="440"/>
      <c r="K16" s="440"/>
      <c r="L16" s="440"/>
      <c r="M16" s="441"/>
      <c r="N16" s="442"/>
      <c r="O16" s="443"/>
      <c r="P16" s="444"/>
    </row>
    <row r="17" spans="2:16" s="445" customFormat="1">
      <c r="B17" s="435"/>
      <c r="C17" s="436"/>
      <c r="D17" s="437"/>
      <c r="E17" s="438"/>
      <c r="F17" s="439"/>
      <c r="G17" s="440"/>
      <c r="H17" s="440"/>
      <c r="I17" s="440"/>
      <c r="J17" s="440"/>
      <c r="K17" s="440"/>
      <c r="L17" s="440"/>
      <c r="M17" s="441"/>
      <c r="N17" s="442"/>
      <c r="O17" s="443"/>
      <c r="P17" s="444"/>
    </row>
    <row r="18" spans="2:16" s="445" customFormat="1">
      <c r="B18" s="446"/>
      <c r="C18" s="436"/>
      <c r="D18" s="437"/>
      <c r="E18" s="438"/>
      <c r="F18" s="439"/>
      <c r="G18" s="440"/>
      <c r="H18" s="440"/>
      <c r="I18" s="440"/>
      <c r="J18" s="440"/>
      <c r="K18" s="440"/>
      <c r="L18" s="440"/>
      <c r="M18" s="441"/>
      <c r="N18" s="442"/>
      <c r="O18" s="443"/>
      <c r="P18" s="444"/>
    </row>
    <row r="19" spans="2:16" s="445" customFormat="1">
      <c r="B19" s="435"/>
      <c r="C19" s="436"/>
      <c r="D19" s="437"/>
      <c r="E19" s="438"/>
      <c r="F19" s="439"/>
      <c r="G19" s="440"/>
      <c r="H19" s="440"/>
      <c r="I19" s="440"/>
      <c r="J19" s="440"/>
      <c r="K19" s="440"/>
      <c r="L19" s="440"/>
      <c r="M19" s="441"/>
      <c r="N19" s="442"/>
      <c r="O19" s="443"/>
      <c r="P19" s="444"/>
    </row>
    <row r="20" spans="2:16" s="445" customFormat="1">
      <c r="B20" s="446"/>
      <c r="C20" s="436"/>
      <c r="D20" s="437"/>
      <c r="E20" s="438"/>
      <c r="F20" s="439"/>
      <c r="G20" s="440"/>
      <c r="H20" s="440"/>
      <c r="I20" s="440"/>
      <c r="J20" s="440"/>
      <c r="K20" s="440"/>
      <c r="L20" s="440"/>
      <c r="M20" s="441"/>
      <c r="N20" s="442"/>
      <c r="O20" s="443"/>
      <c r="P20" s="444"/>
    </row>
    <row r="21" spans="2:16" s="445" customFormat="1">
      <c r="B21" s="435"/>
      <c r="C21" s="436"/>
      <c r="D21" s="437"/>
      <c r="E21" s="438"/>
      <c r="F21" s="439"/>
      <c r="G21" s="440"/>
      <c r="H21" s="440"/>
      <c r="I21" s="440"/>
      <c r="J21" s="440"/>
      <c r="K21" s="440"/>
      <c r="L21" s="440"/>
      <c r="M21" s="441"/>
      <c r="N21" s="442"/>
      <c r="O21" s="443"/>
      <c r="P21" s="444"/>
    </row>
    <row r="22" spans="2:16" s="445" customFormat="1">
      <c r="B22" s="446"/>
      <c r="C22" s="436"/>
      <c r="D22" s="437"/>
      <c r="E22" s="438"/>
      <c r="F22" s="439"/>
      <c r="G22" s="440"/>
      <c r="H22" s="440"/>
      <c r="I22" s="440"/>
      <c r="J22" s="440"/>
      <c r="K22" s="440"/>
      <c r="L22" s="440"/>
      <c r="M22" s="441"/>
      <c r="N22" s="442"/>
      <c r="O22" s="443"/>
      <c r="P22" s="444"/>
    </row>
    <row r="23" spans="2:16" s="445" customFormat="1">
      <c r="B23" s="435"/>
      <c r="C23" s="436"/>
      <c r="D23" s="437"/>
      <c r="E23" s="438"/>
      <c r="F23" s="439"/>
      <c r="G23" s="440"/>
      <c r="H23" s="440"/>
      <c r="I23" s="440"/>
      <c r="J23" s="440"/>
      <c r="K23" s="440"/>
      <c r="L23" s="440"/>
      <c r="M23" s="441"/>
      <c r="N23" s="442"/>
      <c r="O23" s="443"/>
      <c r="P23" s="444"/>
    </row>
    <row r="24" spans="2:16" s="445" customFormat="1">
      <c r="B24" s="446"/>
      <c r="C24" s="436"/>
      <c r="D24" s="437"/>
      <c r="E24" s="438"/>
      <c r="F24" s="439"/>
      <c r="G24" s="440"/>
      <c r="H24" s="440"/>
      <c r="I24" s="440"/>
      <c r="J24" s="440"/>
      <c r="K24" s="440"/>
      <c r="L24" s="440"/>
      <c r="M24" s="441"/>
      <c r="N24" s="442"/>
      <c r="O24" s="443"/>
      <c r="P24" s="444"/>
    </row>
    <row r="25" spans="2:16" s="445" customFormat="1">
      <c r="B25" s="435"/>
      <c r="C25" s="436"/>
      <c r="D25" s="437"/>
      <c r="E25" s="438"/>
      <c r="F25" s="439"/>
      <c r="G25" s="440"/>
      <c r="H25" s="440"/>
      <c r="I25" s="440"/>
      <c r="J25" s="440"/>
      <c r="K25" s="440"/>
      <c r="L25" s="440"/>
      <c r="M25" s="441"/>
      <c r="N25" s="442"/>
      <c r="O25" s="443"/>
      <c r="P25" s="444"/>
    </row>
    <row r="26" spans="2:16" s="445" customFormat="1">
      <c r="B26" s="446"/>
      <c r="C26" s="436"/>
      <c r="D26" s="437"/>
      <c r="E26" s="438"/>
      <c r="F26" s="439"/>
      <c r="G26" s="440"/>
      <c r="H26" s="440"/>
      <c r="I26" s="440"/>
      <c r="J26" s="440"/>
      <c r="K26" s="440"/>
      <c r="L26" s="440"/>
      <c r="M26" s="441"/>
      <c r="N26" s="442"/>
      <c r="O26" s="443"/>
      <c r="P26" s="444"/>
    </row>
    <row r="27" spans="2:16" s="445" customFormat="1">
      <c r="B27" s="435"/>
      <c r="C27" s="436"/>
      <c r="D27" s="437"/>
      <c r="E27" s="438"/>
      <c r="F27" s="439"/>
      <c r="G27" s="440"/>
      <c r="H27" s="440"/>
      <c r="I27" s="440"/>
      <c r="J27" s="440"/>
      <c r="K27" s="440"/>
      <c r="L27" s="440"/>
      <c r="M27" s="441"/>
      <c r="N27" s="442"/>
      <c r="O27" s="443"/>
      <c r="P27" s="444"/>
    </row>
    <row r="28" spans="2:16" s="445" customFormat="1">
      <c r="B28" s="446"/>
      <c r="C28" s="436"/>
      <c r="D28" s="437"/>
      <c r="E28" s="438"/>
      <c r="F28" s="439"/>
      <c r="G28" s="440"/>
      <c r="H28" s="440"/>
      <c r="I28" s="440"/>
      <c r="J28" s="440"/>
      <c r="K28" s="440"/>
      <c r="L28" s="440"/>
      <c r="M28" s="441"/>
      <c r="N28" s="442"/>
      <c r="O28" s="443"/>
      <c r="P28" s="444"/>
    </row>
    <row r="29" spans="2:16" s="445" customFormat="1">
      <c r="B29" s="435"/>
      <c r="C29" s="436"/>
      <c r="D29" s="437"/>
      <c r="E29" s="438"/>
      <c r="F29" s="439"/>
      <c r="G29" s="440"/>
      <c r="H29" s="440"/>
      <c r="I29" s="440"/>
      <c r="J29" s="440"/>
      <c r="K29" s="440"/>
      <c r="L29" s="440"/>
      <c r="M29" s="441"/>
      <c r="N29" s="442"/>
      <c r="O29" s="443"/>
      <c r="P29" s="444"/>
    </row>
    <row r="30" spans="2:16" s="445" customFormat="1">
      <c r="B30" s="446"/>
      <c r="C30" s="436"/>
      <c r="D30" s="437"/>
      <c r="E30" s="438"/>
      <c r="F30" s="439"/>
      <c r="G30" s="440"/>
      <c r="H30" s="440"/>
      <c r="I30" s="440"/>
      <c r="J30" s="440"/>
      <c r="K30" s="440"/>
      <c r="L30" s="440"/>
      <c r="M30" s="441"/>
      <c r="N30" s="442"/>
      <c r="O30" s="443"/>
      <c r="P30" s="444"/>
    </row>
    <row r="31" spans="2:16" s="445" customFormat="1">
      <c r="B31" s="435"/>
      <c r="C31" s="436"/>
      <c r="D31" s="437"/>
      <c r="E31" s="438"/>
      <c r="F31" s="439"/>
      <c r="G31" s="440"/>
      <c r="H31" s="440"/>
      <c r="I31" s="440"/>
      <c r="J31" s="440"/>
      <c r="K31" s="440"/>
      <c r="L31" s="440"/>
      <c r="M31" s="441"/>
      <c r="N31" s="442"/>
      <c r="O31" s="443"/>
      <c r="P31" s="444"/>
    </row>
    <row r="32" spans="2:16" s="445" customFormat="1">
      <c r="B32" s="446"/>
      <c r="C32" s="436"/>
      <c r="D32" s="437"/>
      <c r="E32" s="438"/>
      <c r="F32" s="439"/>
      <c r="G32" s="440"/>
      <c r="H32" s="440"/>
      <c r="I32" s="440"/>
      <c r="J32" s="440"/>
      <c r="K32" s="440"/>
      <c r="L32" s="440"/>
      <c r="M32" s="441"/>
      <c r="N32" s="442"/>
      <c r="O32" s="443"/>
      <c r="P32" s="444"/>
    </row>
    <row r="33" spans="2:16" s="445" customFormat="1">
      <c r="B33" s="435"/>
      <c r="C33" s="436"/>
      <c r="D33" s="437"/>
      <c r="E33" s="438"/>
      <c r="F33" s="439"/>
      <c r="G33" s="440"/>
      <c r="H33" s="440"/>
      <c r="I33" s="440"/>
      <c r="J33" s="440"/>
      <c r="K33" s="440"/>
      <c r="L33" s="440"/>
      <c r="M33" s="441"/>
      <c r="N33" s="442"/>
      <c r="O33" s="443"/>
      <c r="P33" s="444"/>
    </row>
    <row r="34" spans="2:16" s="445" customFormat="1">
      <c r="B34" s="446"/>
      <c r="C34" s="436"/>
      <c r="D34" s="437"/>
      <c r="E34" s="438"/>
      <c r="F34" s="439"/>
      <c r="G34" s="440"/>
      <c r="H34" s="440"/>
      <c r="I34" s="440"/>
      <c r="J34" s="440"/>
      <c r="K34" s="440"/>
      <c r="L34" s="440"/>
      <c r="M34" s="441"/>
      <c r="N34" s="442"/>
      <c r="O34" s="443"/>
      <c r="P34" s="444"/>
    </row>
    <row r="35" spans="2:16" s="445" customFormat="1">
      <c r="B35" s="435"/>
      <c r="C35" s="436"/>
      <c r="D35" s="437"/>
      <c r="E35" s="438"/>
      <c r="F35" s="439"/>
      <c r="G35" s="440"/>
      <c r="H35" s="440"/>
      <c r="I35" s="440"/>
      <c r="J35" s="440"/>
      <c r="K35" s="440"/>
      <c r="L35" s="440"/>
      <c r="M35" s="441"/>
      <c r="N35" s="442"/>
      <c r="O35" s="443"/>
      <c r="P35" s="444"/>
    </row>
    <row r="36" spans="2:16" s="445" customFormat="1" ht="73.5" customHeight="1">
      <c r="B36" s="446"/>
      <c r="C36" s="436"/>
      <c r="D36" s="437"/>
      <c r="E36" s="438"/>
      <c r="F36" s="439"/>
      <c r="G36" s="440"/>
      <c r="H36" s="440"/>
      <c r="I36" s="440"/>
      <c r="J36" s="440"/>
      <c r="K36" s="440"/>
      <c r="L36" s="440"/>
      <c r="M36" s="441"/>
      <c r="N36" s="442"/>
      <c r="O36" s="443"/>
      <c r="P36" s="444"/>
    </row>
    <row r="37" spans="2:16" s="445" customFormat="1">
      <c r="B37" s="435"/>
      <c r="C37" s="436"/>
      <c r="D37" s="437"/>
      <c r="E37" s="438"/>
      <c r="F37" s="439"/>
      <c r="G37" s="440"/>
      <c r="H37" s="440"/>
      <c r="I37" s="440"/>
      <c r="J37" s="440"/>
      <c r="K37" s="440"/>
      <c r="L37" s="440"/>
      <c r="M37" s="441"/>
      <c r="N37" s="442"/>
      <c r="O37" s="443"/>
      <c r="P37" s="444"/>
    </row>
    <row r="38" spans="2:16" s="445" customFormat="1">
      <c r="B38" s="446"/>
      <c r="C38" s="436"/>
      <c r="D38" s="437"/>
      <c r="E38" s="438"/>
      <c r="F38" s="439"/>
      <c r="G38" s="440"/>
      <c r="H38" s="440"/>
      <c r="I38" s="440"/>
      <c r="J38" s="440"/>
      <c r="K38" s="440"/>
      <c r="L38" s="440"/>
      <c r="M38" s="441"/>
      <c r="N38" s="442"/>
      <c r="O38" s="443"/>
      <c r="P38" s="444"/>
    </row>
    <row r="39" spans="2:16" s="445" customFormat="1">
      <c r="B39" s="435"/>
      <c r="C39" s="436"/>
      <c r="D39" s="437"/>
      <c r="E39" s="438"/>
      <c r="F39" s="439"/>
      <c r="G39" s="440"/>
      <c r="H39" s="440"/>
      <c r="I39" s="440"/>
      <c r="J39" s="440"/>
      <c r="K39" s="440"/>
      <c r="L39" s="440"/>
      <c r="M39" s="441"/>
      <c r="N39" s="442"/>
      <c r="O39" s="443"/>
      <c r="P39" s="444"/>
    </row>
    <row r="40" spans="2:16" s="445" customFormat="1">
      <c r="B40" s="446"/>
      <c r="C40" s="436"/>
      <c r="D40" s="437"/>
      <c r="E40" s="438"/>
      <c r="F40" s="439"/>
      <c r="G40" s="440"/>
      <c r="H40" s="440"/>
      <c r="I40" s="440"/>
      <c r="J40" s="440"/>
      <c r="K40" s="440"/>
      <c r="L40" s="440"/>
      <c r="M40" s="441"/>
      <c r="N40" s="442"/>
      <c r="O40" s="443"/>
      <c r="P40" s="444"/>
    </row>
    <row r="41" spans="2:16" s="445" customFormat="1">
      <c r="B41" s="435"/>
      <c r="C41" s="436"/>
      <c r="D41" s="437"/>
      <c r="E41" s="438"/>
      <c r="F41" s="439"/>
      <c r="G41" s="440"/>
      <c r="H41" s="440"/>
      <c r="I41" s="440"/>
      <c r="J41" s="440"/>
      <c r="K41" s="440"/>
      <c r="L41" s="440"/>
      <c r="M41" s="441"/>
      <c r="N41" s="442"/>
      <c r="O41" s="443"/>
      <c r="P41" s="444"/>
    </row>
    <row r="42" spans="2:16" s="445" customFormat="1">
      <c r="B42" s="446"/>
      <c r="C42" s="436"/>
      <c r="D42" s="437"/>
      <c r="E42" s="438"/>
      <c r="F42" s="439"/>
      <c r="G42" s="440"/>
      <c r="H42" s="440"/>
      <c r="I42" s="440"/>
      <c r="J42" s="440"/>
      <c r="K42" s="440"/>
      <c r="L42" s="440"/>
      <c r="M42" s="441"/>
      <c r="N42" s="442"/>
      <c r="O42" s="443"/>
      <c r="P42" s="444"/>
    </row>
    <row r="43" spans="2:16" s="445" customFormat="1">
      <c r="B43" s="435"/>
      <c r="C43" s="436"/>
      <c r="D43" s="437"/>
      <c r="E43" s="438"/>
      <c r="F43" s="439"/>
      <c r="G43" s="440"/>
      <c r="H43" s="440"/>
      <c r="I43" s="440"/>
      <c r="J43" s="440"/>
      <c r="K43" s="440"/>
      <c r="L43" s="440"/>
      <c r="M43" s="441"/>
      <c r="N43" s="442"/>
      <c r="O43" s="443"/>
      <c r="P43" s="444"/>
    </row>
    <row r="44" spans="2:16" s="445" customFormat="1">
      <c r="B44" s="446"/>
      <c r="C44" s="436"/>
      <c r="D44" s="437"/>
      <c r="E44" s="438"/>
      <c r="F44" s="439"/>
      <c r="G44" s="440"/>
      <c r="H44" s="440"/>
      <c r="I44" s="440"/>
      <c r="J44" s="440"/>
      <c r="K44" s="440"/>
      <c r="L44" s="440"/>
      <c r="M44" s="441"/>
      <c r="N44" s="442"/>
      <c r="O44" s="443"/>
      <c r="P44" s="444"/>
    </row>
    <row r="45" spans="2:16" s="445" customFormat="1">
      <c r="B45" s="435"/>
      <c r="C45" s="436"/>
      <c r="D45" s="437"/>
      <c r="E45" s="438"/>
      <c r="F45" s="439"/>
      <c r="G45" s="440"/>
      <c r="H45" s="440"/>
      <c r="I45" s="440"/>
      <c r="J45" s="440"/>
      <c r="K45" s="440"/>
      <c r="L45" s="440"/>
      <c r="M45" s="441"/>
      <c r="N45" s="442"/>
      <c r="O45" s="443"/>
      <c r="P45" s="444"/>
    </row>
    <row r="46" spans="2:16" s="453" customFormat="1">
      <c r="B46" s="446"/>
      <c r="C46" s="436"/>
      <c r="D46" s="447"/>
      <c r="E46" s="448"/>
      <c r="F46" s="449"/>
      <c r="G46" s="450"/>
      <c r="H46" s="450"/>
      <c r="I46" s="450"/>
      <c r="J46" s="450"/>
      <c r="K46" s="450"/>
      <c r="L46" s="450"/>
      <c r="M46" s="451"/>
      <c r="N46" s="452"/>
      <c r="O46" s="443"/>
      <c r="P46" s="444"/>
    </row>
    <row r="47" spans="2:16" s="445" customFormat="1">
      <c r="B47" s="435"/>
      <c r="C47" s="454"/>
      <c r="D47" s="437"/>
      <c r="E47" s="438"/>
      <c r="F47" s="439"/>
      <c r="G47" s="440"/>
      <c r="H47" s="440"/>
      <c r="I47" s="440"/>
      <c r="J47" s="440"/>
      <c r="K47" s="440"/>
      <c r="L47" s="440"/>
      <c r="M47" s="441"/>
      <c r="N47" s="442"/>
      <c r="O47" s="443"/>
      <c r="P47" s="444"/>
    </row>
    <row r="48" spans="2:16" s="445" customFormat="1">
      <c r="B48" s="446"/>
      <c r="C48" s="436"/>
      <c r="D48" s="437"/>
      <c r="E48" s="438"/>
      <c r="F48" s="439"/>
      <c r="G48" s="440"/>
      <c r="H48" s="440"/>
      <c r="I48" s="440"/>
      <c r="J48" s="440"/>
      <c r="K48" s="440"/>
      <c r="L48" s="440"/>
      <c r="M48" s="441"/>
      <c r="N48" s="442"/>
      <c r="O48" s="443"/>
      <c r="P48" s="444"/>
    </row>
    <row r="49" spans="2:16" s="445" customFormat="1">
      <c r="B49" s="435"/>
      <c r="C49" s="436"/>
      <c r="D49" s="437"/>
      <c r="E49" s="438"/>
      <c r="F49" s="439"/>
      <c r="G49" s="440"/>
      <c r="H49" s="440"/>
      <c r="I49" s="440"/>
      <c r="J49" s="440"/>
      <c r="K49" s="440"/>
      <c r="L49" s="440"/>
      <c r="M49" s="441"/>
      <c r="N49" s="442"/>
      <c r="O49" s="443"/>
      <c r="P49" s="444"/>
    </row>
    <row r="50" spans="2:16" s="445" customFormat="1">
      <c r="B50" s="446"/>
      <c r="C50" s="436"/>
      <c r="D50" s="437"/>
      <c r="E50" s="438"/>
      <c r="F50" s="439"/>
      <c r="G50" s="440"/>
      <c r="H50" s="440"/>
      <c r="I50" s="440"/>
      <c r="J50" s="440"/>
      <c r="K50" s="440"/>
      <c r="L50" s="440"/>
      <c r="M50" s="441"/>
      <c r="N50" s="442"/>
      <c r="O50" s="443"/>
      <c r="P50" s="444"/>
    </row>
    <row r="51" spans="2:16" s="445" customFormat="1">
      <c r="B51" s="435"/>
      <c r="C51" s="436"/>
      <c r="D51" s="437"/>
      <c r="E51" s="438"/>
      <c r="F51" s="439"/>
      <c r="G51" s="440"/>
      <c r="H51" s="440"/>
      <c r="I51" s="440"/>
      <c r="J51" s="440"/>
      <c r="K51" s="440"/>
      <c r="L51" s="440"/>
      <c r="M51" s="441"/>
      <c r="N51" s="442"/>
      <c r="O51" s="443"/>
      <c r="P51" s="444"/>
    </row>
    <row r="52" spans="2:16" s="445" customFormat="1">
      <c r="B52" s="446"/>
      <c r="C52" s="436"/>
      <c r="D52" s="437"/>
      <c r="E52" s="438"/>
      <c r="F52" s="439"/>
      <c r="G52" s="440"/>
      <c r="H52" s="440"/>
      <c r="I52" s="440"/>
      <c r="J52" s="440"/>
      <c r="K52" s="440"/>
      <c r="L52" s="440"/>
      <c r="M52" s="441"/>
      <c r="N52" s="442"/>
      <c r="O52" s="443"/>
      <c r="P52" s="444"/>
    </row>
    <row r="53" spans="2:16" s="445" customFormat="1">
      <c r="B53" s="435"/>
      <c r="C53" s="436"/>
      <c r="D53" s="437"/>
      <c r="E53" s="438"/>
      <c r="F53" s="439"/>
      <c r="G53" s="440"/>
      <c r="H53" s="440"/>
      <c r="I53" s="440"/>
      <c r="J53" s="440"/>
      <c r="K53" s="440"/>
      <c r="L53" s="440"/>
      <c r="M53" s="441"/>
      <c r="N53" s="442"/>
      <c r="O53" s="443"/>
      <c r="P53" s="444"/>
    </row>
    <row r="54" spans="2:16" s="445" customFormat="1" ht="69.75" customHeight="1">
      <c r="B54" s="446"/>
      <c r="C54" s="436"/>
      <c r="D54" s="437"/>
      <c r="E54" s="438"/>
      <c r="F54" s="439"/>
      <c r="G54" s="440"/>
      <c r="H54" s="440"/>
      <c r="I54" s="440"/>
      <c r="J54" s="440"/>
      <c r="K54" s="440"/>
      <c r="L54" s="440"/>
      <c r="M54" s="441"/>
      <c r="N54" s="442"/>
      <c r="O54" s="443"/>
      <c r="P54" s="444"/>
    </row>
    <row r="55" spans="2:16" s="445" customFormat="1">
      <c r="B55" s="435"/>
      <c r="C55" s="436"/>
      <c r="D55" s="437"/>
      <c r="E55" s="438"/>
      <c r="F55" s="439"/>
      <c r="G55" s="440"/>
      <c r="H55" s="440"/>
      <c r="I55" s="440"/>
      <c r="J55" s="440"/>
      <c r="K55" s="440"/>
      <c r="L55" s="440"/>
      <c r="M55" s="441"/>
      <c r="N55" s="442"/>
      <c r="O55" s="443"/>
      <c r="P55" s="444"/>
    </row>
    <row r="56" spans="2:16" s="445" customFormat="1">
      <c r="B56" s="446"/>
      <c r="C56" s="436"/>
      <c r="D56" s="437"/>
      <c r="E56" s="438"/>
      <c r="F56" s="439"/>
      <c r="G56" s="440"/>
      <c r="H56" s="440"/>
      <c r="I56" s="440"/>
      <c r="J56" s="440"/>
      <c r="K56" s="440"/>
      <c r="L56" s="440"/>
      <c r="M56" s="441"/>
      <c r="N56" s="442"/>
      <c r="O56" s="443"/>
      <c r="P56" s="444"/>
    </row>
    <row r="57" spans="2:16" s="445" customFormat="1">
      <c r="B57" s="435"/>
      <c r="C57" s="436"/>
      <c r="D57" s="437"/>
      <c r="E57" s="438"/>
      <c r="F57" s="439"/>
      <c r="G57" s="440"/>
      <c r="H57" s="440"/>
      <c r="I57" s="440"/>
      <c r="J57" s="440"/>
      <c r="K57" s="440"/>
      <c r="L57" s="440"/>
      <c r="M57" s="441"/>
      <c r="N57" s="442"/>
      <c r="O57" s="443"/>
      <c r="P57" s="444"/>
    </row>
    <row r="58" spans="2:16" s="445" customFormat="1">
      <c r="B58" s="446"/>
      <c r="C58" s="436"/>
      <c r="D58" s="437"/>
      <c r="E58" s="438"/>
      <c r="F58" s="439"/>
      <c r="G58" s="440"/>
      <c r="H58" s="440"/>
      <c r="I58" s="440"/>
      <c r="J58" s="440"/>
      <c r="K58" s="440"/>
      <c r="L58" s="440"/>
      <c r="M58" s="441"/>
      <c r="N58" s="442"/>
      <c r="O58" s="443"/>
      <c r="P58" s="444"/>
    </row>
    <row r="59" spans="2:16" s="445" customFormat="1">
      <c r="B59" s="435"/>
      <c r="C59" s="436"/>
      <c r="D59" s="437"/>
      <c r="E59" s="438"/>
      <c r="F59" s="439"/>
      <c r="G59" s="440"/>
      <c r="H59" s="440"/>
      <c r="I59" s="440"/>
      <c r="J59" s="440"/>
      <c r="K59" s="440"/>
      <c r="L59" s="440"/>
      <c r="M59" s="441"/>
      <c r="N59" s="442"/>
      <c r="O59" s="443"/>
      <c r="P59" s="444"/>
    </row>
    <row r="60" spans="2:16" s="445" customFormat="1">
      <c r="B60" s="446"/>
      <c r="C60" s="436"/>
      <c r="D60" s="437"/>
      <c r="E60" s="438"/>
      <c r="F60" s="439"/>
      <c r="G60" s="440"/>
      <c r="H60" s="440"/>
      <c r="I60" s="440"/>
      <c r="J60" s="440"/>
      <c r="K60" s="440"/>
      <c r="L60" s="440"/>
      <c r="M60" s="441"/>
      <c r="N60" s="442"/>
      <c r="O60" s="443"/>
      <c r="P60" s="444"/>
    </row>
    <row r="61" spans="2:16" s="445" customFormat="1">
      <c r="B61" s="435"/>
      <c r="C61" s="436"/>
      <c r="D61" s="437"/>
      <c r="E61" s="438"/>
      <c r="F61" s="439"/>
      <c r="G61" s="440"/>
      <c r="H61" s="440"/>
      <c r="I61" s="440"/>
      <c r="J61" s="440"/>
      <c r="K61" s="440"/>
      <c r="L61" s="440"/>
      <c r="M61" s="441"/>
      <c r="N61" s="442"/>
      <c r="O61" s="443"/>
      <c r="P61" s="444"/>
    </row>
    <row r="62" spans="2:16" s="445" customFormat="1">
      <c r="B62" s="446"/>
      <c r="C62" s="436"/>
      <c r="D62" s="437"/>
      <c r="E62" s="438"/>
      <c r="F62" s="439"/>
      <c r="G62" s="440"/>
      <c r="H62" s="440"/>
      <c r="I62" s="440"/>
      <c r="J62" s="440"/>
      <c r="K62" s="440"/>
      <c r="L62" s="440"/>
      <c r="M62" s="441"/>
      <c r="N62" s="442"/>
      <c r="O62" s="443"/>
      <c r="P62" s="444"/>
    </row>
    <row r="63" spans="2:16" s="445" customFormat="1">
      <c r="B63" s="435"/>
      <c r="C63" s="436"/>
      <c r="D63" s="437"/>
      <c r="E63" s="438"/>
      <c r="F63" s="439"/>
      <c r="G63" s="440"/>
      <c r="H63" s="440"/>
      <c r="I63" s="440"/>
      <c r="J63" s="440"/>
      <c r="K63" s="440"/>
      <c r="L63" s="440"/>
      <c r="M63" s="441"/>
      <c r="N63" s="442"/>
      <c r="O63" s="443"/>
      <c r="P63" s="444"/>
    </row>
    <row r="64" spans="2:16" s="445" customFormat="1" ht="66.75" customHeight="1">
      <c r="B64" s="446"/>
      <c r="C64" s="436"/>
      <c r="D64" s="437"/>
      <c r="E64" s="438"/>
      <c r="F64" s="439"/>
      <c r="G64" s="440"/>
      <c r="H64" s="440"/>
      <c r="I64" s="440"/>
      <c r="J64" s="440"/>
      <c r="K64" s="440"/>
      <c r="L64" s="440"/>
      <c r="M64" s="441"/>
      <c r="N64" s="442"/>
      <c r="O64" s="443"/>
      <c r="P64" s="444"/>
    </row>
    <row r="65" spans="1:16" s="445" customFormat="1">
      <c r="B65" s="435"/>
      <c r="C65" s="436"/>
      <c r="D65" s="437"/>
      <c r="E65" s="438"/>
      <c r="F65" s="439"/>
      <c r="G65" s="440"/>
      <c r="H65" s="440"/>
      <c r="I65" s="440"/>
      <c r="J65" s="440"/>
      <c r="K65" s="440"/>
      <c r="L65" s="440"/>
      <c r="M65" s="441"/>
      <c r="N65" s="442"/>
      <c r="O65" s="443"/>
      <c r="P65" s="444"/>
    </row>
    <row r="66" spans="1:16" s="445" customFormat="1">
      <c r="B66" s="446"/>
      <c r="C66" s="436"/>
      <c r="D66" s="437"/>
      <c r="E66" s="438"/>
      <c r="F66" s="439"/>
      <c r="G66" s="440"/>
      <c r="H66" s="440"/>
      <c r="I66" s="440"/>
      <c r="J66" s="440"/>
      <c r="K66" s="440"/>
      <c r="L66" s="440"/>
      <c r="M66" s="441"/>
      <c r="N66" s="442"/>
      <c r="O66" s="443"/>
      <c r="P66" s="444"/>
    </row>
    <row r="67" spans="1:16" s="445" customFormat="1">
      <c r="B67" s="435"/>
      <c r="C67" s="436"/>
      <c r="D67" s="437"/>
      <c r="E67" s="438"/>
      <c r="F67" s="439"/>
      <c r="G67" s="440"/>
      <c r="H67" s="440"/>
      <c r="I67" s="440"/>
      <c r="J67" s="440"/>
      <c r="K67" s="440"/>
      <c r="L67" s="440"/>
      <c r="M67" s="441"/>
      <c r="N67" s="442"/>
      <c r="O67" s="443"/>
      <c r="P67" s="444"/>
    </row>
    <row r="68" spans="1:16" s="445" customFormat="1">
      <c r="B68" s="446"/>
      <c r="C68" s="436"/>
      <c r="D68" s="437"/>
      <c r="E68" s="438"/>
      <c r="F68" s="439"/>
      <c r="G68" s="440"/>
      <c r="H68" s="440"/>
      <c r="I68" s="440"/>
      <c r="J68" s="440"/>
      <c r="K68" s="440"/>
      <c r="L68" s="440"/>
      <c r="M68" s="441"/>
      <c r="N68" s="442"/>
      <c r="O68" s="443"/>
      <c r="P68" s="444"/>
    </row>
    <row r="69" spans="1:16" s="445" customFormat="1">
      <c r="B69" s="435"/>
      <c r="C69" s="436"/>
      <c r="D69" s="437"/>
      <c r="E69" s="438"/>
      <c r="F69" s="439"/>
      <c r="G69" s="440"/>
      <c r="H69" s="440"/>
      <c r="I69" s="440"/>
      <c r="J69" s="440"/>
      <c r="K69" s="440"/>
      <c r="L69" s="440"/>
      <c r="M69" s="441"/>
      <c r="N69" s="442"/>
      <c r="O69" s="443"/>
      <c r="P69" s="444"/>
    </row>
    <row r="70" spans="1:16" s="455" customFormat="1">
      <c r="B70" s="446"/>
      <c r="C70" s="436"/>
      <c r="D70" s="456"/>
      <c r="E70" s="457"/>
      <c r="F70" s="457"/>
      <c r="G70" s="458"/>
      <c r="H70" s="458"/>
      <c r="I70" s="459"/>
      <c r="J70" s="458"/>
      <c r="K70" s="458"/>
      <c r="L70" s="458"/>
      <c r="M70" s="460"/>
      <c r="N70" s="461"/>
      <c r="O70" s="443"/>
      <c r="P70" s="462"/>
    </row>
    <row r="71" spans="1:16" s="5" customFormat="1">
      <c r="B71" s="463"/>
      <c r="C71" s="436"/>
      <c r="D71" s="464"/>
      <c r="E71" s="465"/>
      <c r="F71" s="465"/>
      <c r="G71" s="466"/>
      <c r="H71" s="466"/>
      <c r="I71" s="466"/>
      <c r="J71" s="466"/>
      <c r="K71" s="466"/>
      <c r="L71" s="466"/>
      <c r="M71" s="467"/>
      <c r="N71" s="467"/>
      <c r="O71" s="391"/>
      <c r="P71" s="397"/>
    </row>
    <row r="72" spans="1:16" s="445" customFormat="1">
      <c r="B72" s="468"/>
      <c r="C72" s="463"/>
      <c r="D72" s="456"/>
      <c r="E72" s="457"/>
      <c r="F72" s="457"/>
      <c r="G72" s="469"/>
      <c r="H72" s="469"/>
      <c r="I72" s="469"/>
      <c r="J72" s="469"/>
      <c r="K72" s="469"/>
      <c r="L72" s="469"/>
      <c r="M72" s="442"/>
      <c r="N72" s="442"/>
      <c r="O72" s="443"/>
      <c r="P72" s="444"/>
    </row>
    <row r="73" spans="1:16" s="445" customFormat="1">
      <c r="B73" s="468"/>
      <c r="C73" s="470"/>
      <c r="D73" s="456"/>
      <c r="E73" s="457"/>
      <c r="F73" s="457"/>
      <c r="G73" s="469"/>
      <c r="H73" s="469"/>
      <c r="I73" s="469"/>
      <c r="J73" s="469"/>
      <c r="K73" s="469"/>
      <c r="L73" s="469"/>
      <c r="M73" s="442"/>
      <c r="N73" s="442"/>
      <c r="O73" s="443"/>
      <c r="P73" s="444"/>
    </row>
    <row r="74" spans="1:16" s="445" customFormat="1">
      <c r="B74" s="468"/>
      <c r="C74" s="471"/>
      <c r="D74" s="456"/>
      <c r="E74" s="457"/>
      <c r="F74" s="457"/>
      <c r="G74" s="469"/>
      <c r="H74" s="469"/>
      <c r="I74" s="469"/>
      <c r="J74" s="469"/>
      <c r="K74" s="469"/>
      <c r="L74" s="469"/>
      <c r="M74" s="442"/>
      <c r="N74" s="442"/>
      <c r="O74" s="443"/>
      <c r="P74" s="444"/>
    </row>
    <row r="75" spans="1:16" s="445" customFormat="1">
      <c r="B75" s="468"/>
      <c r="C75" s="471"/>
      <c r="D75" s="456"/>
      <c r="E75" s="457"/>
      <c r="F75" s="457"/>
      <c r="G75" s="469"/>
      <c r="H75" s="469"/>
      <c r="I75" s="469"/>
      <c r="J75" s="469"/>
      <c r="K75" s="469"/>
      <c r="L75" s="469"/>
      <c r="M75" s="442"/>
      <c r="N75" s="442"/>
      <c r="O75" s="443"/>
      <c r="P75" s="444"/>
    </row>
    <row r="76" spans="1:16" s="445" customFormat="1">
      <c r="B76" s="468"/>
      <c r="C76" s="470"/>
      <c r="D76" s="456"/>
      <c r="E76" s="457"/>
      <c r="F76" s="457"/>
      <c r="G76" s="469"/>
      <c r="H76" s="469"/>
      <c r="I76" s="469"/>
      <c r="J76" s="469"/>
      <c r="K76" s="469"/>
      <c r="L76" s="469"/>
      <c r="M76" s="442"/>
      <c r="N76" s="442"/>
      <c r="O76" s="443"/>
      <c r="P76" s="444"/>
    </row>
    <row r="77" spans="1:16" s="445" customFormat="1">
      <c r="B77" s="468"/>
      <c r="C77" s="470"/>
      <c r="D77" s="456"/>
      <c r="E77" s="457"/>
      <c r="F77" s="457"/>
      <c r="G77" s="469"/>
      <c r="H77" s="469"/>
      <c r="I77" s="469"/>
      <c r="J77" s="469"/>
      <c r="K77" s="469"/>
      <c r="L77" s="469"/>
      <c r="M77" s="442"/>
      <c r="N77" s="442"/>
      <c r="O77" s="443"/>
      <c r="P77" s="444"/>
    </row>
    <row r="78" spans="1:16">
      <c r="D78" s="456"/>
      <c r="E78" s="457"/>
      <c r="F78" s="457"/>
      <c r="G78" s="474"/>
      <c r="H78" s="474"/>
      <c r="I78" s="474"/>
      <c r="J78" s="474"/>
      <c r="K78" s="474"/>
      <c r="L78" s="474"/>
    </row>
    <row r="79" spans="1:16" s="476" customFormat="1">
      <c r="B79" s="477"/>
      <c r="C79" s="471"/>
      <c r="D79" s="464"/>
      <c r="E79" s="465"/>
      <c r="F79" s="465"/>
      <c r="G79" s="466"/>
      <c r="H79" s="466"/>
      <c r="I79" s="466"/>
      <c r="J79" s="466"/>
      <c r="K79" s="466"/>
      <c r="L79" s="466"/>
      <c r="M79" s="466"/>
      <c r="N79" s="466"/>
      <c r="O79" s="478"/>
      <c r="P79" s="479"/>
    </row>
    <row r="80" spans="1:16" ht="52.5" customHeight="1">
      <c r="A80" s="480"/>
      <c r="B80" s="481"/>
      <c r="C80" s="482"/>
      <c r="D80" s="483"/>
      <c r="E80" s="478"/>
      <c r="F80" s="443"/>
      <c r="G80" s="443"/>
      <c r="H80" s="484"/>
      <c r="I80" s="485"/>
      <c r="J80" s="486"/>
      <c r="K80" s="485"/>
      <c r="L80" s="485"/>
      <c r="M80" s="441"/>
      <c r="N80" s="487"/>
    </row>
    <row r="81" spans="1:17">
      <c r="B81" s="488"/>
      <c r="C81" s="489"/>
      <c r="D81" s="490"/>
      <c r="E81" s="484"/>
      <c r="F81" s="484"/>
      <c r="G81" s="119"/>
      <c r="H81" s="119"/>
      <c r="I81" s="119"/>
      <c r="J81" s="119"/>
      <c r="K81" s="119"/>
      <c r="L81" s="119"/>
      <c r="M81" s="241"/>
      <c r="N81" s="241"/>
    </row>
    <row r="82" spans="1:17">
      <c r="B82" s="488"/>
      <c r="C82" s="491"/>
      <c r="D82" s="490"/>
      <c r="E82" s="484"/>
      <c r="F82" s="484"/>
      <c r="G82" s="119"/>
      <c r="H82" s="119"/>
      <c r="I82" s="119"/>
      <c r="J82" s="119"/>
      <c r="K82" s="119"/>
      <c r="L82" s="119"/>
      <c r="M82" s="241"/>
      <c r="N82" s="241"/>
    </row>
    <row r="83" spans="1:17">
      <c r="C83" s="491"/>
      <c r="D83" s="492"/>
      <c r="E83" s="478"/>
      <c r="F83" s="478"/>
      <c r="G83" s="493"/>
      <c r="H83" s="493"/>
      <c r="I83" s="493"/>
      <c r="J83" s="493"/>
      <c r="K83" s="493"/>
      <c r="L83" s="493"/>
    </row>
    <row r="84" spans="1:17">
      <c r="C84" s="494"/>
      <c r="D84" s="492"/>
      <c r="E84" s="478"/>
      <c r="F84" s="478"/>
      <c r="G84" s="493"/>
      <c r="H84" s="493"/>
      <c r="I84" s="493"/>
      <c r="J84" s="493"/>
      <c r="K84" s="493"/>
      <c r="L84" s="493"/>
    </row>
    <row r="85" spans="1:17">
      <c r="C85" s="494"/>
      <c r="D85" s="492"/>
      <c r="E85" s="478"/>
      <c r="F85" s="478"/>
      <c r="G85" s="493"/>
      <c r="H85" s="493"/>
      <c r="I85" s="493"/>
      <c r="J85" s="493"/>
      <c r="K85" s="493"/>
      <c r="L85" s="493"/>
    </row>
    <row r="86" spans="1:17">
      <c r="C86" s="494"/>
      <c r="D86" s="492"/>
      <c r="E86" s="478"/>
      <c r="F86" s="478"/>
      <c r="G86" s="493"/>
      <c r="H86" s="493"/>
      <c r="I86" s="493"/>
      <c r="J86" s="493"/>
      <c r="K86" s="493"/>
      <c r="L86" s="493"/>
    </row>
    <row r="87" spans="1:17">
      <c r="C87" s="494"/>
      <c r="D87" s="492"/>
      <c r="E87" s="478"/>
      <c r="F87" s="478"/>
      <c r="G87" s="493"/>
      <c r="H87" s="493"/>
      <c r="I87" s="493"/>
      <c r="J87" s="493"/>
      <c r="K87" s="493"/>
      <c r="L87" s="493"/>
    </row>
    <row r="88" spans="1:17">
      <c r="C88" s="494"/>
      <c r="D88" s="492"/>
      <c r="E88" s="478"/>
      <c r="F88" s="478"/>
      <c r="G88" s="493"/>
      <c r="H88" s="493"/>
      <c r="I88" s="493"/>
      <c r="J88" s="493"/>
      <c r="K88" s="493"/>
      <c r="L88" s="493"/>
    </row>
    <row r="89" spans="1:17">
      <c r="C89" s="494"/>
      <c r="D89" s="492"/>
      <c r="E89" s="478"/>
      <c r="F89" s="478"/>
      <c r="G89" s="493"/>
      <c r="H89" s="493"/>
      <c r="I89" s="493"/>
      <c r="J89" s="493"/>
      <c r="K89" s="493"/>
      <c r="L89" s="493"/>
    </row>
    <row r="90" spans="1:17" s="495" customFormat="1">
      <c r="A90" s="472"/>
      <c r="B90" s="473"/>
      <c r="C90" s="494"/>
      <c r="D90" s="492"/>
      <c r="E90" s="478"/>
      <c r="F90" s="478"/>
      <c r="G90" s="493"/>
      <c r="H90" s="493"/>
      <c r="I90" s="493"/>
      <c r="J90" s="493"/>
      <c r="K90" s="493"/>
      <c r="L90" s="493"/>
      <c r="M90" s="461"/>
      <c r="N90" s="461"/>
      <c r="O90" s="443"/>
      <c r="P90" s="475"/>
      <c r="Q90" s="472"/>
    </row>
    <row r="91" spans="1:17" s="495" customFormat="1">
      <c r="A91" s="472"/>
      <c r="B91" s="473"/>
      <c r="C91" s="494"/>
      <c r="D91" s="456"/>
      <c r="E91" s="457"/>
      <c r="F91" s="457"/>
      <c r="G91" s="474"/>
      <c r="H91" s="474"/>
      <c r="I91" s="474"/>
      <c r="J91" s="474"/>
      <c r="K91" s="474"/>
      <c r="L91" s="474"/>
      <c r="M91" s="461"/>
      <c r="N91" s="461"/>
      <c r="O91" s="443"/>
      <c r="P91" s="475"/>
      <c r="Q91" s="472"/>
    </row>
    <row r="92" spans="1:17" s="495" customFormat="1">
      <c r="A92" s="472"/>
      <c r="B92" s="473"/>
      <c r="C92" s="471"/>
      <c r="D92" s="456"/>
      <c r="E92" s="457"/>
      <c r="F92" s="457"/>
      <c r="G92" s="474"/>
      <c r="H92" s="474"/>
      <c r="I92" s="474"/>
      <c r="J92" s="474"/>
      <c r="K92" s="474"/>
      <c r="L92" s="474"/>
      <c r="M92" s="461"/>
      <c r="N92" s="461"/>
      <c r="O92" s="443"/>
      <c r="P92" s="475"/>
      <c r="Q92" s="472"/>
    </row>
    <row r="93" spans="1:17" s="495" customFormat="1">
      <c r="A93" s="472"/>
      <c r="B93" s="473"/>
      <c r="C93" s="471"/>
      <c r="D93" s="456"/>
      <c r="E93" s="457"/>
      <c r="F93" s="457"/>
      <c r="G93" s="474"/>
      <c r="H93" s="474"/>
      <c r="I93" s="474"/>
      <c r="J93" s="474"/>
      <c r="K93" s="474"/>
      <c r="L93" s="474"/>
      <c r="M93" s="461"/>
      <c r="N93" s="461"/>
      <c r="O93" s="443"/>
      <c r="P93" s="475"/>
      <c r="Q93" s="472"/>
    </row>
    <row r="94" spans="1:17" s="495" customFormat="1">
      <c r="A94" s="472"/>
      <c r="B94" s="473"/>
      <c r="C94" s="471"/>
      <c r="D94" s="456"/>
      <c r="E94" s="457"/>
      <c r="F94" s="457"/>
      <c r="G94" s="474"/>
      <c r="H94" s="474"/>
      <c r="I94" s="474"/>
      <c r="J94" s="474"/>
      <c r="K94" s="474"/>
      <c r="L94" s="474"/>
      <c r="M94" s="461"/>
      <c r="N94" s="461"/>
      <c r="O94" s="443"/>
      <c r="P94" s="475"/>
      <c r="Q94" s="472"/>
    </row>
    <row r="95" spans="1:17" s="495" customFormat="1">
      <c r="A95" s="472"/>
      <c r="B95" s="473"/>
      <c r="C95" s="471"/>
      <c r="D95" s="456"/>
      <c r="E95" s="457"/>
      <c r="F95" s="457"/>
      <c r="G95" s="474"/>
      <c r="H95" s="474"/>
      <c r="I95" s="474"/>
      <c r="J95" s="474"/>
      <c r="K95" s="474"/>
      <c r="L95" s="474"/>
      <c r="M95" s="461"/>
      <c r="N95" s="461"/>
      <c r="O95" s="443"/>
      <c r="P95" s="475"/>
      <c r="Q95" s="472"/>
    </row>
    <row r="96" spans="1:17" s="495" customFormat="1">
      <c r="A96" s="472"/>
      <c r="B96" s="473"/>
      <c r="C96" s="471"/>
      <c r="D96" s="456"/>
      <c r="E96" s="457"/>
      <c r="F96" s="457"/>
      <c r="G96" s="474"/>
      <c r="H96" s="474"/>
      <c r="I96" s="474"/>
      <c r="J96" s="474"/>
      <c r="K96" s="474"/>
      <c r="L96" s="474"/>
      <c r="M96" s="461"/>
      <c r="N96" s="461"/>
      <c r="O96" s="443"/>
      <c r="P96" s="475"/>
      <c r="Q96" s="472"/>
    </row>
    <row r="97" spans="1:17" s="495" customFormat="1">
      <c r="A97" s="472"/>
      <c r="B97" s="473"/>
      <c r="C97" s="471"/>
      <c r="D97" s="456"/>
      <c r="E97" s="457"/>
      <c r="F97" s="457"/>
      <c r="G97" s="474"/>
      <c r="H97" s="474"/>
      <c r="I97" s="474"/>
      <c r="J97" s="474"/>
      <c r="K97" s="474"/>
      <c r="L97" s="474"/>
      <c r="M97" s="461"/>
      <c r="N97" s="461"/>
      <c r="O97" s="443"/>
      <c r="P97" s="475"/>
      <c r="Q97" s="472"/>
    </row>
    <row r="98" spans="1:17" s="495" customFormat="1">
      <c r="A98" s="472"/>
      <c r="B98" s="473"/>
      <c r="C98" s="471"/>
      <c r="D98" s="456"/>
      <c r="E98" s="457"/>
      <c r="F98" s="457"/>
      <c r="G98" s="474"/>
      <c r="H98" s="474"/>
      <c r="I98" s="474"/>
      <c r="J98" s="474"/>
      <c r="K98" s="474"/>
      <c r="L98" s="474"/>
      <c r="M98" s="461"/>
      <c r="N98" s="461"/>
      <c r="O98" s="443"/>
      <c r="P98" s="475"/>
      <c r="Q98" s="472"/>
    </row>
    <row r="99" spans="1:17" s="495" customFormat="1">
      <c r="A99" s="472"/>
      <c r="B99" s="473"/>
      <c r="C99" s="471"/>
      <c r="D99" s="456"/>
      <c r="E99" s="457"/>
      <c r="F99" s="457"/>
      <c r="G99" s="474"/>
      <c r="H99" s="474"/>
      <c r="I99" s="474"/>
      <c r="J99" s="474"/>
      <c r="K99" s="474"/>
      <c r="L99" s="474"/>
      <c r="M99" s="461"/>
      <c r="N99" s="461"/>
      <c r="O99" s="443"/>
      <c r="P99" s="475"/>
      <c r="Q99" s="472"/>
    </row>
    <row r="100" spans="1:17" s="495" customFormat="1">
      <c r="A100" s="472"/>
      <c r="B100" s="473"/>
      <c r="C100" s="471"/>
      <c r="D100" s="456"/>
      <c r="E100" s="457"/>
      <c r="F100" s="457"/>
      <c r="G100" s="474"/>
      <c r="H100" s="474"/>
      <c r="I100" s="474"/>
      <c r="J100" s="474"/>
      <c r="K100" s="474"/>
      <c r="L100" s="474"/>
      <c r="M100" s="461"/>
      <c r="N100" s="461"/>
      <c r="O100" s="443"/>
      <c r="P100" s="475"/>
      <c r="Q100" s="472"/>
    </row>
    <row r="101" spans="1:17" s="495" customFormat="1">
      <c r="A101" s="472"/>
      <c r="B101" s="473"/>
      <c r="C101" s="471"/>
      <c r="D101" s="456"/>
      <c r="E101" s="457"/>
      <c r="F101" s="457"/>
      <c r="G101" s="474"/>
      <c r="H101" s="474"/>
      <c r="I101" s="474"/>
      <c r="J101" s="474"/>
      <c r="K101" s="474"/>
      <c r="L101" s="474"/>
      <c r="M101" s="461"/>
      <c r="N101" s="461"/>
      <c r="O101" s="443"/>
      <c r="P101" s="475"/>
      <c r="Q101" s="472"/>
    </row>
    <row r="102" spans="1:17" s="495" customFormat="1">
      <c r="A102" s="472"/>
      <c r="B102" s="473"/>
      <c r="C102" s="471"/>
      <c r="D102" s="456"/>
      <c r="E102" s="457"/>
      <c r="F102" s="457"/>
      <c r="G102" s="474"/>
      <c r="H102" s="474"/>
      <c r="I102" s="474"/>
      <c r="J102" s="474"/>
      <c r="K102" s="474"/>
      <c r="L102" s="474"/>
      <c r="M102" s="461"/>
      <c r="N102" s="461"/>
      <c r="O102" s="443"/>
      <c r="P102" s="475"/>
      <c r="Q102" s="472"/>
    </row>
    <row r="103" spans="1:17" s="495" customFormat="1">
      <c r="A103" s="472"/>
      <c r="B103" s="473"/>
      <c r="C103" s="471"/>
      <c r="D103" s="456"/>
      <c r="E103" s="457"/>
      <c r="F103" s="457"/>
      <c r="G103" s="474"/>
      <c r="H103" s="474"/>
      <c r="I103" s="474"/>
      <c r="J103" s="474"/>
      <c r="K103" s="474"/>
      <c r="L103" s="474"/>
      <c r="M103" s="461"/>
      <c r="N103" s="461"/>
      <c r="O103" s="443"/>
      <c r="P103" s="475"/>
      <c r="Q103" s="472"/>
    </row>
    <row r="104" spans="1:17" s="495" customFormat="1">
      <c r="A104" s="472"/>
      <c r="B104" s="473"/>
      <c r="C104" s="471"/>
      <c r="D104" s="456"/>
      <c r="E104" s="457"/>
      <c r="F104" s="457"/>
      <c r="G104" s="474"/>
      <c r="H104" s="474"/>
      <c r="I104" s="474"/>
      <c r="J104" s="474"/>
      <c r="K104" s="474"/>
      <c r="L104" s="474"/>
      <c r="M104" s="461"/>
      <c r="N104" s="461"/>
      <c r="O104" s="443"/>
      <c r="P104" s="475"/>
      <c r="Q104" s="472"/>
    </row>
    <row r="105" spans="1:17" s="495" customFormat="1">
      <c r="A105" s="472"/>
      <c r="B105" s="473"/>
      <c r="C105" s="471"/>
      <c r="D105" s="456"/>
      <c r="E105" s="457"/>
      <c r="F105" s="457"/>
      <c r="G105" s="474"/>
      <c r="H105" s="474"/>
      <c r="I105" s="474"/>
      <c r="J105" s="474"/>
      <c r="K105" s="474"/>
      <c r="L105" s="474"/>
      <c r="M105" s="461"/>
      <c r="N105" s="461"/>
      <c r="O105" s="443"/>
      <c r="P105" s="475"/>
      <c r="Q105" s="472"/>
    </row>
    <row r="106" spans="1:17" s="496" customFormat="1">
      <c r="A106" s="472"/>
      <c r="B106" s="473"/>
      <c r="C106" s="471"/>
      <c r="D106" s="456"/>
      <c r="E106" s="457"/>
      <c r="F106" s="457"/>
      <c r="G106" s="474"/>
      <c r="H106" s="474"/>
      <c r="I106" s="474"/>
      <c r="J106" s="474"/>
      <c r="K106" s="474"/>
      <c r="L106" s="474"/>
      <c r="M106" s="461"/>
      <c r="N106" s="461"/>
      <c r="O106" s="443"/>
      <c r="P106" s="475"/>
      <c r="Q106" s="472"/>
    </row>
    <row r="107" spans="1:17" s="496" customFormat="1">
      <c r="A107" s="472"/>
      <c r="B107" s="473"/>
      <c r="C107" s="471"/>
      <c r="D107" s="456"/>
      <c r="E107" s="457"/>
      <c r="F107" s="457"/>
      <c r="G107" s="474"/>
      <c r="H107" s="474"/>
      <c r="I107" s="474"/>
      <c r="J107" s="474"/>
      <c r="K107" s="474"/>
      <c r="L107" s="474"/>
      <c r="M107" s="461"/>
      <c r="N107" s="461"/>
      <c r="O107" s="443"/>
      <c r="P107" s="475"/>
      <c r="Q107" s="472"/>
    </row>
    <row r="108" spans="1:17" s="496" customFormat="1">
      <c r="A108" s="472"/>
      <c r="B108" s="473"/>
      <c r="C108" s="471"/>
      <c r="D108" s="456"/>
      <c r="E108" s="457"/>
      <c r="F108" s="457"/>
      <c r="G108" s="474"/>
      <c r="H108" s="474"/>
      <c r="I108" s="474"/>
      <c r="J108" s="474"/>
      <c r="K108" s="474"/>
      <c r="L108" s="474"/>
      <c r="M108" s="461"/>
      <c r="N108" s="461"/>
      <c r="O108" s="443"/>
      <c r="P108" s="475"/>
      <c r="Q108" s="472"/>
    </row>
    <row r="109" spans="1:17" s="496" customFormat="1">
      <c r="A109" s="472"/>
      <c r="B109" s="473"/>
      <c r="C109" s="471"/>
      <c r="D109" s="456"/>
      <c r="E109" s="457"/>
      <c r="F109" s="457"/>
      <c r="G109" s="474"/>
      <c r="H109" s="474"/>
      <c r="I109" s="474"/>
      <c r="J109" s="474"/>
      <c r="K109" s="474"/>
      <c r="L109" s="474"/>
      <c r="M109" s="461"/>
      <c r="N109" s="461"/>
      <c r="O109" s="443"/>
      <c r="P109" s="475"/>
      <c r="Q109" s="472"/>
    </row>
    <row r="110" spans="1:17" s="496" customFormat="1">
      <c r="A110" s="472"/>
      <c r="B110" s="473"/>
      <c r="C110" s="471"/>
      <c r="D110" s="456"/>
      <c r="E110" s="457"/>
      <c r="F110" s="457"/>
      <c r="G110" s="474"/>
      <c r="H110" s="474"/>
      <c r="I110" s="474"/>
      <c r="J110" s="474"/>
      <c r="K110" s="474"/>
      <c r="L110" s="474"/>
      <c r="M110" s="461"/>
      <c r="N110" s="461"/>
      <c r="O110" s="443"/>
      <c r="P110" s="475"/>
      <c r="Q110" s="472"/>
    </row>
    <row r="111" spans="1:17" s="496" customFormat="1">
      <c r="A111" s="472"/>
      <c r="B111" s="473"/>
      <c r="C111" s="471"/>
      <c r="D111" s="456"/>
      <c r="E111" s="457"/>
      <c r="F111" s="457"/>
      <c r="G111" s="474"/>
      <c r="H111" s="474"/>
      <c r="I111" s="474"/>
      <c r="J111" s="474"/>
      <c r="K111" s="474"/>
      <c r="L111" s="474"/>
      <c r="M111" s="461"/>
      <c r="N111" s="461"/>
      <c r="O111" s="443"/>
      <c r="P111" s="475"/>
      <c r="Q111" s="472"/>
    </row>
    <row r="112" spans="1:17" s="496" customFormat="1">
      <c r="A112" s="472"/>
      <c r="B112" s="473"/>
      <c r="C112" s="471"/>
      <c r="D112" s="456"/>
      <c r="E112" s="457"/>
      <c r="F112" s="457"/>
      <c r="G112" s="474"/>
      <c r="H112" s="474"/>
      <c r="I112" s="474"/>
      <c r="J112" s="474"/>
      <c r="K112" s="474"/>
      <c r="L112" s="474"/>
      <c r="M112" s="461"/>
      <c r="N112" s="461"/>
      <c r="O112" s="443"/>
      <c r="P112" s="475"/>
      <c r="Q112" s="472"/>
    </row>
    <row r="113" spans="1:17" s="496" customFormat="1">
      <c r="A113" s="472"/>
      <c r="B113" s="473"/>
      <c r="C113" s="471"/>
      <c r="D113" s="456"/>
      <c r="E113" s="457"/>
      <c r="F113" s="457"/>
      <c r="G113" s="474"/>
      <c r="H113" s="474"/>
      <c r="I113" s="474"/>
      <c r="J113" s="474"/>
      <c r="K113" s="474"/>
      <c r="L113" s="474"/>
      <c r="M113" s="461"/>
      <c r="N113" s="461"/>
      <c r="O113" s="443"/>
      <c r="P113" s="475"/>
      <c r="Q113" s="472"/>
    </row>
    <row r="114" spans="1:17" s="496" customFormat="1">
      <c r="A114" s="472"/>
      <c r="B114" s="473"/>
      <c r="C114" s="471"/>
      <c r="D114" s="456"/>
      <c r="E114" s="457"/>
      <c r="F114" s="457"/>
      <c r="G114" s="474"/>
      <c r="H114" s="474"/>
      <c r="I114" s="474"/>
      <c r="J114" s="474"/>
      <c r="K114" s="474"/>
      <c r="L114" s="474"/>
      <c r="M114" s="461"/>
      <c r="N114" s="461"/>
      <c r="O114" s="443"/>
      <c r="P114" s="475"/>
      <c r="Q114" s="472"/>
    </row>
    <row r="115" spans="1:17" s="496" customFormat="1">
      <c r="A115" s="472"/>
      <c r="B115" s="473"/>
      <c r="C115" s="471"/>
      <c r="D115" s="456"/>
      <c r="E115" s="457"/>
      <c r="F115" s="457"/>
      <c r="G115" s="474"/>
      <c r="H115" s="474"/>
      <c r="I115" s="474"/>
      <c r="J115" s="474"/>
      <c r="K115" s="474"/>
      <c r="L115" s="474"/>
      <c r="M115" s="461"/>
      <c r="N115" s="461"/>
      <c r="O115" s="443"/>
      <c r="P115" s="475"/>
      <c r="Q115" s="472"/>
    </row>
    <row r="116" spans="1:17" s="496" customFormat="1">
      <c r="A116" s="472"/>
      <c r="B116" s="473"/>
      <c r="C116" s="471"/>
      <c r="D116" s="456"/>
      <c r="E116" s="457"/>
      <c r="F116" s="457"/>
      <c r="G116" s="474"/>
      <c r="H116" s="474"/>
      <c r="I116" s="474"/>
      <c r="J116" s="474"/>
      <c r="K116" s="474"/>
      <c r="L116" s="474"/>
      <c r="M116" s="461"/>
      <c r="N116" s="461"/>
      <c r="O116" s="443"/>
      <c r="P116" s="475"/>
      <c r="Q116" s="472"/>
    </row>
    <row r="117" spans="1:17" s="496" customFormat="1">
      <c r="A117" s="472"/>
      <c r="B117" s="473"/>
      <c r="C117" s="471"/>
      <c r="D117" s="456"/>
      <c r="E117" s="457"/>
      <c r="F117" s="457"/>
      <c r="G117" s="474"/>
      <c r="H117" s="474"/>
      <c r="I117" s="474"/>
      <c r="J117" s="474"/>
      <c r="K117" s="474"/>
      <c r="L117" s="474"/>
      <c r="M117" s="461"/>
      <c r="N117" s="461"/>
      <c r="O117" s="443"/>
      <c r="P117" s="475"/>
      <c r="Q117" s="472"/>
    </row>
    <row r="118" spans="1:17" s="496" customFormat="1">
      <c r="A118" s="472"/>
      <c r="B118" s="473"/>
      <c r="C118" s="471"/>
      <c r="D118" s="456"/>
      <c r="E118" s="457"/>
      <c r="F118" s="457"/>
      <c r="G118" s="474"/>
      <c r="H118" s="474"/>
      <c r="I118" s="474"/>
      <c r="J118" s="474"/>
      <c r="K118" s="474"/>
      <c r="L118" s="474"/>
      <c r="M118" s="461"/>
      <c r="N118" s="461"/>
      <c r="O118" s="443"/>
      <c r="P118" s="475"/>
      <c r="Q118" s="472"/>
    </row>
    <row r="119" spans="1:17" s="496" customFormat="1">
      <c r="A119" s="472"/>
      <c r="B119" s="473"/>
      <c r="C119" s="471"/>
      <c r="D119" s="456"/>
      <c r="E119" s="457"/>
      <c r="F119" s="457"/>
      <c r="G119" s="474"/>
      <c r="H119" s="474"/>
      <c r="I119" s="474"/>
      <c r="J119" s="474"/>
      <c r="K119" s="474"/>
      <c r="L119" s="474"/>
      <c r="M119" s="461"/>
      <c r="N119" s="461"/>
      <c r="O119" s="443"/>
      <c r="P119" s="475"/>
      <c r="Q119" s="472"/>
    </row>
    <row r="120" spans="1:17" s="496" customFormat="1">
      <c r="A120" s="472"/>
      <c r="B120" s="473"/>
      <c r="C120" s="471"/>
      <c r="D120" s="456"/>
      <c r="E120" s="457"/>
      <c r="F120" s="457"/>
      <c r="G120" s="474"/>
      <c r="H120" s="474"/>
      <c r="I120" s="474"/>
      <c r="J120" s="474"/>
      <c r="K120" s="474"/>
      <c r="L120" s="474"/>
      <c r="M120" s="461"/>
      <c r="N120" s="461"/>
      <c r="O120" s="443"/>
      <c r="P120" s="475"/>
      <c r="Q120" s="472"/>
    </row>
    <row r="121" spans="1:17" s="496" customFormat="1">
      <c r="A121" s="472"/>
      <c r="B121" s="473"/>
      <c r="C121" s="471"/>
      <c r="D121" s="456"/>
      <c r="E121" s="457"/>
      <c r="F121" s="457"/>
      <c r="G121" s="474"/>
      <c r="H121" s="474"/>
      <c r="I121" s="474"/>
      <c r="J121" s="474"/>
      <c r="K121" s="474"/>
      <c r="L121" s="474"/>
      <c r="M121" s="461"/>
      <c r="N121" s="461"/>
      <c r="O121" s="443"/>
      <c r="P121" s="475"/>
      <c r="Q121" s="472"/>
    </row>
    <row r="122" spans="1:17">
      <c r="D122" s="456"/>
      <c r="E122" s="457"/>
      <c r="F122" s="457"/>
      <c r="G122" s="474"/>
      <c r="H122" s="474"/>
      <c r="I122" s="474"/>
      <c r="J122" s="474"/>
      <c r="K122" s="474"/>
      <c r="L122" s="474"/>
    </row>
    <row r="123" spans="1:17">
      <c r="D123" s="456"/>
      <c r="E123" s="457"/>
      <c r="F123" s="457"/>
      <c r="G123" s="474"/>
      <c r="H123" s="474"/>
      <c r="I123" s="474"/>
      <c r="J123" s="474"/>
      <c r="K123" s="474"/>
      <c r="L123" s="474"/>
    </row>
    <row r="124" spans="1:17">
      <c r="D124" s="456"/>
      <c r="E124" s="457"/>
      <c r="F124" s="457"/>
      <c r="G124" s="474"/>
      <c r="H124" s="474"/>
      <c r="I124" s="474"/>
      <c r="J124" s="474"/>
      <c r="K124" s="474"/>
      <c r="L124" s="474"/>
    </row>
    <row r="125" spans="1:17">
      <c r="D125" s="456"/>
      <c r="E125" s="457"/>
      <c r="F125" s="457"/>
      <c r="G125" s="474"/>
      <c r="H125" s="474"/>
      <c r="I125" s="474"/>
      <c r="J125" s="474"/>
      <c r="K125" s="474"/>
      <c r="L125" s="474"/>
    </row>
    <row r="126" spans="1:17">
      <c r="D126" s="456"/>
      <c r="E126" s="457"/>
      <c r="F126" s="457"/>
      <c r="G126" s="474"/>
      <c r="H126" s="474"/>
      <c r="I126" s="474"/>
      <c r="J126" s="474"/>
      <c r="K126" s="474"/>
      <c r="L126" s="474"/>
    </row>
    <row r="127" spans="1:17">
      <c r="D127" s="456"/>
      <c r="E127" s="457"/>
      <c r="F127" s="457"/>
      <c r="G127" s="474"/>
      <c r="H127" s="474"/>
      <c r="I127" s="474"/>
      <c r="J127" s="474"/>
      <c r="K127" s="474"/>
      <c r="L127" s="474"/>
    </row>
    <row r="128" spans="1:17">
      <c r="D128" s="456"/>
      <c r="E128" s="457"/>
      <c r="F128" s="457"/>
      <c r="G128" s="474"/>
      <c r="H128" s="474"/>
      <c r="I128" s="474"/>
      <c r="J128" s="474"/>
      <c r="K128" s="474"/>
      <c r="L128" s="474"/>
    </row>
    <row r="129" spans="4:12">
      <c r="D129" s="456"/>
      <c r="E129" s="457"/>
      <c r="F129" s="457"/>
      <c r="G129" s="474"/>
      <c r="H129" s="474"/>
      <c r="I129" s="474"/>
      <c r="J129" s="474"/>
      <c r="K129" s="474"/>
      <c r="L129" s="474"/>
    </row>
    <row r="130" spans="4:12">
      <c r="D130" s="456"/>
      <c r="E130" s="457"/>
      <c r="F130" s="457"/>
      <c r="G130" s="474"/>
      <c r="H130" s="474"/>
      <c r="I130" s="474"/>
      <c r="J130" s="474"/>
      <c r="K130" s="474"/>
      <c r="L130" s="474"/>
    </row>
    <row r="131" spans="4:12">
      <c r="D131" s="456"/>
      <c r="E131" s="457"/>
      <c r="F131" s="457"/>
      <c r="G131" s="474"/>
      <c r="H131" s="474"/>
      <c r="I131" s="474"/>
      <c r="J131" s="474"/>
      <c r="K131" s="474"/>
      <c r="L131" s="474"/>
    </row>
    <row r="132" spans="4:12">
      <c r="D132" s="456"/>
      <c r="E132" s="457"/>
      <c r="F132" s="457"/>
      <c r="G132" s="474"/>
      <c r="H132" s="474"/>
      <c r="I132" s="474"/>
      <c r="J132" s="474"/>
      <c r="K132" s="474"/>
      <c r="L132" s="474"/>
    </row>
    <row r="133" spans="4:12">
      <c r="D133" s="456"/>
      <c r="E133" s="457"/>
      <c r="F133" s="457"/>
      <c r="G133" s="474"/>
      <c r="H133" s="474"/>
      <c r="I133" s="474"/>
      <c r="J133" s="474"/>
      <c r="K133" s="474"/>
      <c r="L133" s="474"/>
    </row>
    <row r="134" spans="4:12">
      <c r="D134" s="456"/>
      <c r="E134" s="457"/>
      <c r="F134" s="457"/>
      <c r="G134" s="474"/>
      <c r="H134" s="474"/>
      <c r="I134" s="474"/>
      <c r="J134" s="474"/>
      <c r="K134" s="474"/>
      <c r="L134" s="474"/>
    </row>
    <row r="135" spans="4:12">
      <c r="D135" s="456"/>
      <c r="E135" s="457"/>
      <c r="F135" s="457"/>
      <c r="G135" s="474"/>
      <c r="H135" s="474"/>
      <c r="I135" s="474"/>
      <c r="J135" s="474"/>
      <c r="K135" s="474"/>
      <c r="L135" s="474"/>
    </row>
    <row r="136" spans="4:12">
      <c r="D136" s="456"/>
      <c r="E136" s="457"/>
      <c r="F136" s="457"/>
      <c r="G136" s="474"/>
      <c r="H136" s="474"/>
      <c r="I136" s="474"/>
      <c r="J136" s="474"/>
      <c r="K136" s="474"/>
      <c r="L136" s="474"/>
    </row>
    <row r="137" spans="4:12">
      <c r="D137" s="456"/>
      <c r="E137" s="457"/>
      <c r="F137" s="457"/>
      <c r="G137" s="474"/>
      <c r="H137" s="474"/>
      <c r="I137" s="474"/>
      <c r="J137" s="474"/>
      <c r="K137" s="474"/>
      <c r="L137" s="474"/>
    </row>
    <row r="138" spans="4:12">
      <c r="D138" s="456"/>
      <c r="E138" s="457"/>
      <c r="F138" s="457"/>
      <c r="G138" s="474"/>
      <c r="H138" s="474"/>
      <c r="I138" s="474"/>
      <c r="J138" s="474"/>
      <c r="K138" s="474"/>
      <c r="L138" s="474"/>
    </row>
    <row r="139" spans="4:12">
      <c r="D139" s="456"/>
      <c r="E139" s="457"/>
      <c r="F139" s="457"/>
      <c r="G139" s="474"/>
      <c r="H139" s="474"/>
      <c r="I139" s="474"/>
      <c r="J139" s="474"/>
      <c r="K139" s="474"/>
      <c r="L139" s="474"/>
    </row>
    <row r="140" spans="4:12">
      <c r="D140" s="456"/>
      <c r="E140" s="457"/>
      <c r="F140" s="457"/>
      <c r="G140" s="474"/>
      <c r="H140" s="474"/>
      <c r="I140" s="474"/>
      <c r="J140" s="474"/>
      <c r="K140" s="474"/>
      <c r="L140" s="474"/>
    </row>
    <row r="141" spans="4:12">
      <c r="D141" s="456"/>
      <c r="E141" s="457"/>
      <c r="F141" s="457"/>
      <c r="G141" s="474"/>
      <c r="H141" s="474"/>
      <c r="I141" s="474"/>
      <c r="J141" s="474"/>
      <c r="K141" s="474"/>
      <c r="L141" s="474"/>
    </row>
    <row r="142" spans="4:12">
      <c r="D142" s="456"/>
      <c r="E142" s="457"/>
      <c r="F142" s="457"/>
      <c r="G142" s="474"/>
      <c r="H142" s="474"/>
      <c r="I142" s="474"/>
      <c r="J142" s="474"/>
      <c r="K142" s="474"/>
      <c r="L142" s="474"/>
    </row>
    <row r="143" spans="4:12">
      <c r="D143" s="456"/>
      <c r="E143" s="457"/>
      <c r="F143" s="457"/>
      <c r="G143" s="474"/>
      <c r="H143" s="474"/>
      <c r="I143" s="474"/>
      <c r="J143" s="474"/>
      <c r="K143" s="474"/>
      <c r="L143" s="474"/>
    </row>
    <row r="144" spans="4:12">
      <c r="D144" s="456"/>
      <c r="E144" s="457"/>
      <c r="F144" s="457"/>
      <c r="G144" s="474"/>
      <c r="H144" s="474"/>
      <c r="I144" s="474"/>
      <c r="J144" s="474"/>
      <c r="K144" s="474"/>
      <c r="L144" s="474"/>
    </row>
    <row r="145" spans="4:12">
      <c r="D145" s="456"/>
      <c r="E145" s="457"/>
      <c r="F145" s="457"/>
      <c r="G145" s="474"/>
      <c r="H145" s="474"/>
      <c r="I145" s="474"/>
      <c r="J145" s="474"/>
      <c r="K145" s="474"/>
      <c r="L145" s="474"/>
    </row>
    <row r="146" spans="4:12">
      <c r="D146" s="456"/>
      <c r="E146" s="457"/>
      <c r="F146" s="457"/>
      <c r="G146" s="474"/>
      <c r="H146" s="474"/>
      <c r="I146" s="474"/>
      <c r="J146" s="474"/>
      <c r="K146" s="474"/>
      <c r="L146" s="474"/>
    </row>
    <row r="147" spans="4:12">
      <c r="D147" s="456"/>
      <c r="E147" s="457"/>
      <c r="F147" s="457"/>
      <c r="G147" s="474"/>
      <c r="H147" s="474"/>
      <c r="I147" s="474"/>
      <c r="J147" s="474"/>
      <c r="K147" s="474"/>
      <c r="L147" s="474"/>
    </row>
    <row r="148" spans="4:12">
      <c r="D148" s="456"/>
      <c r="E148" s="457"/>
      <c r="F148" s="457"/>
      <c r="G148" s="474"/>
      <c r="H148" s="474"/>
      <c r="I148" s="474"/>
      <c r="J148" s="474"/>
      <c r="K148" s="474"/>
      <c r="L148" s="474"/>
    </row>
    <row r="149" spans="4:12">
      <c r="D149" s="456"/>
      <c r="E149" s="457"/>
      <c r="F149" s="457"/>
      <c r="G149" s="474"/>
      <c r="H149" s="474"/>
      <c r="I149" s="474"/>
      <c r="J149" s="474"/>
      <c r="K149" s="474"/>
      <c r="L149" s="474"/>
    </row>
    <row r="150" spans="4:12">
      <c r="D150" s="456"/>
      <c r="E150" s="457"/>
      <c r="F150" s="457"/>
      <c r="G150" s="474"/>
      <c r="H150" s="474"/>
      <c r="I150" s="474"/>
      <c r="J150" s="474"/>
      <c r="K150" s="474"/>
      <c r="L150" s="474"/>
    </row>
    <row r="151" spans="4:12">
      <c r="D151" s="456"/>
      <c r="E151" s="457"/>
      <c r="F151" s="457"/>
      <c r="G151" s="474"/>
      <c r="H151" s="474"/>
      <c r="I151" s="474"/>
      <c r="J151" s="474"/>
      <c r="K151" s="474"/>
      <c r="L151" s="474"/>
    </row>
    <row r="152" spans="4:12">
      <c r="D152" s="456"/>
      <c r="E152" s="457"/>
      <c r="F152" s="457"/>
      <c r="G152" s="474"/>
      <c r="H152" s="474"/>
      <c r="I152" s="474"/>
      <c r="J152" s="474"/>
      <c r="K152" s="474"/>
      <c r="L152" s="474"/>
    </row>
    <row r="153" spans="4:12">
      <c r="D153" s="456"/>
      <c r="E153" s="457"/>
      <c r="F153" s="457"/>
      <c r="G153" s="474"/>
      <c r="H153" s="474"/>
      <c r="I153" s="474"/>
      <c r="J153" s="474"/>
      <c r="K153" s="474"/>
      <c r="L153" s="474"/>
    </row>
    <row r="154" spans="4:12">
      <c r="D154" s="456"/>
      <c r="E154" s="457"/>
      <c r="F154" s="457"/>
      <c r="G154" s="474"/>
      <c r="H154" s="474"/>
      <c r="I154" s="474"/>
      <c r="J154" s="474"/>
      <c r="K154" s="474"/>
      <c r="L154" s="474"/>
    </row>
    <row r="155" spans="4:12">
      <c r="D155" s="456"/>
      <c r="E155" s="457"/>
      <c r="F155" s="457"/>
      <c r="G155" s="474"/>
      <c r="H155" s="474"/>
      <c r="I155" s="474"/>
      <c r="J155" s="474"/>
      <c r="K155" s="474"/>
      <c r="L155" s="474"/>
    </row>
    <row r="156" spans="4:12">
      <c r="D156" s="456"/>
      <c r="E156" s="457"/>
      <c r="F156" s="457"/>
      <c r="G156" s="474"/>
      <c r="H156" s="474"/>
      <c r="I156" s="474"/>
      <c r="J156" s="474"/>
      <c r="K156" s="474"/>
      <c r="L156" s="474"/>
    </row>
    <row r="157" spans="4:12">
      <c r="D157" s="456"/>
      <c r="E157" s="457"/>
      <c r="F157" s="457"/>
      <c r="G157" s="474"/>
      <c r="H157" s="474"/>
      <c r="I157" s="474"/>
      <c r="J157" s="474"/>
      <c r="K157" s="474"/>
      <c r="L157" s="474"/>
    </row>
    <row r="158" spans="4:12">
      <c r="D158" s="456"/>
      <c r="E158" s="457"/>
      <c r="F158" s="457"/>
      <c r="G158" s="474"/>
      <c r="H158" s="474"/>
      <c r="I158" s="474"/>
      <c r="J158" s="474"/>
      <c r="K158" s="474"/>
      <c r="L158" s="474"/>
    </row>
    <row r="159" spans="4:12">
      <c r="D159" s="456"/>
      <c r="E159" s="457"/>
      <c r="F159" s="457"/>
      <c r="G159" s="474"/>
      <c r="H159" s="474"/>
      <c r="I159" s="474"/>
      <c r="J159" s="474"/>
      <c r="K159" s="474"/>
      <c r="L159" s="474"/>
    </row>
    <row r="160" spans="4:12">
      <c r="D160" s="456"/>
      <c r="E160" s="457"/>
      <c r="F160" s="457"/>
      <c r="G160" s="474"/>
      <c r="H160" s="474"/>
      <c r="I160" s="474"/>
      <c r="J160" s="474"/>
      <c r="K160" s="474"/>
      <c r="L160" s="474"/>
    </row>
    <row r="161" spans="4:12">
      <c r="D161" s="456"/>
      <c r="E161" s="457"/>
      <c r="F161" s="457"/>
      <c r="G161" s="474"/>
      <c r="H161" s="474"/>
      <c r="I161" s="474"/>
      <c r="J161" s="474"/>
      <c r="K161" s="474"/>
      <c r="L161" s="474"/>
    </row>
    <row r="162" spans="4:12">
      <c r="D162" s="456"/>
      <c r="E162" s="457"/>
      <c r="F162" s="457"/>
      <c r="G162" s="474"/>
      <c r="H162" s="474"/>
      <c r="I162" s="474"/>
      <c r="J162" s="474"/>
      <c r="K162" s="474"/>
      <c r="L162" s="474"/>
    </row>
    <row r="163" spans="4:12">
      <c r="D163" s="456"/>
      <c r="E163" s="457"/>
      <c r="F163" s="457"/>
      <c r="G163" s="474"/>
      <c r="H163" s="474"/>
      <c r="I163" s="474"/>
      <c r="J163" s="474"/>
      <c r="K163" s="474"/>
      <c r="L163" s="474"/>
    </row>
    <row r="164" spans="4:12">
      <c r="D164" s="456"/>
      <c r="E164" s="457"/>
      <c r="F164" s="457"/>
      <c r="G164" s="474"/>
      <c r="H164" s="474"/>
      <c r="I164" s="474"/>
      <c r="J164" s="474"/>
      <c r="K164" s="474"/>
      <c r="L164" s="474"/>
    </row>
    <row r="165" spans="4:12">
      <c r="D165" s="456"/>
      <c r="E165" s="457"/>
      <c r="F165" s="457"/>
      <c r="G165" s="474"/>
      <c r="H165" s="474"/>
      <c r="I165" s="474"/>
      <c r="J165" s="474"/>
      <c r="K165" s="474"/>
      <c r="L165" s="474"/>
    </row>
    <row r="166" spans="4:12">
      <c r="D166" s="456"/>
      <c r="E166" s="457"/>
      <c r="F166" s="457"/>
      <c r="G166" s="474"/>
      <c r="H166" s="474"/>
      <c r="I166" s="474"/>
      <c r="J166" s="474"/>
      <c r="K166" s="474"/>
      <c r="L166" s="474"/>
    </row>
    <row r="167" spans="4:12">
      <c r="D167" s="456"/>
      <c r="E167" s="457"/>
      <c r="F167" s="457"/>
      <c r="G167" s="474"/>
      <c r="H167" s="474"/>
      <c r="I167" s="474"/>
      <c r="J167" s="474"/>
      <c r="K167" s="474"/>
      <c r="L167" s="474"/>
    </row>
    <row r="168" spans="4:12">
      <c r="D168" s="456"/>
      <c r="E168" s="457"/>
      <c r="F168" s="457"/>
      <c r="G168" s="474"/>
      <c r="H168" s="474"/>
      <c r="I168" s="474"/>
      <c r="J168" s="474"/>
      <c r="K168" s="474"/>
      <c r="L168" s="474"/>
    </row>
    <row r="169" spans="4:12">
      <c r="D169" s="456"/>
      <c r="E169" s="457"/>
      <c r="F169" s="457"/>
      <c r="G169" s="474"/>
      <c r="H169" s="474"/>
      <c r="I169" s="474"/>
      <c r="J169" s="474"/>
      <c r="K169" s="474"/>
      <c r="L169" s="474"/>
    </row>
    <row r="170" spans="4:12">
      <c r="D170" s="456"/>
      <c r="E170" s="457"/>
      <c r="F170" s="457"/>
      <c r="G170" s="474"/>
      <c r="H170" s="474"/>
      <c r="I170" s="474"/>
      <c r="J170" s="474"/>
      <c r="K170" s="474"/>
      <c r="L170" s="474"/>
    </row>
    <row r="171" spans="4:12">
      <c r="D171" s="456"/>
      <c r="E171" s="457"/>
      <c r="F171" s="457"/>
      <c r="G171" s="474"/>
      <c r="H171" s="474"/>
      <c r="I171" s="474"/>
      <c r="J171" s="474"/>
      <c r="K171" s="474"/>
      <c r="L171" s="474"/>
    </row>
    <row r="172" spans="4:12">
      <c r="D172" s="456"/>
      <c r="E172" s="457"/>
      <c r="F172" s="457"/>
      <c r="G172" s="474"/>
      <c r="H172" s="474"/>
      <c r="I172" s="474"/>
      <c r="J172" s="474"/>
      <c r="K172" s="474"/>
      <c r="L172" s="474"/>
    </row>
    <row r="173" spans="4:12">
      <c r="D173" s="456"/>
      <c r="E173" s="457"/>
      <c r="F173" s="457"/>
      <c r="G173" s="474"/>
      <c r="H173" s="474"/>
      <c r="I173" s="474"/>
      <c r="J173" s="474"/>
      <c r="K173" s="474"/>
      <c r="L173" s="474"/>
    </row>
    <row r="174" spans="4:12">
      <c r="D174" s="456"/>
      <c r="E174" s="457"/>
      <c r="F174" s="457"/>
      <c r="G174" s="474"/>
      <c r="H174" s="474"/>
      <c r="I174" s="474"/>
      <c r="J174" s="474"/>
      <c r="K174" s="474"/>
      <c r="L174" s="474"/>
    </row>
    <row r="175" spans="4:12">
      <c r="D175" s="456"/>
      <c r="E175" s="457"/>
      <c r="F175" s="457"/>
      <c r="G175" s="474"/>
      <c r="H175" s="474"/>
      <c r="I175" s="474"/>
      <c r="J175" s="474"/>
      <c r="K175" s="474"/>
      <c r="L175" s="474"/>
    </row>
    <row r="176" spans="4:12">
      <c r="D176" s="456"/>
      <c r="E176" s="457"/>
      <c r="F176" s="457"/>
      <c r="G176" s="474"/>
      <c r="H176" s="474"/>
      <c r="I176" s="474"/>
      <c r="J176" s="474"/>
      <c r="K176" s="474"/>
      <c r="L176" s="474"/>
    </row>
    <row r="177" spans="4:12">
      <c r="D177" s="456"/>
      <c r="E177" s="457"/>
      <c r="F177" s="457"/>
      <c r="G177" s="474"/>
      <c r="H177" s="474"/>
      <c r="I177" s="474"/>
      <c r="J177" s="474"/>
      <c r="K177" s="474"/>
      <c r="L177" s="474"/>
    </row>
    <row r="178" spans="4:12">
      <c r="D178" s="456"/>
      <c r="E178" s="457"/>
      <c r="F178" s="457"/>
      <c r="G178" s="474"/>
      <c r="H178" s="474"/>
      <c r="I178" s="474"/>
      <c r="J178" s="474"/>
      <c r="K178" s="474"/>
      <c r="L178" s="474"/>
    </row>
    <row r="179" spans="4:12">
      <c r="D179" s="456"/>
      <c r="E179" s="457"/>
      <c r="F179" s="457"/>
      <c r="G179" s="474"/>
      <c r="H179" s="474"/>
      <c r="I179" s="474"/>
      <c r="J179" s="474"/>
      <c r="K179" s="474"/>
      <c r="L179" s="474"/>
    </row>
    <row r="180" spans="4:12">
      <c r="D180" s="456"/>
      <c r="E180" s="457"/>
      <c r="F180" s="457"/>
      <c r="G180" s="474"/>
      <c r="H180" s="474"/>
      <c r="I180" s="474"/>
      <c r="J180" s="474"/>
      <c r="K180" s="474"/>
      <c r="L180" s="474"/>
    </row>
    <row r="181" spans="4:12">
      <c r="D181" s="456"/>
      <c r="E181" s="457"/>
      <c r="F181" s="457"/>
      <c r="G181" s="474"/>
      <c r="H181" s="474"/>
      <c r="I181" s="474"/>
      <c r="J181" s="474"/>
      <c r="K181" s="474"/>
      <c r="L181" s="474"/>
    </row>
    <row r="182" spans="4:12">
      <c r="D182" s="456"/>
      <c r="E182" s="457"/>
      <c r="F182" s="457"/>
      <c r="G182" s="474"/>
      <c r="H182" s="474"/>
      <c r="I182" s="474"/>
      <c r="J182" s="474"/>
      <c r="K182" s="474"/>
      <c r="L182" s="474"/>
    </row>
    <row r="183" spans="4:12">
      <c r="D183" s="456"/>
      <c r="E183" s="457"/>
      <c r="F183" s="457"/>
      <c r="G183" s="474"/>
      <c r="H183" s="474"/>
      <c r="I183" s="474"/>
      <c r="J183" s="474"/>
      <c r="K183" s="474"/>
      <c r="L183" s="474"/>
    </row>
    <row r="184" spans="4:12">
      <c r="D184" s="456"/>
      <c r="E184" s="457"/>
      <c r="F184" s="457"/>
      <c r="G184" s="474"/>
      <c r="H184" s="474"/>
      <c r="I184" s="474"/>
      <c r="J184" s="474"/>
      <c r="K184" s="474"/>
      <c r="L184" s="474"/>
    </row>
    <row r="185" spans="4:12">
      <c r="D185" s="456"/>
      <c r="E185" s="457"/>
      <c r="F185" s="457"/>
      <c r="G185" s="474"/>
      <c r="H185" s="474"/>
      <c r="I185" s="474"/>
      <c r="J185" s="474"/>
      <c r="K185" s="474"/>
      <c r="L185" s="474"/>
    </row>
    <row r="186" spans="4:12">
      <c r="D186" s="456"/>
      <c r="E186" s="457"/>
      <c r="F186" s="457"/>
      <c r="G186" s="474"/>
      <c r="H186" s="474"/>
      <c r="I186" s="474"/>
      <c r="J186" s="474"/>
      <c r="K186" s="474"/>
      <c r="L186" s="474"/>
    </row>
    <row r="187" spans="4:12">
      <c r="D187" s="456"/>
      <c r="E187" s="457"/>
      <c r="F187" s="457"/>
      <c r="G187" s="474"/>
      <c r="H187" s="474"/>
      <c r="I187" s="474"/>
      <c r="J187" s="474"/>
      <c r="K187" s="474"/>
      <c r="L187" s="474"/>
    </row>
    <row r="188" spans="4:12">
      <c r="D188" s="456"/>
      <c r="E188" s="457"/>
      <c r="F188" s="457"/>
      <c r="G188" s="474"/>
      <c r="H188" s="474"/>
      <c r="I188" s="474"/>
      <c r="J188" s="474"/>
      <c r="K188" s="474"/>
      <c r="L188" s="474"/>
    </row>
    <row r="189" spans="4:12">
      <c r="D189" s="456"/>
      <c r="E189" s="457"/>
      <c r="F189" s="457"/>
      <c r="G189" s="474"/>
      <c r="H189" s="474"/>
      <c r="I189" s="474"/>
      <c r="J189" s="474"/>
      <c r="K189" s="474"/>
      <c r="L189" s="474"/>
    </row>
    <row r="190" spans="4:12">
      <c r="D190" s="456"/>
      <c r="E190" s="457"/>
      <c r="F190" s="457"/>
      <c r="G190" s="474"/>
      <c r="H190" s="474"/>
      <c r="I190" s="474"/>
      <c r="J190" s="474"/>
      <c r="K190" s="474"/>
      <c r="L190" s="474"/>
    </row>
    <row r="191" spans="4:12">
      <c r="D191" s="456"/>
      <c r="E191" s="457"/>
      <c r="F191" s="457"/>
      <c r="G191" s="474"/>
      <c r="H191" s="474"/>
      <c r="I191" s="474"/>
      <c r="J191" s="474"/>
      <c r="K191" s="474"/>
      <c r="L191" s="474"/>
    </row>
    <row r="192" spans="4:12">
      <c r="D192" s="456"/>
      <c r="E192" s="457"/>
      <c r="F192" s="457"/>
      <c r="G192" s="474"/>
      <c r="H192" s="474"/>
      <c r="I192" s="474"/>
      <c r="J192" s="474"/>
      <c r="K192" s="474"/>
      <c r="L192" s="474"/>
    </row>
    <row r="193" spans="4:12">
      <c r="D193" s="456"/>
      <c r="E193" s="457"/>
      <c r="F193" s="457"/>
      <c r="G193" s="474"/>
      <c r="H193" s="474"/>
      <c r="I193" s="474"/>
      <c r="J193" s="474"/>
      <c r="K193" s="474"/>
      <c r="L193" s="474"/>
    </row>
    <row r="194" spans="4:12">
      <c r="D194" s="456"/>
      <c r="E194" s="457"/>
      <c r="F194" s="457"/>
      <c r="G194" s="474"/>
      <c r="H194" s="474"/>
      <c r="I194" s="474"/>
      <c r="J194" s="474"/>
      <c r="K194" s="474"/>
      <c r="L194" s="474"/>
    </row>
    <row r="195" spans="4:12">
      <c r="D195" s="456"/>
      <c r="E195" s="457"/>
      <c r="F195" s="457"/>
      <c r="G195" s="474"/>
      <c r="H195" s="474"/>
      <c r="I195" s="474"/>
      <c r="J195" s="474"/>
      <c r="K195" s="474"/>
      <c r="L195" s="474"/>
    </row>
    <row r="196" spans="4:12">
      <c r="D196" s="456"/>
      <c r="E196" s="457"/>
      <c r="F196" s="457"/>
      <c r="G196" s="474"/>
      <c r="H196" s="474"/>
      <c r="I196" s="474"/>
      <c r="J196" s="474"/>
      <c r="K196" s="474"/>
      <c r="L196" s="474"/>
    </row>
    <row r="197" spans="4:12">
      <c r="D197" s="456"/>
      <c r="E197" s="457"/>
      <c r="F197" s="457"/>
      <c r="G197" s="474"/>
      <c r="H197" s="474"/>
      <c r="I197" s="474"/>
      <c r="J197" s="474"/>
      <c r="K197" s="474"/>
      <c r="L197" s="474"/>
    </row>
    <row r="198" spans="4:12">
      <c r="D198" s="456"/>
      <c r="E198" s="457"/>
      <c r="F198" s="457"/>
      <c r="G198" s="474"/>
      <c r="H198" s="474"/>
      <c r="I198" s="474"/>
      <c r="J198" s="474"/>
      <c r="K198" s="474"/>
      <c r="L198" s="474"/>
    </row>
    <row r="199" spans="4:12">
      <c r="D199" s="456"/>
      <c r="E199" s="457"/>
      <c r="F199" s="457"/>
      <c r="G199" s="474"/>
      <c r="H199" s="474"/>
      <c r="I199" s="474"/>
      <c r="J199" s="474"/>
      <c r="K199" s="474"/>
      <c r="L199" s="474"/>
    </row>
    <row r="200" spans="4:12">
      <c r="D200" s="456"/>
      <c r="E200" s="457"/>
      <c r="F200" s="457"/>
      <c r="G200" s="474"/>
      <c r="H200" s="474"/>
      <c r="I200" s="474"/>
      <c r="J200" s="474"/>
      <c r="K200" s="474"/>
      <c r="L200" s="474"/>
    </row>
    <row r="201" spans="4:12">
      <c r="D201" s="456"/>
      <c r="E201" s="457"/>
      <c r="F201" s="457"/>
      <c r="G201" s="474"/>
      <c r="H201" s="474"/>
      <c r="I201" s="474"/>
      <c r="J201" s="474"/>
      <c r="K201" s="474"/>
      <c r="L201" s="474"/>
    </row>
    <row r="202" spans="4:12">
      <c r="D202" s="456"/>
      <c r="E202" s="457"/>
      <c r="F202" s="457"/>
      <c r="G202" s="474"/>
      <c r="H202" s="474"/>
      <c r="I202" s="474"/>
      <c r="J202" s="474"/>
      <c r="K202" s="474"/>
      <c r="L202" s="474"/>
    </row>
    <row r="203" spans="4:12">
      <c r="D203" s="456"/>
      <c r="E203" s="457"/>
      <c r="F203" s="457"/>
      <c r="G203" s="474"/>
      <c r="H203" s="474"/>
      <c r="I203" s="474"/>
      <c r="J203" s="474"/>
      <c r="K203" s="474"/>
      <c r="L203" s="474"/>
    </row>
    <row r="204" spans="4:12">
      <c r="D204" s="456"/>
      <c r="E204" s="457"/>
      <c r="F204" s="457"/>
      <c r="G204" s="474"/>
      <c r="H204" s="474"/>
      <c r="I204" s="474"/>
      <c r="J204" s="474"/>
      <c r="K204" s="474"/>
      <c r="L204" s="474"/>
    </row>
    <row r="205" spans="4:12">
      <c r="D205" s="456"/>
      <c r="E205" s="457"/>
      <c r="F205" s="457"/>
      <c r="G205" s="474"/>
      <c r="H205" s="474"/>
      <c r="I205" s="474"/>
      <c r="J205" s="474"/>
      <c r="K205" s="474"/>
      <c r="L205" s="474"/>
    </row>
    <row r="206" spans="4:12">
      <c r="D206" s="456"/>
      <c r="E206" s="457"/>
      <c r="F206" s="457"/>
      <c r="G206" s="474"/>
      <c r="H206" s="474"/>
      <c r="I206" s="474"/>
      <c r="J206" s="474"/>
      <c r="K206" s="474"/>
      <c r="L206" s="474"/>
    </row>
    <row r="207" spans="4:12">
      <c r="D207" s="456"/>
      <c r="E207" s="457"/>
      <c r="F207" s="457"/>
      <c r="G207" s="474"/>
      <c r="H207" s="474"/>
      <c r="I207" s="474"/>
      <c r="J207" s="474"/>
      <c r="K207" s="474"/>
      <c r="L207" s="474"/>
    </row>
    <row r="208" spans="4:12">
      <c r="D208" s="456"/>
      <c r="E208" s="457"/>
      <c r="F208" s="457"/>
      <c r="G208" s="474"/>
      <c r="H208" s="474"/>
      <c r="I208" s="474"/>
      <c r="J208" s="474"/>
      <c r="K208" s="474"/>
      <c r="L208" s="474"/>
    </row>
    <row r="209" spans="4:12">
      <c r="D209" s="456"/>
      <c r="E209" s="457"/>
      <c r="F209" s="457"/>
      <c r="G209" s="474"/>
      <c r="H209" s="474"/>
      <c r="I209" s="474"/>
      <c r="J209" s="474"/>
      <c r="K209" s="474"/>
      <c r="L209" s="474"/>
    </row>
    <row r="210" spans="4:12">
      <c r="D210" s="456"/>
      <c r="E210" s="457"/>
      <c r="F210" s="457"/>
      <c r="G210" s="474"/>
      <c r="H210" s="474"/>
      <c r="I210" s="474"/>
      <c r="J210" s="474"/>
      <c r="K210" s="474"/>
      <c r="L210" s="474"/>
    </row>
    <row r="211" spans="4:12">
      <c r="D211" s="456"/>
      <c r="E211" s="457"/>
      <c r="F211" s="457"/>
      <c r="G211" s="474"/>
      <c r="H211" s="474"/>
      <c r="I211" s="474"/>
      <c r="J211" s="474"/>
      <c r="K211" s="474"/>
      <c r="L211" s="474"/>
    </row>
    <row r="212" spans="4:12">
      <c r="D212" s="456"/>
      <c r="E212" s="457"/>
      <c r="F212" s="457"/>
      <c r="G212" s="474"/>
      <c r="H212" s="474"/>
      <c r="I212" s="474"/>
      <c r="J212" s="474"/>
      <c r="K212" s="474"/>
      <c r="L212" s="474"/>
    </row>
    <row r="213" spans="4:12">
      <c r="D213" s="456"/>
      <c r="E213" s="457"/>
      <c r="F213" s="457"/>
      <c r="G213" s="474"/>
      <c r="H213" s="474"/>
      <c r="I213" s="474"/>
      <c r="J213" s="474"/>
      <c r="K213" s="474"/>
      <c r="L213" s="474"/>
    </row>
    <row r="214" spans="4:12">
      <c r="D214" s="456"/>
      <c r="E214" s="457"/>
      <c r="F214" s="457"/>
      <c r="G214" s="474"/>
      <c r="H214" s="474"/>
      <c r="I214" s="474"/>
      <c r="J214" s="474"/>
      <c r="K214" s="474"/>
      <c r="L214" s="474"/>
    </row>
    <row r="215" spans="4:12">
      <c r="D215" s="456"/>
      <c r="E215" s="457"/>
      <c r="F215" s="457"/>
      <c r="G215" s="474"/>
      <c r="H215" s="474"/>
      <c r="I215" s="474"/>
      <c r="J215" s="474"/>
      <c r="K215" s="474"/>
      <c r="L215" s="474"/>
    </row>
    <row r="216" spans="4:12">
      <c r="D216" s="456"/>
      <c r="E216" s="457"/>
      <c r="F216" s="457"/>
      <c r="G216" s="474"/>
      <c r="H216" s="474"/>
      <c r="I216" s="474"/>
      <c r="J216" s="474"/>
      <c r="K216" s="474"/>
      <c r="L216" s="474"/>
    </row>
    <row r="217" spans="4:12">
      <c r="D217" s="456"/>
      <c r="E217" s="457"/>
      <c r="F217" s="457"/>
      <c r="G217" s="474"/>
      <c r="H217" s="474"/>
      <c r="I217" s="474"/>
      <c r="J217" s="474"/>
      <c r="K217" s="474"/>
      <c r="L217" s="474"/>
    </row>
    <row r="218" spans="4:12">
      <c r="D218" s="456"/>
      <c r="E218" s="457"/>
      <c r="F218" s="457"/>
      <c r="G218" s="474"/>
      <c r="H218" s="474"/>
      <c r="I218" s="474"/>
      <c r="J218" s="474"/>
      <c r="K218" s="474"/>
      <c r="L218" s="474"/>
    </row>
    <row r="219" spans="4:12">
      <c r="D219" s="456"/>
      <c r="E219" s="457"/>
      <c r="F219" s="457"/>
      <c r="G219" s="474"/>
      <c r="H219" s="474"/>
      <c r="I219" s="474"/>
      <c r="J219" s="474"/>
      <c r="K219" s="474"/>
      <c r="L219" s="474"/>
    </row>
    <row r="220" spans="4:12">
      <c r="D220" s="456"/>
      <c r="E220" s="457"/>
      <c r="F220" s="457"/>
      <c r="G220" s="474"/>
      <c r="H220" s="474"/>
      <c r="I220" s="474"/>
      <c r="J220" s="474"/>
      <c r="K220" s="474"/>
      <c r="L220" s="474"/>
    </row>
    <row r="221" spans="4:12">
      <c r="D221" s="456"/>
      <c r="E221" s="457"/>
      <c r="F221" s="457"/>
      <c r="G221" s="474"/>
      <c r="H221" s="474"/>
      <c r="I221" s="474"/>
      <c r="J221" s="474"/>
      <c r="K221" s="474"/>
      <c r="L221" s="474"/>
    </row>
    <row r="222" spans="4:12">
      <c r="D222" s="456"/>
      <c r="E222" s="457"/>
      <c r="F222" s="457"/>
      <c r="G222" s="474"/>
      <c r="H222" s="474"/>
      <c r="I222" s="474"/>
      <c r="J222" s="474"/>
      <c r="K222" s="474"/>
      <c r="L222" s="474"/>
    </row>
    <row r="223" spans="4:12">
      <c r="D223" s="456"/>
      <c r="E223" s="457"/>
      <c r="F223" s="457"/>
      <c r="G223" s="474"/>
      <c r="H223" s="474"/>
      <c r="I223" s="474"/>
      <c r="J223" s="474"/>
      <c r="K223" s="474"/>
      <c r="L223" s="474"/>
    </row>
    <row r="224" spans="4:12">
      <c r="D224" s="456"/>
      <c r="E224" s="457"/>
      <c r="F224" s="457"/>
      <c r="G224" s="474"/>
      <c r="H224" s="474"/>
      <c r="I224" s="474"/>
      <c r="J224" s="474"/>
      <c r="K224" s="474"/>
      <c r="L224" s="474"/>
    </row>
    <row r="225" spans="4:12">
      <c r="D225" s="456"/>
      <c r="E225" s="457"/>
      <c r="F225" s="457"/>
      <c r="G225" s="474"/>
      <c r="H225" s="474"/>
      <c r="I225" s="474"/>
      <c r="J225" s="474"/>
      <c r="K225" s="474"/>
      <c r="L225" s="474"/>
    </row>
    <row r="226" spans="4:12">
      <c r="D226" s="456"/>
      <c r="E226" s="457"/>
      <c r="F226" s="457"/>
      <c r="G226" s="474"/>
      <c r="H226" s="474"/>
      <c r="I226" s="474"/>
      <c r="J226" s="474"/>
      <c r="K226" s="474"/>
      <c r="L226" s="474"/>
    </row>
    <row r="227" spans="4:12">
      <c r="D227" s="456"/>
      <c r="E227" s="457"/>
      <c r="F227" s="457"/>
      <c r="G227" s="474"/>
      <c r="H227" s="474"/>
      <c r="I227" s="474"/>
      <c r="J227" s="474"/>
      <c r="K227" s="474"/>
      <c r="L227" s="474"/>
    </row>
    <row r="228" spans="4:12">
      <c r="D228" s="456"/>
      <c r="E228" s="457"/>
      <c r="F228" s="457"/>
      <c r="G228" s="474"/>
      <c r="H228" s="474"/>
      <c r="I228" s="474"/>
      <c r="J228" s="474"/>
      <c r="K228" s="474"/>
      <c r="L228" s="474"/>
    </row>
    <row r="229" spans="4:12">
      <c r="D229" s="456"/>
      <c r="E229" s="457"/>
      <c r="F229" s="457"/>
      <c r="G229" s="474"/>
      <c r="H229" s="474"/>
      <c r="I229" s="474"/>
      <c r="J229" s="474"/>
      <c r="K229" s="474"/>
      <c r="L229" s="474"/>
    </row>
    <row r="230" spans="4:12">
      <c r="D230" s="456"/>
      <c r="E230" s="457"/>
      <c r="F230" s="457"/>
      <c r="G230" s="474"/>
      <c r="H230" s="474"/>
      <c r="I230" s="474"/>
      <c r="J230" s="474"/>
      <c r="K230" s="474"/>
      <c r="L230" s="474"/>
    </row>
    <row r="231" spans="4:12">
      <c r="D231" s="456"/>
      <c r="E231" s="457"/>
      <c r="F231" s="457"/>
      <c r="G231" s="474"/>
      <c r="H231" s="474"/>
      <c r="I231" s="474"/>
      <c r="J231" s="474"/>
      <c r="K231" s="474"/>
      <c r="L231" s="474"/>
    </row>
    <row r="232" spans="4:12">
      <c r="D232" s="456"/>
      <c r="E232" s="457"/>
      <c r="F232" s="457"/>
      <c r="G232" s="474"/>
      <c r="H232" s="474"/>
      <c r="I232" s="474"/>
      <c r="J232" s="474"/>
      <c r="K232" s="474"/>
      <c r="L232" s="474"/>
    </row>
    <row r="233" spans="4:12">
      <c r="D233" s="456"/>
      <c r="E233" s="457"/>
      <c r="F233" s="457"/>
      <c r="G233" s="474"/>
      <c r="H233" s="474"/>
      <c r="I233" s="474"/>
      <c r="J233" s="474"/>
      <c r="K233" s="474"/>
      <c r="L233" s="474"/>
    </row>
    <row r="234" spans="4:12">
      <c r="D234" s="456"/>
      <c r="E234" s="457"/>
      <c r="F234" s="457"/>
      <c r="G234" s="474"/>
      <c r="H234" s="474"/>
      <c r="I234" s="474"/>
      <c r="J234" s="474"/>
      <c r="K234" s="474"/>
      <c r="L234" s="474"/>
    </row>
    <row r="235" spans="4:12">
      <c r="D235" s="456"/>
      <c r="E235" s="457"/>
      <c r="F235" s="457"/>
      <c r="G235" s="474"/>
      <c r="H235" s="474"/>
      <c r="I235" s="474"/>
      <c r="J235" s="474"/>
      <c r="K235" s="474"/>
      <c r="L235" s="474"/>
    </row>
    <row r="236" spans="4:12">
      <c r="D236" s="456"/>
      <c r="E236" s="457"/>
      <c r="F236" s="457"/>
      <c r="G236" s="474"/>
      <c r="H236" s="474"/>
      <c r="I236" s="474"/>
      <c r="J236" s="474"/>
      <c r="K236" s="474"/>
      <c r="L236" s="474"/>
    </row>
    <row r="237" spans="4:12">
      <c r="D237" s="456"/>
      <c r="E237" s="457"/>
      <c r="F237" s="457"/>
      <c r="G237" s="474"/>
      <c r="H237" s="474"/>
      <c r="I237" s="474"/>
      <c r="J237" s="474"/>
      <c r="K237" s="474"/>
      <c r="L237" s="474"/>
    </row>
    <row r="238" spans="4:12">
      <c r="D238" s="456"/>
      <c r="E238" s="457"/>
      <c r="F238" s="457"/>
      <c r="G238" s="474"/>
      <c r="H238" s="474"/>
      <c r="I238" s="474"/>
      <c r="J238" s="474"/>
      <c r="K238" s="474"/>
      <c r="L238" s="474"/>
    </row>
    <row r="239" spans="4:12">
      <c r="D239" s="456"/>
      <c r="E239" s="457"/>
      <c r="F239" s="457"/>
      <c r="G239" s="474"/>
      <c r="H239" s="474"/>
      <c r="I239" s="474"/>
      <c r="J239" s="474"/>
      <c r="K239" s="474"/>
      <c r="L239" s="474"/>
    </row>
    <row r="240" spans="4:12">
      <c r="D240" s="456"/>
      <c r="E240" s="457"/>
      <c r="F240" s="457"/>
      <c r="G240" s="474"/>
      <c r="H240" s="474"/>
      <c r="I240" s="474"/>
      <c r="J240" s="474"/>
      <c r="K240" s="474"/>
      <c r="L240" s="474"/>
    </row>
    <row r="241" spans="4:12">
      <c r="D241" s="456"/>
      <c r="E241" s="457"/>
      <c r="F241" s="457"/>
      <c r="G241" s="474"/>
      <c r="H241" s="474"/>
      <c r="I241" s="474"/>
      <c r="J241" s="474"/>
      <c r="K241" s="474"/>
      <c r="L241" s="474"/>
    </row>
    <row r="242" spans="4:12">
      <c r="D242" s="456"/>
      <c r="E242" s="457"/>
      <c r="F242" s="457"/>
      <c r="G242" s="474"/>
      <c r="H242" s="474"/>
      <c r="I242" s="474"/>
      <c r="J242" s="474"/>
      <c r="K242" s="474"/>
      <c r="L242" s="474"/>
    </row>
    <row r="243" spans="4:12">
      <c r="D243" s="456"/>
      <c r="E243" s="457"/>
      <c r="F243" s="457"/>
      <c r="G243" s="474"/>
      <c r="H243" s="474"/>
      <c r="I243" s="474"/>
      <c r="J243" s="474"/>
      <c r="K243" s="474"/>
      <c r="L243" s="474"/>
    </row>
    <row r="244" spans="4:12">
      <c r="D244" s="456"/>
      <c r="E244" s="457"/>
      <c r="F244" s="457"/>
      <c r="G244" s="474"/>
      <c r="H244" s="474"/>
      <c r="I244" s="474"/>
      <c r="J244" s="474"/>
      <c r="K244" s="474"/>
      <c r="L244" s="474"/>
    </row>
    <row r="245" spans="4:12">
      <c r="D245" s="456"/>
      <c r="E245" s="457"/>
      <c r="F245" s="457"/>
      <c r="G245" s="474"/>
      <c r="H245" s="474"/>
      <c r="I245" s="474"/>
      <c r="J245" s="474"/>
      <c r="K245" s="474"/>
      <c r="L245" s="474"/>
    </row>
    <row r="246" spans="4:12">
      <c r="D246" s="456"/>
      <c r="E246" s="457"/>
      <c r="F246" s="457"/>
      <c r="G246" s="474"/>
      <c r="H246" s="474"/>
      <c r="I246" s="474"/>
      <c r="J246" s="474"/>
      <c r="K246" s="474"/>
      <c r="L246" s="474"/>
    </row>
    <row r="247" spans="4:12">
      <c r="D247" s="456"/>
      <c r="E247" s="457"/>
      <c r="F247" s="457"/>
      <c r="G247" s="474"/>
      <c r="H247" s="474"/>
      <c r="I247" s="474"/>
      <c r="J247" s="474"/>
      <c r="K247" s="474"/>
      <c r="L247" s="474"/>
    </row>
    <row r="248" spans="4:12">
      <c r="D248" s="456"/>
      <c r="E248" s="457"/>
      <c r="F248" s="457"/>
      <c r="G248" s="474"/>
      <c r="H248" s="474"/>
      <c r="I248" s="474"/>
      <c r="J248" s="474"/>
      <c r="K248" s="474"/>
      <c r="L248" s="474"/>
    </row>
    <row r="249" spans="4:12">
      <c r="D249" s="456"/>
      <c r="E249" s="457"/>
      <c r="F249" s="457"/>
      <c r="G249" s="474"/>
      <c r="H249" s="474"/>
      <c r="I249" s="474"/>
      <c r="J249" s="474"/>
      <c r="K249" s="474"/>
      <c r="L249" s="474"/>
    </row>
    <row r="250" spans="4:12">
      <c r="D250" s="456"/>
      <c r="E250" s="457"/>
      <c r="F250" s="457"/>
      <c r="G250" s="474"/>
      <c r="H250" s="474"/>
      <c r="I250" s="474"/>
      <c r="J250" s="474"/>
      <c r="K250" s="474"/>
      <c r="L250" s="474"/>
    </row>
    <row r="251" spans="4:12">
      <c r="D251" s="456"/>
      <c r="E251" s="457"/>
      <c r="F251" s="457"/>
      <c r="G251" s="474"/>
      <c r="H251" s="474"/>
      <c r="I251" s="474"/>
      <c r="J251" s="474"/>
      <c r="K251" s="474"/>
      <c r="L251" s="474"/>
    </row>
    <row r="252" spans="4:12">
      <c r="D252" s="456"/>
      <c r="E252" s="457"/>
      <c r="F252" s="457"/>
      <c r="G252" s="474"/>
      <c r="H252" s="474"/>
      <c r="I252" s="474"/>
      <c r="J252" s="474"/>
      <c r="K252" s="474"/>
      <c r="L252" s="474"/>
    </row>
    <row r="253" spans="4:12">
      <c r="D253" s="456"/>
      <c r="E253" s="457"/>
      <c r="F253" s="457"/>
      <c r="G253" s="474"/>
      <c r="H253" s="474"/>
      <c r="I253" s="474"/>
      <c r="J253" s="474"/>
      <c r="K253" s="474"/>
      <c r="L253" s="474"/>
    </row>
    <row r="254" spans="4:12">
      <c r="D254" s="456"/>
      <c r="E254" s="457"/>
      <c r="F254" s="457"/>
      <c r="G254" s="474"/>
      <c r="H254" s="474"/>
      <c r="I254" s="474"/>
      <c r="J254" s="474"/>
      <c r="K254" s="474"/>
      <c r="L254" s="474"/>
    </row>
    <row r="255" spans="4:12">
      <c r="D255" s="456"/>
      <c r="E255" s="457"/>
      <c r="F255" s="457"/>
      <c r="G255" s="474"/>
      <c r="H255" s="474"/>
      <c r="I255" s="474"/>
      <c r="J255" s="474"/>
      <c r="K255" s="474"/>
      <c r="L255" s="474"/>
    </row>
    <row r="256" spans="4:12">
      <c r="D256" s="456"/>
      <c r="E256" s="457"/>
      <c r="F256" s="457"/>
      <c r="G256" s="474"/>
      <c r="H256" s="474"/>
      <c r="I256" s="474"/>
      <c r="J256" s="474"/>
      <c r="K256" s="474"/>
      <c r="L256" s="474"/>
    </row>
    <row r="257" spans="4:12">
      <c r="D257" s="456"/>
      <c r="E257" s="457"/>
      <c r="F257" s="457"/>
      <c r="G257" s="474"/>
      <c r="H257" s="474"/>
      <c r="I257" s="474"/>
      <c r="J257" s="474"/>
      <c r="K257" s="474"/>
      <c r="L257" s="474"/>
    </row>
    <row r="258" spans="4:12">
      <c r="D258" s="456"/>
      <c r="E258" s="457"/>
      <c r="F258" s="457"/>
      <c r="G258" s="474"/>
      <c r="H258" s="474"/>
      <c r="I258" s="474"/>
      <c r="J258" s="474"/>
      <c r="K258" s="474"/>
      <c r="L258" s="474"/>
    </row>
    <row r="259" spans="4:12">
      <c r="D259" s="456"/>
      <c r="E259" s="457"/>
      <c r="F259" s="457"/>
      <c r="G259" s="474"/>
      <c r="H259" s="474"/>
      <c r="I259" s="474"/>
      <c r="J259" s="474"/>
      <c r="K259" s="474"/>
      <c r="L259" s="474"/>
    </row>
    <row r="260" spans="4:12">
      <c r="D260" s="456"/>
      <c r="E260" s="457"/>
      <c r="F260" s="457"/>
      <c r="G260" s="474"/>
      <c r="H260" s="474"/>
      <c r="I260" s="474"/>
      <c r="J260" s="474"/>
      <c r="K260" s="474"/>
      <c r="L260" s="474"/>
    </row>
    <row r="261" spans="4:12">
      <c r="D261" s="456"/>
      <c r="E261" s="457"/>
      <c r="F261" s="457"/>
      <c r="G261" s="474"/>
      <c r="H261" s="474"/>
      <c r="I261" s="474"/>
      <c r="J261" s="474"/>
      <c r="K261" s="474"/>
      <c r="L261" s="474"/>
    </row>
    <row r="262" spans="4:12">
      <c r="D262" s="456"/>
      <c r="E262" s="457"/>
      <c r="F262" s="457"/>
      <c r="G262" s="474"/>
      <c r="H262" s="474"/>
      <c r="I262" s="474"/>
      <c r="J262" s="474"/>
      <c r="K262" s="474"/>
      <c r="L262" s="474"/>
    </row>
    <row r="263" spans="4:12">
      <c r="D263" s="456"/>
      <c r="E263" s="457"/>
      <c r="F263" s="457"/>
      <c r="G263" s="474"/>
      <c r="H263" s="474"/>
      <c r="I263" s="474"/>
      <c r="J263" s="474"/>
      <c r="K263" s="474"/>
      <c r="L263" s="474"/>
    </row>
    <row r="264" spans="4:12">
      <c r="D264" s="456"/>
      <c r="E264" s="457"/>
      <c r="F264" s="457"/>
      <c r="G264" s="474"/>
      <c r="H264" s="474"/>
      <c r="I264" s="474"/>
      <c r="J264" s="474"/>
      <c r="K264" s="474"/>
      <c r="L264" s="474"/>
    </row>
    <row r="265" spans="4:12">
      <c r="D265" s="456"/>
      <c r="E265" s="457"/>
      <c r="F265" s="457"/>
      <c r="G265" s="474"/>
      <c r="H265" s="474"/>
      <c r="I265" s="474"/>
      <c r="J265" s="474"/>
      <c r="K265" s="474"/>
      <c r="L265" s="474"/>
    </row>
    <row r="266" spans="4:12">
      <c r="D266" s="456"/>
      <c r="E266" s="457"/>
      <c r="F266" s="457"/>
      <c r="G266" s="474"/>
      <c r="H266" s="474"/>
      <c r="I266" s="474"/>
      <c r="J266" s="474"/>
      <c r="K266" s="474"/>
      <c r="L266" s="474"/>
    </row>
    <row r="267" spans="4:12">
      <c r="D267" s="456"/>
      <c r="E267" s="457"/>
      <c r="F267" s="457"/>
      <c r="G267" s="474"/>
      <c r="H267" s="474"/>
      <c r="I267" s="474"/>
      <c r="J267" s="474"/>
      <c r="K267" s="474"/>
      <c r="L267" s="474"/>
    </row>
    <row r="268" spans="4:12">
      <c r="D268" s="456"/>
      <c r="E268" s="457"/>
      <c r="F268" s="457"/>
      <c r="G268" s="474"/>
      <c r="H268" s="474"/>
      <c r="I268" s="474"/>
      <c r="J268" s="474"/>
      <c r="K268" s="474"/>
      <c r="L268" s="474"/>
    </row>
    <row r="269" spans="4:12">
      <c r="D269" s="456"/>
      <c r="E269" s="457"/>
      <c r="F269" s="457"/>
      <c r="G269" s="474"/>
      <c r="H269" s="474"/>
      <c r="I269" s="474"/>
      <c r="J269" s="474"/>
      <c r="K269" s="474"/>
      <c r="L269" s="474"/>
    </row>
    <row r="270" spans="4:12">
      <c r="D270" s="456"/>
      <c r="E270" s="457"/>
      <c r="F270" s="457"/>
      <c r="G270" s="474"/>
      <c r="H270" s="474"/>
      <c r="I270" s="474"/>
      <c r="J270" s="474"/>
      <c r="K270" s="474"/>
      <c r="L270" s="474"/>
    </row>
    <row r="271" spans="4:12">
      <c r="D271" s="456"/>
      <c r="E271" s="457"/>
      <c r="F271" s="457"/>
      <c r="G271" s="474"/>
      <c r="H271" s="474"/>
      <c r="I271" s="474"/>
      <c r="J271" s="474"/>
      <c r="K271" s="474"/>
      <c r="L271" s="474"/>
    </row>
    <row r="272" spans="4:12">
      <c r="D272" s="456"/>
      <c r="E272" s="457"/>
      <c r="F272" s="457"/>
      <c r="G272" s="474"/>
      <c r="H272" s="474"/>
      <c r="I272" s="474"/>
      <c r="J272" s="474"/>
      <c r="K272" s="474"/>
      <c r="L272" s="474"/>
    </row>
    <row r="273" spans="4:12">
      <c r="D273" s="456"/>
      <c r="E273" s="457"/>
      <c r="F273" s="457"/>
      <c r="G273" s="474"/>
      <c r="H273" s="474"/>
      <c r="I273" s="474"/>
      <c r="J273" s="474"/>
      <c r="K273" s="474"/>
      <c r="L273" s="474"/>
    </row>
    <row r="274" spans="4:12">
      <c r="D274" s="456"/>
      <c r="E274" s="457"/>
      <c r="F274" s="457"/>
      <c r="G274" s="474"/>
      <c r="H274" s="474"/>
      <c r="I274" s="474"/>
      <c r="J274" s="474"/>
      <c r="K274" s="474"/>
      <c r="L274" s="474"/>
    </row>
    <row r="275" spans="4:12">
      <c r="D275" s="456"/>
      <c r="E275" s="457"/>
      <c r="F275" s="457"/>
      <c r="G275" s="474"/>
      <c r="H275" s="474"/>
      <c r="I275" s="474"/>
      <c r="J275" s="474"/>
      <c r="K275" s="474"/>
      <c r="L275" s="474"/>
    </row>
    <row r="276" spans="4:12">
      <c r="D276" s="456"/>
      <c r="E276" s="457"/>
      <c r="F276" s="457"/>
      <c r="G276" s="474"/>
      <c r="H276" s="474"/>
      <c r="I276" s="474"/>
      <c r="J276" s="474"/>
      <c r="K276" s="474"/>
      <c r="L276" s="474"/>
    </row>
    <row r="277" spans="4:12">
      <c r="D277" s="456"/>
      <c r="E277" s="457"/>
      <c r="F277" s="457"/>
      <c r="G277" s="474"/>
      <c r="H277" s="474"/>
      <c r="I277" s="474"/>
      <c r="J277" s="474"/>
      <c r="K277" s="474"/>
      <c r="L277" s="474"/>
    </row>
    <row r="278" spans="4:12">
      <c r="D278" s="456"/>
      <c r="E278" s="457"/>
      <c r="F278" s="457"/>
      <c r="G278" s="474"/>
      <c r="H278" s="474"/>
      <c r="I278" s="474"/>
      <c r="J278" s="474"/>
      <c r="K278" s="474"/>
      <c r="L278" s="474"/>
    </row>
    <row r="279" spans="4:12">
      <c r="D279" s="456"/>
      <c r="E279" s="457"/>
      <c r="F279" s="457"/>
      <c r="G279" s="474"/>
      <c r="H279" s="474"/>
      <c r="I279" s="474"/>
      <c r="J279" s="474"/>
      <c r="K279" s="474"/>
      <c r="L279" s="474"/>
    </row>
    <row r="280" spans="4:12">
      <c r="D280" s="456"/>
      <c r="E280" s="457"/>
      <c r="F280" s="457"/>
      <c r="G280" s="474"/>
      <c r="H280" s="474"/>
      <c r="I280" s="474"/>
      <c r="J280" s="474"/>
      <c r="K280" s="474"/>
      <c r="L280" s="474"/>
    </row>
    <row r="281" spans="4:12">
      <c r="D281" s="456"/>
      <c r="E281" s="457"/>
      <c r="F281" s="457"/>
      <c r="G281" s="474"/>
      <c r="H281" s="474"/>
      <c r="I281" s="474"/>
      <c r="J281" s="474"/>
      <c r="K281" s="474"/>
      <c r="L281" s="474"/>
    </row>
    <row r="282" spans="4:12">
      <c r="D282" s="456"/>
      <c r="E282" s="457"/>
      <c r="F282" s="457"/>
      <c r="G282" s="474"/>
      <c r="H282" s="474"/>
      <c r="I282" s="474"/>
      <c r="J282" s="474"/>
      <c r="K282" s="474"/>
      <c r="L282" s="474"/>
    </row>
    <row r="283" spans="4:12">
      <c r="D283" s="456"/>
      <c r="E283" s="457"/>
      <c r="F283" s="457"/>
      <c r="G283" s="474"/>
      <c r="H283" s="474"/>
      <c r="I283" s="474"/>
      <c r="J283" s="474"/>
      <c r="K283" s="474"/>
      <c r="L283" s="474"/>
    </row>
    <row r="284" spans="4:12">
      <c r="D284" s="456"/>
      <c r="E284" s="457"/>
      <c r="F284" s="457"/>
      <c r="G284" s="474"/>
      <c r="H284" s="474"/>
      <c r="I284" s="474"/>
      <c r="J284" s="474"/>
      <c r="K284" s="474"/>
      <c r="L284" s="474"/>
    </row>
    <row r="285" spans="4:12">
      <c r="D285" s="456"/>
      <c r="E285" s="457"/>
      <c r="F285" s="457"/>
      <c r="G285" s="474"/>
      <c r="H285" s="474"/>
      <c r="I285" s="474"/>
      <c r="J285" s="474"/>
      <c r="K285" s="474"/>
      <c r="L285" s="474"/>
    </row>
    <row r="286" spans="4:12">
      <c r="D286" s="456"/>
      <c r="E286" s="457"/>
      <c r="F286" s="457"/>
      <c r="G286" s="474"/>
      <c r="H286" s="474"/>
      <c r="I286" s="474"/>
      <c r="J286" s="474"/>
      <c r="K286" s="474"/>
      <c r="L286" s="474"/>
    </row>
    <row r="287" spans="4:12">
      <c r="D287" s="456"/>
      <c r="E287" s="457"/>
      <c r="F287" s="457"/>
      <c r="G287" s="474"/>
      <c r="H287" s="474"/>
      <c r="I287" s="474"/>
      <c r="J287" s="474"/>
      <c r="K287" s="474"/>
      <c r="L287" s="474"/>
    </row>
    <row r="288" spans="4:12">
      <c r="D288" s="456"/>
      <c r="E288" s="457"/>
      <c r="F288" s="457"/>
      <c r="G288" s="474"/>
      <c r="H288" s="474"/>
      <c r="I288" s="474"/>
      <c r="J288" s="474"/>
      <c r="K288" s="474"/>
      <c r="L288" s="474"/>
    </row>
    <row r="289" spans="4:12">
      <c r="D289" s="456"/>
      <c r="E289" s="457"/>
      <c r="F289" s="457"/>
      <c r="G289" s="474"/>
      <c r="H289" s="474"/>
      <c r="I289" s="474"/>
      <c r="J289" s="474"/>
      <c r="K289" s="474"/>
      <c r="L289" s="474"/>
    </row>
    <row r="290" spans="4:12">
      <c r="D290" s="456"/>
      <c r="E290" s="457"/>
      <c r="F290" s="457"/>
      <c r="G290" s="474"/>
      <c r="H290" s="474"/>
      <c r="I290" s="474"/>
      <c r="J290" s="474"/>
      <c r="K290" s="474"/>
      <c r="L290" s="474"/>
    </row>
    <row r="291" spans="4:12">
      <c r="D291" s="456"/>
      <c r="E291" s="457"/>
      <c r="F291" s="457"/>
      <c r="G291" s="474"/>
      <c r="H291" s="474"/>
      <c r="I291" s="474"/>
      <c r="J291" s="474"/>
      <c r="K291" s="474"/>
      <c r="L291" s="474"/>
    </row>
    <row r="292" spans="4:12">
      <c r="D292" s="456"/>
      <c r="E292" s="457"/>
      <c r="F292" s="457"/>
      <c r="G292" s="474"/>
      <c r="H292" s="474"/>
      <c r="I292" s="474"/>
      <c r="J292" s="474"/>
      <c r="K292" s="474"/>
      <c r="L292" s="474"/>
    </row>
    <row r="293" spans="4:12">
      <c r="D293" s="456"/>
      <c r="E293" s="457"/>
      <c r="F293" s="457"/>
      <c r="G293" s="474"/>
      <c r="H293" s="474"/>
      <c r="I293" s="474"/>
      <c r="J293" s="474"/>
      <c r="K293" s="474"/>
      <c r="L293" s="474"/>
    </row>
    <row r="294" spans="4:12">
      <c r="D294" s="456"/>
      <c r="E294" s="457"/>
      <c r="F294" s="457"/>
      <c r="G294" s="474"/>
      <c r="H294" s="474"/>
      <c r="I294" s="474"/>
      <c r="J294" s="474"/>
      <c r="K294" s="474"/>
      <c r="L294" s="474"/>
    </row>
    <row r="295" spans="4:12">
      <c r="D295" s="456"/>
      <c r="E295" s="457"/>
      <c r="F295" s="457"/>
      <c r="G295" s="474"/>
      <c r="H295" s="474"/>
      <c r="I295" s="474"/>
      <c r="J295" s="474"/>
      <c r="K295" s="474"/>
      <c r="L295" s="474"/>
    </row>
    <row r="296" spans="4:12">
      <c r="D296" s="456"/>
      <c r="E296" s="457"/>
      <c r="F296" s="457"/>
      <c r="G296" s="474"/>
      <c r="H296" s="474"/>
      <c r="I296" s="474"/>
      <c r="J296" s="474"/>
      <c r="K296" s="474"/>
      <c r="L296" s="474"/>
    </row>
    <row r="297" spans="4:12">
      <c r="D297" s="456"/>
      <c r="E297" s="457"/>
      <c r="F297" s="457"/>
      <c r="G297" s="474"/>
      <c r="H297" s="474"/>
      <c r="I297" s="474"/>
      <c r="J297" s="474"/>
      <c r="K297" s="474"/>
      <c r="L297" s="474"/>
    </row>
    <row r="298" spans="4:12">
      <c r="D298" s="456"/>
      <c r="E298" s="457"/>
      <c r="F298" s="457"/>
      <c r="G298" s="474"/>
      <c r="H298" s="474"/>
      <c r="I298" s="474"/>
      <c r="J298" s="474"/>
      <c r="K298" s="474"/>
      <c r="L298" s="474"/>
    </row>
    <row r="299" spans="4:12">
      <c r="D299" s="456"/>
      <c r="E299" s="457"/>
      <c r="F299" s="457"/>
      <c r="G299" s="474"/>
      <c r="H299" s="474"/>
      <c r="I299" s="474"/>
      <c r="J299" s="474"/>
      <c r="K299" s="474"/>
      <c r="L299" s="474"/>
    </row>
    <row r="300" spans="4:12">
      <c r="D300" s="456"/>
      <c r="E300" s="457"/>
      <c r="F300" s="457"/>
      <c r="G300" s="474"/>
      <c r="H300" s="474"/>
      <c r="I300" s="474"/>
      <c r="J300" s="474"/>
      <c r="K300" s="474"/>
      <c r="L300" s="474"/>
    </row>
    <row r="301" spans="4:12">
      <c r="D301" s="456"/>
      <c r="E301" s="457"/>
      <c r="F301" s="457"/>
      <c r="G301" s="474"/>
      <c r="H301" s="474"/>
      <c r="I301" s="474"/>
      <c r="J301" s="474"/>
      <c r="K301" s="474"/>
      <c r="L301" s="474"/>
    </row>
    <row r="302" spans="4:12">
      <c r="D302" s="456"/>
      <c r="E302" s="457"/>
      <c r="F302" s="457"/>
      <c r="G302" s="474"/>
      <c r="H302" s="474"/>
      <c r="I302" s="474"/>
      <c r="J302" s="474"/>
      <c r="K302" s="474"/>
      <c r="L302" s="474"/>
    </row>
    <row r="303" spans="4:12">
      <c r="D303" s="456"/>
      <c r="E303" s="457"/>
      <c r="F303" s="457"/>
      <c r="G303" s="474"/>
      <c r="H303" s="474"/>
      <c r="I303" s="474"/>
      <c r="J303" s="474"/>
      <c r="K303" s="474"/>
      <c r="L303" s="474"/>
    </row>
    <row r="304" spans="4:12">
      <c r="D304" s="456"/>
      <c r="E304" s="457"/>
      <c r="F304" s="457"/>
      <c r="G304" s="474"/>
      <c r="H304" s="474"/>
      <c r="I304" s="474"/>
      <c r="J304" s="474"/>
      <c r="K304" s="474"/>
      <c r="L304" s="474"/>
    </row>
    <row r="305" spans="4:12">
      <c r="D305" s="456"/>
      <c r="E305" s="457"/>
      <c r="F305" s="457"/>
      <c r="G305" s="474"/>
      <c r="H305" s="474"/>
      <c r="I305" s="474"/>
      <c r="J305" s="474"/>
      <c r="K305" s="474"/>
      <c r="L305" s="474"/>
    </row>
    <row r="306" spans="4:12">
      <c r="D306" s="456"/>
      <c r="E306" s="457"/>
      <c r="F306" s="457"/>
      <c r="G306" s="474"/>
      <c r="H306" s="474"/>
      <c r="I306" s="474"/>
      <c r="J306" s="474"/>
      <c r="K306" s="474"/>
      <c r="L306" s="474"/>
    </row>
    <row r="307" spans="4:12">
      <c r="D307" s="456"/>
      <c r="E307" s="457"/>
      <c r="F307" s="457"/>
      <c r="G307" s="474"/>
      <c r="H307" s="474"/>
      <c r="I307" s="474"/>
      <c r="J307" s="474"/>
      <c r="K307" s="474"/>
      <c r="L307" s="474"/>
    </row>
    <row r="308" spans="4:12">
      <c r="D308" s="456"/>
      <c r="E308" s="457"/>
      <c r="F308" s="457"/>
      <c r="G308" s="474"/>
      <c r="H308" s="474"/>
      <c r="I308" s="474"/>
      <c r="J308" s="474"/>
      <c r="K308" s="474"/>
      <c r="L308" s="474"/>
    </row>
    <row r="309" spans="4:12">
      <c r="D309" s="456"/>
      <c r="E309" s="457"/>
      <c r="F309" s="457"/>
      <c r="G309" s="474"/>
      <c r="H309" s="474"/>
      <c r="I309" s="474"/>
      <c r="J309" s="474"/>
      <c r="K309" s="474"/>
      <c r="L309" s="474"/>
    </row>
    <row r="310" spans="4:12">
      <c r="D310" s="456"/>
      <c r="E310" s="457"/>
      <c r="F310" s="457"/>
      <c r="G310" s="474"/>
      <c r="H310" s="474"/>
      <c r="I310" s="474"/>
      <c r="J310" s="474"/>
      <c r="K310" s="474"/>
      <c r="L310" s="474"/>
    </row>
    <row r="311" spans="4:12">
      <c r="D311" s="456"/>
      <c r="E311" s="457"/>
      <c r="F311" s="457"/>
      <c r="G311" s="474"/>
      <c r="H311" s="474"/>
      <c r="I311" s="474"/>
      <c r="J311" s="474"/>
      <c r="K311" s="474"/>
      <c r="L311" s="474"/>
    </row>
    <row r="312" spans="4:12">
      <c r="D312" s="456"/>
      <c r="E312" s="457"/>
      <c r="F312" s="457"/>
      <c r="G312" s="474"/>
      <c r="H312" s="474"/>
      <c r="I312" s="474"/>
      <c r="J312" s="474"/>
      <c r="K312" s="474"/>
      <c r="L312" s="474"/>
    </row>
    <row r="313" spans="4:12">
      <c r="D313" s="456"/>
      <c r="E313" s="457"/>
      <c r="F313" s="457"/>
      <c r="G313" s="474"/>
      <c r="H313" s="474"/>
      <c r="I313" s="474"/>
      <c r="J313" s="474"/>
      <c r="K313" s="474"/>
      <c r="L313" s="474"/>
    </row>
    <row r="314" spans="4:12">
      <c r="D314" s="456"/>
      <c r="E314" s="457"/>
      <c r="F314" s="457"/>
      <c r="G314" s="474"/>
      <c r="H314" s="474"/>
      <c r="I314" s="474"/>
      <c r="J314" s="474"/>
      <c r="K314" s="474"/>
      <c r="L314" s="474"/>
    </row>
    <row r="315" spans="4:12">
      <c r="D315" s="456"/>
      <c r="E315" s="457"/>
      <c r="F315" s="457"/>
      <c r="G315" s="474"/>
      <c r="H315" s="474"/>
      <c r="I315" s="474"/>
      <c r="J315" s="474"/>
      <c r="K315" s="474"/>
      <c r="L315" s="474"/>
    </row>
    <row r="316" spans="4:12">
      <c r="D316" s="456"/>
      <c r="E316" s="457"/>
      <c r="F316" s="457"/>
      <c r="G316" s="474"/>
      <c r="H316" s="474"/>
      <c r="I316" s="474"/>
      <c r="J316" s="474"/>
      <c r="K316" s="474"/>
      <c r="L316" s="474"/>
    </row>
    <row r="317" spans="4:12">
      <c r="D317" s="456"/>
      <c r="E317" s="457"/>
      <c r="F317" s="457"/>
      <c r="G317" s="474"/>
      <c r="H317" s="474"/>
      <c r="I317" s="474"/>
      <c r="J317" s="474"/>
      <c r="K317" s="474"/>
      <c r="L317" s="474"/>
    </row>
    <row r="318" spans="4:12">
      <c r="D318" s="456"/>
      <c r="E318" s="457"/>
      <c r="F318" s="457"/>
      <c r="G318" s="474"/>
      <c r="H318" s="474"/>
      <c r="I318" s="474"/>
      <c r="J318" s="474"/>
      <c r="K318" s="474"/>
      <c r="L318" s="474"/>
    </row>
    <row r="319" spans="4:12">
      <c r="D319" s="456"/>
      <c r="E319" s="457"/>
      <c r="F319" s="457"/>
      <c r="G319" s="474"/>
      <c r="H319" s="474"/>
      <c r="I319" s="474"/>
      <c r="J319" s="474"/>
      <c r="K319" s="474"/>
      <c r="L319" s="474"/>
    </row>
    <row r="320" spans="4:12">
      <c r="D320" s="456"/>
      <c r="E320" s="457"/>
      <c r="F320" s="457"/>
      <c r="G320" s="474"/>
      <c r="H320" s="474"/>
      <c r="I320" s="474"/>
      <c r="J320" s="474"/>
      <c r="K320" s="474"/>
      <c r="L320" s="474"/>
    </row>
    <row r="321" spans="4:12">
      <c r="D321" s="456"/>
      <c r="E321" s="457"/>
      <c r="F321" s="457"/>
      <c r="G321" s="474"/>
      <c r="H321" s="474"/>
      <c r="I321" s="474"/>
      <c r="J321" s="474"/>
      <c r="K321" s="474"/>
      <c r="L321" s="474"/>
    </row>
    <row r="322" spans="4:12">
      <c r="D322" s="456"/>
      <c r="E322" s="457"/>
      <c r="F322" s="457"/>
      <c r="G322" s="474"/>
      <c r="H322" s="474"/>
      <c r="I322" s="474"/>
      <c r="J322" s="474"/>
      <c r="K322" s="474"/>
      <c r="L322" s="474"/>
    </row>
    <row r="323" spans="4:12">
      <c r="D323" s="456"/>
      <c r="E323" s="457"/>
      <c r="F323" s="457"/>
      <c r="G323" s="474"/>
      <c r="H323" s="474"/>
      <c r="I323" s="474"/>
      <c r="J323" s="474"/>
      <c r="K323" s="474"/>
      <c r="L323" s="474"/>
    </row>
    <row r="324" spans="4:12">
      <c r="D324" s="456"/>
      <c r="E324" s="457"/>
      <c r="F324" s="457"/>
      <c r="G324" s="474"/>
      <c r="H324" s="474"/>
      <c r="I324" s="474"/>
      <c r="J324" s="474"/>
      <c r="K324" s="474"/>
      <c r="L324" s="474"/>
    </row>
    <row r="325" spans="4:12">
      <c r="D325" s="456"/>
      <c r="E325" s="457"/>
      <c r="F325" s="457"/>
      <c r="G325" s="474"/>
      <c r="H325" s="474"/>
      <c r="I325" s="474"/>
      <c r="J325" s="474"/>
      <c r="K325" s="474"/>
      <c r="L325" s="474"/>
    </row>
    <row r="326" spans="4:12">
      <c r="D326" s="456"/>
      <c r="E326" s="457"/>
      <c r="F326" s="457"/>
      <c r="G326" s="474"/>
      <c r="H326" s="474"/>
      <c r="I326" s="474"/>
      <c r="J326" s="474"/>
      <c r="K326" s="474"/>
      <c r="L326" s="474"/>
    </row>
    <row r="327" spans="4:12">
      <c r="D327" s="456"/>
      <c r="E327" s="457"/>
      <c r="F327" s="457"/>
      <c r="G327" s="474"/>
      <c r="H327" s="474"/>
      <c r="I327" s="474"/>
      <c r="J327" s="474"/>
      <c r="K327" s="474"/>
      <c r="L327" s="474"/>
    </row>
    <row r="328" spans="4:12">
      <c r="D328" s="456"/>
      <c r="E328" s="457"/>
      <c r="F328" s="457"/>
      <c r="G328" s="474"/>
      <c r="H328" s="474"/>
      <c r="I328" s="474"/>
      <c r="J328" s="474"/>
      <c r="K328" s="474"/>
      <c r="L328" s="474"/>
    </row>
    <row r="329" spans="4:12">
      <c r="D329" s="456"/>
      <c r="E329" s="457"/>
      <c r="F329" s="457"/>
      <c r="G329" s="474"/>
      <c r="H329" s="474"/>
      <c r="I329" s="474"/>
      <c r="J329" s="474"/>
      <c r="K329" s="474"/>
      <c r="L329" s="474"/>
    </row>
    <row r="330" spans="4:12">
      <c r="D330" s="456"/>
      <c r="E330" s="457"/>
      <c r="F330" s="457"/>
      <c r="G330" s="474"/>
      <c r="H330" s="474"/>
      <c r="I330" s="474"/>
      <c r="J330" s="474"/>
      <c r="K330" s="474"/>
      <c r="L330" s="474"/>
    </row>
    <row r="331" spans="4:12">
      <c r="D331" s="456"/>
      <c r="E331" s="457"/>
      <c r="F331" s="457"/>
      <c r="G331" s="474"/>
      <c r="H331" s="474"/>
      <c r="I331" s="474"/>
      <c r="J331" s="474"/>
      <c r="K331" s="474"/>
      <c r="L331" s="474"/>
    </row>
    <row r="332" spans="4:12">
      <c r="D332" s="456"/>
      <c r="E332" s="457"/>
      <c r="F332" s="457"/>
      <c r="G332" s="474"/>
      <c r="H332" s="474"/>
      <c r="I332" s="474"/>
      <c r="J332" s="474"/>
      <c r="K332" s="474"/>
      <c r="L332" s="474"/>
    </row>
    <row r="333" spans="4:12">
      <c r="D333" s="456"/>
      <c r="E333" s="457"/>
      <c r="F333" s="457"/>
      <c r="G333" s="474"/>
      <c r="H333" s="474"/>
      <c r="I333" s="474"/>
      <c r="J333" s="474"/>
      <c r="K333" s="474"/>
      <c r="L333" s="474"/>
    </row>
    <row r="334" spans="4:12">
      <c r="D334" s="456"/>
      <c r="E334" s="457"/>
      <c r="F334" s="457"/>
      <c r="G334" s="474"/>
      <c r="H334" s="474"/>
      <c r="I334" s="474"/>
      <c r="J334" s="474"/>
      <c r="K334" s="474"/>
      <c r="L334" s="474"/>
    </row>
    <row r="335" spans="4:12">
      <c r="D335" s="456"/>
      <c r="E335" s="457"/>
      <c r="F335" s="457"/>
      <c r="G335" s="474"/>
      <c r="H335" s="474"/>
      <c r="I335" s="474"/>
      <c r="J335" s="474"/>
      <c r="K335" s="474"/>
      <c r="L335" s="474"/>
    </row>
    <row r="336" spans="4:12">
      <c r="D336" s="456"/>
      <c r="E336" s="457"/>
      <c r="F336" s="457"/>
      <c r="G336" s="474"/>
      <c r="H336" s="474"/>
      <c r="I336" s="474"/>
      <c r="J336" s="474"/>
      <c r="K336" s="474"/>
      <c r="L336" s="474"/>
    </row>
    <row r="337" spans="4:12">
      <c r="D337" s="456"/>
      <c r="E337" s="457"/>
      <c r="F337" s="457"/>
      <c r="G337" s="474"/>
      <c r="H337" s="474"/>
      <c r="I337" s="474"/>
      <c r="J337" s="474"/>
      <c r="K337" s="474"/>
      <c r="L337" s="474"/>
    </row>
    <row r="338" spans="4:12">
      <c r="D338" s="456"/>
      <c r="E338" s="457"/>
      <c r="F338" s="457"/>
      <c r="G338" s="474"/>
      <c r="H338" s="474"/>
      <c r="I338" s="474"/>
      <c r="J338" s="474"/>
      <c r="K338" s="474"/>
      <c r="L338" s="474"/>
    </row>
    <row r="339" spans="4:12">
      <c r="D339" s="456"/>
      <c r="E339" s="457"/>
      <c r="F339" s="457"/>
      <c r="G339" s="474"/>
      <c r="H339" s="474"/>
      <c r="I339" s="474"/>
      <c r="J339" s="474"/>
      <c r="K339" s="474"/>
      <c r="L339" s="474"/>
    </row>
    <row r="340" spans="4:12">
      <c r="D340" s="456"/>
      <c r="E340" s="457"/>
      <c r="F340" s="457"/>
      <c r="G340" s="474"/>
      <c r="H340" s="474"/>
      <c r="I340" s="474"/>
      <c r="J340" s="474"/>
      <c r="K340" s="474"/>
      <c r="L340" s="474"/>
    </row>
    <row r="341" spans="4:12">
      <c r="D341" s="456"/>
      <c r="E341" s="457"/>
      <c r="F341" s="457"/>
      <c r="G341" s="474"/>
      <c r="H341" s="474"/>
      <c r="I341" s="474"/>
      <c r="J341" s="474"/>
      <c r="K341" s="474"/>
      <c r="L341" s="474"/>
    </row>
    <row r="342" spans="4:12">
      <c r="D342" s="456"/>
      <c r="E342" s="457"/>
      <c r="F342" s="457"/>
      <c r="G342" s="474"/>
      <c r="H342" s="474"/>
      <c r="I342" s="474"/>
      <c r="J342" s="474"/>
      <c r="K342" s="474"/>
      <c r="L342" s="474"/>
    </row>
    <row r="343" spans="4:12">
      <c r="D343" s="456"/>
      <c r="E343" s="457"/>
      <c r="F343" s="457"/>
      <c r="G343" s="474"/>
      <c r="H343" s="474"/>
      <c r="I343" s="474"/>
      <c r="J343" s="474"/>
      <c r="K343" s="474"/>
      <c r="L343" s="474"/>
    </row>
    <row r="344" spans="4:12">
      <c r="D344" s="456"/>
      <c r="E344" s="457"/>
      <c r="F344" s="457"/>
      <c r="G344" s="474"/>
      <c r="H344" s="474"/>
      <c r="I344" s="474"/>
      <c r="J344" s="474"/>
      <c r="K344" s="474"/>
      <c r="L344" s="474"/>
    </row>
    <row r="345" spans="4:12">
      <c r="D345" s="456"/>
      <c r="E345" s="457"/>
      <c r="F345" s="457"/>
      <c r="G345" s="474"/>
      <c r="H345" s="474"/>
      <c r="I345" s="474"/>
      <c r="J345" s="474"/>
      <c r="K345" s="474"/>
      <c r="L345" s="474"/>
    </row>
    <row r="346" spans="4:12">
      <c r="D346" s="456"/>
      <c r="E346" s="457"/>
      <c r="F346" s="457"/>
      <c r="G346" s="474"/>
      <c r="H346" s="474"/>
      <c r="I346" s="474"/>
      <c r="J346" s="474"/>
      <c r="K346" s="474"/>
      <c r="L346" s="474"/>
    </row>
    <row r="347" spans="4:12">
      <c r="D347" s="456"/>
      <c r="E347" s="457"/>
      <c r="F347" s="457"/>
      <c r="G347" s="474"/>
      <c r="H347" s="474"/>
      <c r="I347" s="474"/>
      <c r="J347" s="474"/>
      <c r="K347" s="474"/>
      <c r="L347" s="474"/>
    </row>
    <row r="348" spans="4:12">
      <c r="D348" s="456"/>
      <c r="E348" s="457"/>
      <c r="F348" s="457"/>
      <c r="G348" s="474"/>
      <c r="H348" s="474"/>
      <c r="I348" s="474"/>
      <c r="J348" s="474"/>
      <c r="K348" s="474"/>
      <c r="L348" s="474"/>
    </row>
    <row r="349" spans="4:12">
      <c r="D349" s="456"/>
      <c r="E349" s="457"/>
      <c r="F349" s="457"/>
      <c r="G349" s="474"/>
      <c r="H349" s="474"/>
      <c r="I349" s="474"/>
      <c r="J349" s="474"/>
      <c r="K349" s="474"/>
      <c r="L349" s="474"/>
    </row>
    <row r="350" spans="4:12">
      <c r="D350" s="456"/>
      <c r="E350" s="457"/>
      <c r="F350" s="457"/>
      <c r="G350" s="474"/>
      <c r="H350" s="474"/>
      <c r="I350" s="474"/>
      <c r="J350" s="474"/>
      <c r="K350" s="474"/>
      <c r="L350" s="474"/>
    </row>
    <row r="351" spans="4:12">
      <c r="D351" s="456"/>
      <c r="E351" s="457"/>
      <c r="F351" s="457"/>
      <c r="G351" s="474"/>
      <c r="H351" s="474"/>
      <c r="I351" s="474"/>
      <c r="J351" s="474"/>
      <c r="K351" s="474"/>
      <c r="L351" s="474"/>
    </row>
    <row r="352" spans="4:12">
      <c r="D352" s="456"/>
      <c r="E352" s="457"/>
      <c r="F352" s="457"/>
      <c r="G352" s="474"/>
      <c r="H352" s="474"/>
      <c r="I352" s="474"/>
      <c r="J352" s="474"/>
      <c r="K352" s="474"/>
      <c r="L352" s="474"/>
    </row>
    <row r="353" spans="4:12">
      <c r="D353" s="456"/>
      <c r="E353" s="457"/>
      <c r="F353" s="457"/>
      <c r="G353" s="474"/>
      <c r="H353" s="474"/>
      <c r="I353" s="474"/>
      <c r="J353" s="474"/>
      <c r="K353" s="474"/>
      <c r="L353" s="474"/>
    </row>
    <row r="354" spans="4:12">
      <c r="D354" s="456"/>
      <c r="E354" s="457"/>
      <c r="F354" s="457"/>
      <c r="G354" s="474"/>
      <c r="H354" s="474"/>
      <c r="I354" s="474"/>
      <c r="J354" s="474"/>
      <c r="K354" s="474"/>
      <c r="L354" s="474"/>
    </row>
    <row r="355" spans="4:12">
      <c r="D355" s="456"/>
      <c r="E355" s="457"/>
      <c r="F355" s="457"/>
      <c r="G355" s="474"/>
      <c r="H355" s="474"/>
      <c r="I355" s="474"/>
      <c r="J355" s="474"/>
      <c r="K355" s="474"/>
      <c r="L355" s="474"/>
    </row>
    <row r="356" spans="4:12">
      <c r="D356" s="456"/>
      <c r="E356" s="457"/>
      <c r="F356" s="457"/>
      <c r="G356" s="474"/>
      <c r="H356" s="474"/>
      <c r="I356" s="474"/>
      <c r="J356" s="474"/>
      <c r="K356" s="474"/>
      <c r="L356" s="474"/>
    </row>
    <row r="357" spans="4:12">
      <c r="D357" s="456"/>
      <c r="E357" s="457"/>
      <c r="F357" s="457"/>
      <c r="G357" s="474"/>
      <c r="H357" s="474"/>
      <c r="I357" s="474"/>
      <c r="J357" s="474"/>
      <c r="K357" s="474"/>
      <c r="L357" s="474"/>
    </row>
    <row r="358" spans="4:12">
      <c r="D358" s="456"/>
      <c r="E358" s="457"/>
      <c r="F358" s="457"/>
      <c r="G358" s="474"/>
      <c r="H358" s="474"/>
      <c r="I358" s="474"/>
      <c r="J358" s="474"/>
      <c r="K358" s="474"/>
      <c r="L358" s="474"/>
    </row>
    <row r="359" spans="4:12">
      <c r="D359" s="456"/>
      <c r="E359" s="457"/>
      <c r="F359" s="457"/>
      <c r="G359" s="474"/>
      <c r="H359" s="474"/>
      <c r="I359" s="474"/>
      <c r="J359" s="474"/>
      <c r="K359" s="474"/>
      <c r="L359" s="474"/>
    </row>
    <row r="360" spans="4:12">
      <c r="D360" s="456"/>
      <c r="E360" s="457"/>
      <c r="F360" s="457"/>
      <c r="G360" s="474"/>
      <c r="H360" s="474"/>
      <c r="I360" s="474"/>
      <c r="J360" s="474"/>
      <c r="K360" s="474"/>
      <c r="L360" s="474"/>
    </row>
    <row r="361" spans="4:12">
      <c r="D361" s="456"/>
      <c r="E361" s="457"/>
      <c r="F361" s="457"/>
      <c r="G361" s="474"/>
      <c r="H361" s="474"/>
      <c r="I361" s="474"/>
      <c r="J361" s="474"/>
      <c r="K361" s="474"/>
      <c r="L361" s="474"/>
    </row>
    <row r="362" spans="4:12">
      <c r="D362" s="456"/>
      <c r="E362" s="457"/>
      <c r="F362" s="457"/>
      <c r="G362" s="474"/>
      <c r="H362" s="474"/>
      <c r="I362" s="474"/>
      <c r="J362" s="474"/>
      <c r="K362" s="474"/>
      <c r="L362" s="474"/>
    </row>
    <row r="363" spans="4:12">
      <c r="D363" s="456"/>
      <c r="E363" s="457"/>
      <c r="F363" s="457"/>
      <c r="G363" s="474"/>
      <c r="H363" s="474"/>
      <c r="I363" s="474"/>
      <c r="J363" s="474"/>
      <c r="K363" s="474"/>
      <c r="L363" s="474"/>
    </row>
  </sheetData>
  <mergeCells count="15">
    <mergeCell ref="B1:N1"/>
    <mergeCell ref="B2:N2"/>
    <mergeCell ref="B3:N3"/>
    <mergeCell ref="B4:N4"/>
    <mergeCell ref="B5:B6"/>
    <mergeCell ref="C5:C6"/>
    <mergeCell ref="D5:D6"/>
    <mergeCell ref="E5:E6"/>
    <mergeCell ref="F5:H5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M423"/>
  <sheetViews>
    <sheetView topLeftCell="B1" zoomScale="80" zoomScaleNormal="80" workbookViewId="0">
      <selection activeCell="N10" sqref="N10"/>
    </sheetView>
  </sheetViews>
  <sheetFormatPr defaultColWidth="9.140625" defaultRowHeight="24"/>
  <cols>
    <col min="1" max="1" width="1.28515625" style="316" hidden="1" customWidth="1"/>
    <col min="2" max="2" width="5.5703125" style="563" customWidth="1"/>
    <col min="3" max="3" width="54.42578125" style="564" customWidth="1"/>
    <col min="4" max="4" width="18.5703125" style="567" customWidth="1"/>
    <col min="5" max="5" width="19.42578125" style="568" customWidth="1"/>
    <col min="6" max="6" width="19" style="569" customWidth="1"/>
    <col min="7" max="7" width="19.85546875" style="569" bestFit="1" customWidth="1"/>
    <col min="8" max="8" width="18.5703125" style="569" customWidth="1"/>
    <col min="9" max="9" width="10.42578125" style="569" customWidth="1"/>
    <col min="10" max="10" width="19.42578125" style="569" bestFit="1" customWidth="1"/>
    <col min="11" max="11" width="13.42578125" style="507" customWidth="1"/>
    <col min="12" max="12" width="13.5703125" style="566" customWidth="1"/>
    <col min="13" max="16384" width="9.140625" style="316"/>
  </cols>
  <sheetData>
    <row r="1" spans="1:12" s="501" customFormat="1" ht="33" customHeight="1">
      <c r="B1" s="818" t="s">
        <v>306</v>
      </c>
      <c r="C1" s="818"/>
      <c r="D1" s="818"/>
      <c r="E1" s="818"/>
      <c r="F1" s="818"/>
      <c r="G1" s="818"/>
      <c r="H1" s="818"/>
      <c r="I1" s="818"/>
      <c r="J1" s="818"/>
      <c r="K1" s="818"/>
      <c r="L1" s="818"/>
    </row>
    <row r="2" spans="1:12" s="501" customFormat="1" ht="33" customHeight="1">
      <c r="B2" s="818" t="str">
        <f>+[2]คีย์ข้อมูล!A2</f>
        <v>กรมการพัฒนาชุมชน</v>
      </c>
      <c r="C2" s="818"/>
      <c r="D2" s="818"/>
      <c r="E2" s="818"/>
      <c r="F2" s="818"/>
      <c r="G2" s="818"/>
      <c r="H2" s="818"/>
      <c r="I2" s="818"/>
      <c r="J2" s="818"/>
      <c r="K2" s="818"/>
      <c r="L2" s="818"/>
    </row>
    <row r="3" spans="1:12" s="501" customFormat="1" ht="33" customHeight="1">
      <c r="B3" s="960" t="str">
        <f>+[6]คีย์ข้อมูล!A3</f>
        <v>ข้อมูล ณ วันที่ 15 มกราคม 2568</v>
      </c>
      <c r="C3" s="960"/>
      <c r="D3" s="960"/>
      <c r="E3" s="960"/>
      <c r="F3" s="960"/>
      <c r="G3" s="960"/>
      <c r="H3" s="960"/>
      <c r="I3" s="960"/>
      <c r="J3" s="960"/>
      <c r="K3" s="960"/>
      <c r="L3" s="960"/>
    </row>
    <row r="4" spans="1:12" s="502" customFormat="1" ht="33" customHeight="1">
      <c r="B4" s="950" t="s">
        <v>25</v>
      </c>
      <c r="C4" s="951" t="s">
        <v>3</v>
      </c>
      <c r="D4" s="953" t="s">
        <v>27</v>
      </c>
      <c r="E4" s="955" t="s">
        <v>90</v>
      </c>
      <c r="F4" s="956"/>
      <c r="G4" s="957" t="s">
        <v>13</v>
      </c>
      <c r="H4" s="957" t="s">
        <v>12</v>
      </c>
      <c r="I4" s="958" t="s">
        <v>297</v>
      </c>
      <c r="J4" s="961" t="s">
        <v>4</v>
      </c>
      <c r="K4" s="950" t="s">
        <v>298</v>
      </c>
      <c r="L4" s="950" t="s">
        <v>78</v>
      </c>
    </row>
    <row r="5" spans="1:12" s="504" customFormat="1" ht="33" customHeight="1">
      <c r="B5" s="950"/>
      <c r="C5" s="952"/>
      <c r="D5" s="954"/>
      <c r="E5" s="505" t="s">
        <v>1</v>
      </c>
      <c r="F5" s="506" t="s">
        <v>6</v>
      </c>
      <c r="G5" s="957"/>
      <c r="H5" s="957"/>
      <c r="I5" s="959"/>
      <c r="J5" s="962"/>
      <c r="K5" s="950"/>
      <c r="L5" s="950"/>
    </row>
    <row r="6" spans="1:12" s="504" customFormat="1" ht="33" customHeight="1" thickBot="1">
      <c r="B6" s="508"/>
      <c r="C6" s="508" t="s">
        <v>299</v>
      </c>
      <c r="D6" s="509">
        <f>+D7+D79+D140+D148</f>
        <v>32327825.109999999</v>
      </c>
      <c r="E6" s="509">
        <f>+E7+E79+E140+E148</f>
        <v>277169503.51999998</v>
      </c>
      <c r="F6" s="509">
        <f>+F7+F79+F140+F148</f>
        <v>308655031.74000001</v>
      </c>
      <c r="G6" s="509">
        <f>+G7+G79+G140+G148</f>
        <v>618152360.37</v>
      </c>
      <c r="H6" s="509">
        <f>+H7+H79+H140+H148</f>
        <v>389925706.55000001</v>
      </c>
      <c r="I6" s="509">
        <f>H6/G6*100</f>
        <v>63.079223108782898</v>
      </c>
      <c r="J6" s="509">
        <f>+J7+J79+J140+J148</f>
        <v>228226653.81999999</v>
      </c>
      <c r="K6" s="508"/>
      <c r="L6" s="508"/>
    </row>
    <row r="7" spans="1:12" s="504" customFormat="1" ht="33" customHeight="1" thickTop="1">
      <c r="B7" s="510">
        <v>1</v>
      </c>
      <c r="C7" s="510" t="s">
        <v>301</v>
      </c>
      <c r="D7" s="511">
        <f t="shared" ref="D7:H7" si="0">SUM(D8:D78)</f>
        <v>31837802.98</v>
      </c>
      <c r="E7" s="511">
        <f t="shared" si="0"/>
        <v>192044718.47999999</v>
      </c>
      <c r="F7" s="511">
        <f t="shared" si="0"/>
        <v>282800079.23000002</v>
      </c>
      <c r="G7" s="511">
        <f t="shared" si="0"/>
        <v>506682600.69</v>
      </c>
      <c r="H7" s="511">
        <f t="shared" si="0"/>
        <v>294894312.74000001</v>
      </c>
      <c r="I7" s="512">
        <f>H7/G7*100</f>
        <v>58.20099453551655</v>
      </c>
      <c r="J7" s="511">
        <f>SUM(J8:J78)</f>
        <v>211788287.94999999</v>
      </c>
      <c r="K7" s="513"/>
      <c r="L7" s="510"/>
    </row>
    <row r="8" spans="1:12" s="514" customFormat="1" ht="60.75">
      <c r="B8" s="515">
        <v>1</v>
      </c>
      <c r="C8" s="641" t="s">
        <v>308</v>
      </c>
      <c r="D8" s="516">
        <f>+[6]คีย์ข้อมูล!C71</f>
        <v>14020700</v>
      </c>
      <c r="E8" s="517">
        <f>+[6]คีย์ข้อมูล!D71</f>
        <v>0</v>
      </c>
      <c r="F8" s="516">
        <f>+[6]คีย์ข้อมูล!E71</f>
        <v>59998000</v>
      </c>
      <c r="G8" s="518">
        <f t="shared" ref="G8:G33" si="1">SUM(D8:F8)</f>
        <v>74018700</v>
      </c>
      <c r="H8" s="516">
        <f>+[6]คีย์ข้อมูล!G71</f>
        <v>0</v>
      </c>
      <c r="I8" s="518">
        <f t="shared" ref="I8:I71" si="2">+H8*100/G8</f>
        <v>0</v>
      </c>
      <c r="J8" s="518">
        <f t="shared" ref="J8:J71" si="3">+G8-H8</f>
        <v>74018700</v>
      </c>
      <c r="K8" s="519" t="s">
        <v>711</v>
      </c>
      <c r="L8" s="515" t="str">
        <f>+[6]คีย์ข้อมูล!K71</f>
        <v>สสช.</v>
      </c>
    </row>
    <row r="9" spans="1:12" s="514" customFormat="1" ht="60.75">
      <c r="B9" s="520">
        <v>2</v>
      </c>
      <c r="C9" s="527" t="s">
        <v>310</v>
      </c>
      <c r="D9" s="522">
        <f>+[6]คีย์ข้อมูล!C24</f>
        <v>560628.98</v>
      </c>
      <c r="E9" s="523">
        <f>+[6]คีย์ข้อมูล!D24</f>
        <v>0</v>
      </c>
      <c r="F9" s="522">
        <f>+[6]คีย์ข้อมูล!E24</f>
        <v>1022371.02</v>
      </c>
      <c r="G9" s="524">
        <f t="shared" si="1"/>
        <v>1583000</v>
      </c>
      <c r="H9" s="522">
        <f>+[6]คีย์ข้อมูล!G24</f>
        <v>0</v>
      </c>
      <c r="I9" s="524">
        <f t="shared" si="2"/>
        <v>0</v>
      </c>
      <c r="J9" s="524">
        <f t="shared" si="3"/>
        <v>1583000</v>
      </c>
      <c r="K9" s="525" t="str">
        <f>+[6]คีย์ข้อมูล!J24</f>
        <v xml:space="preserve"> 11 ม.ค.68</v>
      </c>
      <c r="L9" s="520" t="str">
        <f>+[6]คีย์ข้อมูล!K24</f>
        <v>กค.</v>
      </c>
    </row>
    <row r="10" spans="1:12" s="514" customFormat="1" ht="60.75">
      <c r="B10" s="520">
        <v>3</v>
      </c>
      <c r="C10" s="521" t="s">
        <v>312</v>
      </c>
      <c r="D10" s="522">
        <f>+[6]คีย์ข้อมูล!C73</f>
        <v>11626000</v>
      </c>
      <c r="E10" s="523">
        <f>+[6]คีย์ข้อมูล!D73</f>
        <v>0</v>
      </c>
      <c r="F10" s="522">
        <f>+[6]คีย์ข้อมูล!E73</f>
        <v>0</v>
      </c>
      <c r="G10" s="524">
        <f t="shared" si="1"/>
        <v>11626000</v>
      </c>
      <c r="H10" s="522">
        <f>+[6]คีย์ข้อมูล!G73</f>
        <v>0</v>
      </c>
      <c r="I10" s="524">
        <f t="shared" si="2"/>
        <v>0</v>
      </c>
      <c r="J10" s="524">
        <f t="shared" si="3"/>
        <v>11626000</v>
      </c>
      <c r="K10" s="525"/>
      <c r="L10" s="520" t="str">
        <f>+[6]คีย์ข้อมูล!K73</f>
        <v>สสช.</v>
      </c>
    </row>
    <row r="11" spans="1:12" s="514" customFormat="1" ht="60.75">
      <c r="B11" s="520">
        <v>4</v>
      </c>
      <c r="C11" s="521" t="s">
        <v>314</v>
      </c>
      <c r="D11" s="522">
        <f>+[6]คีย์ข้อมูล!C70</f>
        <v>1560000</v>
      </c>
      <c r="E11" s="523">
        <f>+[6]คีย์ข้อมูล!D70</f>
        <v>0</v>
      </c>
      <c r="F11" s="522">
        <f>+[6]คีย์ข้อมูล!E70</f>
        <v>6520000</v>
      </c>
      <c r="G11" s="524">
        <f t="shared" si="1"/>
        <v>8080000</v>
      </c>
      <c r="H11" s="522">
        <f>+[6]คีย์ข้อมูล!G70</f>
        <v>0</v>
      </c>
      <c r="I11" s="524">
        <f t="shared" si="2"/>
        <v>0</v>
      </c>
      <c r="J11" s="524">
        <f t="shared" si="3"/>
        <v>8080000</v>
      </c>
      <c r="K11" s="525"/>
      <c r="L11" s="520" t="str">
        <f>+[6]คีย์ข้อมูล!K70</f>
        <v>สสช.</v>
      </c>
    </row>
    <row r="12" spans="1:12" s="528" customFormat="1" ht="40.5">
      <c r="A12" s="514"/>
      <c r="B12" s="520">
        <v>5</v>
      </c>
      <c r="C12" s="521" t="s">
        <v>317</v>
      </c>
      <c r="D12" s="522">
        <f>+[6]คีย์ข้อมูล!C38</f>
        <v>0</v>
      </c>
      <c r="E12" s="523">
        <f>+[6]คีย์ข้อมูล!D38</f>
        <v>5617500</v>
      </c>
      <c r="F12" s="522">
        <f>+[6]คีย์ข้อมูล!E38</f>
        <v>0</v>
      </c>
      <c r="G12" s="524">
        <f t="shared" si="1"/>
        <v>5617500</v>
      </c>
      <c r="H12" s="522">
        <f>+[6]คีย์ข้อมูล!G38</f>
        <v>0</v>
      </c>
      <c r="I12" s="524">
        <f t="shared" si="2"/>
        <v>0</v>
      </c>
      <c r="J12" s="524">
        <f t="shared" si="3"/>
        <v>5617500</v>
      </c>
      <c r="K12" s="525" t="str">
        <f>+[6]คีย์ข้อมูล!J38</f>
        <v xml:space="preserve"> 25 ก.ย.68</v>
      </c>
      <c r="L12" s="520" t="str">
        <f>+[6]คีย์ข้อมูล!K38</f>
        <v>ศสท.</v>
      </c>
    </row>
    <row r="13" spans="1:12" s="514" customFormat="1" ht="60.75">
      <c r="B13" s="520">
        <v>6</v>
      </c>
      <c r="C13" s="527" t="s">
        <v>318</v>
      </c>
      <c r="D13" s="522">
        <f>+[6]คีย์ข้อมูล!C72</f>
        <v>644500</v>
      </c>
      <c r="E13" s="523">
        <f>+[6]คีย์ข้อมูล!D72</f>
        <v>0</v>
      </c>
      <c r="F13" s="522">
        <f>+[6]คีย์ข้อมูล!E72</f>
        <v>4630000</v>
      </c>
      <c r="G13" s="524">
        <f t="shared" si="1"/>
        <v>5274500</v>
      </c>
      <c r="H13" s="522">
        <f>+[6]คีย์ข้อมูล!G72</f>
        <v>0</v>
      </c>
      <c r="I13" s="524">
        <f t="shared" si="2"/>
        <v>0</v>
      </c>
      <c r="J13" s="524">
        <f t="shared" si="3"/>
        <v>5274500</v>
      </c>
      <c r="K13" s="525"/>
      <c r="L13" s="520" t="str">
        <f>+[6]คีย์ข้อมูล!K72</f>
        <v>สสช.</v>
      </c>
    </row>
    <row r="14" spans="1:12" s="514" customFormat="1" ht="40.5">
      <c r="B14" s="520">
        <v>7</v>
      </c>
      <c r="C14" s="527" t="s">
        <v>218</v>
      </c>
      <c r="D14" s="522">
        <f>+[6]คีย์ข้อมูล!C14</f>
        <v>2926884</v>
      </c>
      <c r="E14" s="523">
        <f>+[6]คีย์ข้อมูล!D14</f>
        <v>0</v>
      </c>
      <c r="F14" s="522">
        <f>+[6]คีย์ข้อมูล!E14</f>
        <v>47726316</v>
      </c>
      <c r="G14" s="524">
        <f t="shared" si="1"/>
        <v>50653200</v>
      </c>
      <c r="H14" s="522">
        <f>+[6]คีย์ข้อมูล!G14</f>
        <v>0</v>
      </c>
      <c r="I14" s="524">
        <f t="shared" si="2"/>
        <v>0</v>
      </c>
      <c r="J14" s="524">
        <f t="shared" si="3"/>
        <v>50653200</v>
      </c>
      <c r="K14" s="525" t="str">
        <f>+[6]คีย์ข้อมูล!J14</f>
        <v xml:space="preserve"> 8 ม.ค.68</v>
      </c>
      <c r="L14" s="520" t="str">
        <f>+[6]คีย์ข้อมูล!K14</f>
        <v>กค.</v>
      </c>
    </row>
    <row r="15" spans="1:12" s="514" customFormat="1" ht="40.5">
      <c r="B15" s="520">
        <v>8</v>
      </c>
      <c r="C15" s="521" t="s">
        <v>321</v>
      </c>
      <c r="D15" s="522">
        <f>+[6]คีย์ข้อมูล!C65</f>
        <v>0</v>
      </c>
      <c r="E15" s="523">
        <f>+[6]คีย์ข้อมูล!D65</f>
        <v>2680000</v>
      </c>
      <c r="F15" s="522">
        <f>+[6]คีย์ข้อมูล!E65</f>
        <v>0</v>
      </c>
      <c r="G15" s="524">
        <f t="shared" si="1"/>
        <v>2680000</v>
      </c>
      <c r="H15" s="522">
        <f>+[6]คีย์ข้อมูล!G65</f>
        <v>0</v>
      </c>
      <c r="I15" s="524">
        <f t="shared" si="2"/>
        <v>0</v>
      </c>
      <c r="J15" s="524">
        <f t="shared" si="3"/>
        <v>2680000</v>
      </c>
      <c r="K15" s="525" t="str">
        <f>+[6]คีย์ข้อมูล!J65</f>
        <v xml:space="preserve"> 10 พ.ค.68</v>
      </c>
      <c r="L15" s="520" t="str">
        <f>+[6]คีย์ข้อมูล!K65</f>
        <v>สภว.</v>
      </c>
    </row>
    <row r="16" spans="1:12" s="514" customFormat="1" ht="40.5">
      <c r="B16" s="520">
        <v>9</v>
      </c>
      <c r="C16" s="527" t="s">
        <v>323</v>
      </c>
      <c r="D16" s="522">
        <f>+[6]คีย์ข้อมูล!C35</f>
        <v>0</v>
      </c>
      <c r="E16" s="523">
        <f>+[6]คีย์ข้อมูล!D35</f>
        <v>2514500</v>
      </c>
      <c r="F16" s="522">
        <f>+[6]คีย์ข้อมูล!E35</f>
        <v>0</v>
      </c>
      <c r="G16" s="524">
        <f t="shared" si="1"/>
        <v>2514500</v>
      </c>
      <c r="H16" s="522">
        <f>+[6]คีย์ข้อมูล!G35</f>
        <v>0</v>
      </c>
      <c r="I16" s="524">
        <f t="shared" si="2"/>
        <v>0</v>
      </c>
      <c r="J16" s="524">
        <f t="shared" si="3"/>
        <v>2514500</v>
      </c>
      <c r="K16" s="525" t="str">
        <f>+[6]คีย์ข้อมูล!J35</f>
        <v xml:space="preserve"> 25 ม.ค.68</v>
      </c>
      <c r="L16" s="520" t="str">
        <f>+[6]คีย์ข้อมูล!K35</f>
        <v>ศสท.</v>
      </c>
    </row>
    <row r="17" spans="1:12" s="514" customFormat="1" ht="40.5">
      <c r="B17" s="520">
        <v>10</v>
      </c>
      <c r="C17" s="527" t="s">
        <v>217</v>
      </c>
      <c r="D17" s="522">
        <f>+[6]คีย์ข้อมูล!C15</f>
        <v>396550</v>
      </c>
      <c r="E17" s="523">
        <f>+[6]คีย์ข้อมูล!D15</f>
        <v>0</v>
      </c>
      <c r="F17" s="522">
        <f>+[6]คีย์ข้อมูล!E15</f>
        <v>7843450</v>
      </c>
      <c r="G17" s="524">
        <f t="shared" si="1"/>
        <v>8240000</v>
      </c>
      <c r="H17" s="522">
        <f>+[6]คีย์ข้อมูล!G15</f>
        <v>0</v>
      </c>
      <c r="I17" s="524">
        <f t="shared" si="2"/>
        <v>0</v>
      </c>
      <c r="J17" s="524">
        <f t="shared" si="3"/>
        <v>8240000</v>
      </c>
      <c r="K17" s="525" t="str">
        <f>+[6]คีย์ข้อมูล!J15</f>
        <v xml:space="preserve"> 8 ม.ค.68</v>
      </c>
      <c r="L17" s="520" t="str">
        <f>+[6]คีย์ข้อมูล!K15</f>
        <v>กค.</v>
      </c>
    </row>
    <row r="18" spans="1:12" s="514" customFormat="1" ht="40.5" customHeight="1">
      <c r="B18" s="520">
        <v>11</v>
      </c>
      <c r="C18" s="521" t="s">
        <v>326</v>
      </c>
      <c r="D18" s="522">
        <f>+[6]คีย์ข้อมูล!C33</f>
        <v>0</v>
      </c>
      <c r="E18" s="523">
        <f>+[6]คีย์ข้อมูล!D33</f>
        <v>496998.95</v>
      </c>
      <c r="F18" s="522">
        <f>+[6]คีย์ข้อมูล!E33</f>
        <v>0</v>
      </c>
      <c r="G18" s="524">
        <f t="shared" si="1"/>
        <v>496998.95</v>
      </c>
      <c r="H18" s="522">
        <f>+[6]คีย์ข้อมูล!G33</f>
        <v>0</v>
      </c>
      <c r="I18" s="524">
        <f t="shared" si="2"/>
        <v>0</v>
      </c>
      <c r="J18" s="524">
        <f t="shared" si="3"/>
        <v>496998.95</v>
      </c>
      <c r="K18" s="525" t="str">
        <f>+[6]คีย์ข้อมูล!J33</f>
        <v xml:space="preserve"> 1 ม.ค.68</v>
      </c>
      <c r="L18" s="520" t="str">
        <f>+[6]คีย์ข้อมูล!K33</f>
        <v>ศสท.</v>
      </c>
    </row>
    <row r="19" spans="1:12" s="514" customFormat="1" ht="27" customHeight="1">
      <c r="B19" s="520">
        <v>12</v>
      </c>
      <c r="C19" s="793" t="s">
        <v>328</v>
      </c>
      <c r="D19" s="522">
        <f>+[6]คีย์ข้อมูล!C42</f>
        <v>30000</v>
      </c>
      <c r="E19" s="523">
        <f>+[6]คีย์ข้อมูล!D42</f>
        <v>0</v>
      </c>
      <c r="F19" s="522">
        <f>+[6]คีย์ข้อมูล!E42</f>
        <v>0</v>
      </c>
      <c r="G19" s="524">
        <f t="shared" si="1"/>
        <v>30000</v>
      </c>
      <c r="H19" s="522">
        <f>+[6]คีย์ข้อมูล!G42</f>
        <v>0</v>
      </c>
      <c r="I19" s="524">
        <f t="shared" si="2"/>
        <v>0</v>
      </c>
      <c r="J19" s="524">
        <f t="shared" si="3"/>
        <v>30000</v>
      </c>
      <c r="K19" s="525" t="str">
        <f>+[6]คีย์ข้อมูล!J42</f>
        <v xml:space="preserve"> 30 ก.ย.67</v>
      </c>
      <c r="L19" s="520" t="str">
        <f>+[6]คีย์ข้อมูล!K42</f>
        <v>กผ.</v>
      </c>
    </row>
    <row r="20" spans="1:12" s="514" customFormat="1" ht="27" customHeight="1">
      <c r="B20" s="529">
        <v>13</v>
      </c>
      <c r="C20" s="639" t="s">
        <v>229</v>
      </c>
      <c r="D20" s="530">
        <f>+[6]คีย์ข้อมูล!C31</f>
        <v>0</v>
      </c>
      <c r="E20" s="640">
        <f>+[6]คีย์ข้อมูล!D31</f>
        <v>0</v>
      </c>
      <c r="F20" s="530">
        <f>+[6]คีย์ข้อมูล!E31</f>
        <v>900000</v>
      </c>
      <c r="G20" s="531">
        <f t="shared" si="1"/>
        <v>900000</v>
      </c>
      <c r="H20" s="530">
        <f>+[6]คีย์ข้อมูล!G31</f>
        <v>0</v>
      </c>
      <c r="I20" s="531">
        <f t="shared" si="2"/>
        <v>0</v>
      </c>
      <c r="J20" s="531">
        <f t="shared" si="3"/>
        <v>900000</v>
      </c>
      <c r="K20" s="532" t="str">
        <f>+[6]คีย์ข้อมูล!J31</f>
        <v xml:space="preserve"> 4 ต.ค.67</v>
      </c>
      <c r="L20" s="529" t="str">
        <f>+[6]คีย์ข้อมูล!K31</f>
        <v>กค.</v>
      </c>
    </row>
    <row r="21" spans="1:12" s="514" customFormat="1" ht="27" customHeight="1">
      <c r="B21" s="515">
        <v>14</v>
      </c>
      <c r="C21" s="641" t="s">
        <v>228</v>
      </c>
      <c r="D21" s="516">
        <f>+[6]คีย์ข้อมูล!C30</f>
        <v>0</v>
      </c>
      <c r="E21" s="517">
        <f>+[6]คีย์ข้อมูล!D30</f>
        <v>0</v>
      </c>
      <c r="F21" s="516">
        <f>+[6]คีย์ข้อมูล!E30</f>
        <v>4115000</v>
      </c>
      <c r="G21" s="518">
        <f t="shared" si="1"/>
        <v>4115000</v>
      </c>
      <c r="H21" s="516">
        <f>+[6]คีย์ข้อมูล!G30</f>
        <v>0</v>
      </c>
      <c r="I21" s="518">
        <f t="shared" si="2"/>
        <v>0</v>
      </c>
      <c r="J21" s="518">
        <f t="shared" si="3"/>
        <v>4115000</v>
      </c>
      <c r="K21" s="519" t="str">
        <f>+[6]คีย์ข้อมูล!J30</f>
        <v xml:space="preserve"> 28 ก.พ.68</v>
      </c>
      <c r="L21" s="515" t="str">
        <f>+[6]คีย์ข้อมูล!K30</f>
        <v>กค.</v>
      </c>
    </row>
    <row r="22" spans="1:12" s="514" customFormat="1" ht="27" customHeight="1">
      <c r="B22" s="520">
        <v>15</v>
      </c>
      <c r="C22" s="521" t="s">
        <v>227</v>
      </c>
      <c r="D22" s="522">
        <f>+[6]คีย์ข้อมูล!C28</f>
        <v>0</v>
      </c>
      <c r="E22" s="523">
        <f>+[6]คีย์ข้อมูล!D28</f>
        <v>0</v>
      </c>
      <c r="F22" s="522">
        <f>+[6]คีย์ข้อมูล!E28</f>
        <v>440000</v>
      </c>
      <c r="G22" s="524">
        <f t="shared" si="1"/>
        <v>440000</v>
      </c>
      <c r="H22" s="522">
        <f>+[6]คีย์ข้อมูล!G28</f>
        <v>0</v>
      </c>
      <c r="I22" s="524">
        <f t="shared" si="2"/>
        <v>0</v>
      </c>
      <c r="J22" s="524">
        <f t="shared" si="3"/>
        <v>440000</v>
      </c>
      <c r="K22" s="525" t="str">
        <f>+[6]คีย์ข้อมูล!J28</f>
        <v xml:space="preserve"> 10 พ.ย.67</v>
      </c>
      <c r="L22" s="520" t="str">
        <f>+[6]คีย์ข้อมูล!K28</f>
        <v>กค.</v>
      </c>
    </row>
    <row r="23" spans="1:12" s="514" customFormat="1" ht="40.5" customHeight="1">
      <c r="A23" s="533"/>
      <c r="B23" s="520">
        <v>16</v>
      </c>
      <c r="C23" s="527" t="s">
        <v>313</v>
      </c>
      <c r="D23" s="522">
        <f>+[6]คีย์ข้อมูล!C39</f>
        <v>72540</v>
      </c>
      <c r="E23" s="523">
        <f>+[6]คีย์ข้อมูล!D39</f>
        <v>9927460</v>
      </c>
      <c r="F23" s="522">
        <f>+[6]คีย์ข้อมูล!E39</f>
        <v>0</v>
      </c>
      <c r="G23" s="524">
        <f t="shared" si="1"/>
        <v>10000000</v>
      </c>
      <c r="H23" s="522">
        <f>+[6]คีย์ข้อมูล!G39</f>
        <v>992746</v>
      </c>
      <c r="I23" s="524">
        <f t="shared" si="2"/>
        <v>9.92746</v>
      </c>
      <c r="J23" s="524">
        <f t="shared" si="3"/>
        <v>9007254</v>
      </c>
      <c r="K23" s="525" t="str">
        <f>+[6]คีย์ข้อมูล!J39</f>
        <v xml:space="preserve"> 19 มิ.ย.68</v>
      </c>
      <c r="L23" s="520" t="str">
        <f>+[6]คีย์ข้อมูล!K39</f>
        <v>ศสท.</v>
      </c>
    </row>
    <row r="24" spans="1:12" s="514" customFormat="1" ht="101.25">
      <c r="B24" s="520">
        <v>17</v>
      </c>
      <c r="C24" s="527" t="s">
        <v>320</v>
      </c>
      <c r="D24" s="522">
        <f>+[6]คีย์ข้อมูล!C37</f>
        <v>0</v>
      </c>
      <c r="E24" s="523">
        <f>+[6]คีย์ข้อมูล!D37</f>
        <v>3200000</v>
      </c>
      <c r="F24" s="522">
        <f>+[6]คีย์ข้อมูล!E37</f>
        <v>0</v>
      </c>
      <c r="G24" s="524">
        <f t="shared" si="1"/>
        <v>3200000</v>
      </c>
      <c r="H24" s="522">
        <f>+[6]คีย์ข้อมูล!G37</f>
        <v>320000</v>
      </c>
      <c r="I24" s="524">
        <f t="shared" si="2"/>
        <v>10</v>
      </c>
      <c r="J24" s="524">
        <f t="shared" si="3"/>
        <v>2880000</v>
      </c>
      <c r="K24" s="525" t="str">
        <f>+[6]คีย์ข้อมูล!J37</f>
        <v xml:space="preserve"> 29 มี.ค.68</v>
      </c>
      <c r="L24" s="520" t="str">
        <f>+[6]คีย์ข้อมูล!K37</f>
        <v>ศสท.</v>
      </c>
    </row>
    <row r="25" spans="1:12" s="514" customFormat="1" ht="40.5">
      <c r="B25" s="520">
        <v>18</v>
      </c>
      <c r="C25" s="521" t="s">
        <v>311</v>
      </c>
      <c r="D25" s="522">
        <f>+[6]คีย์ข้อมูล!C69</f>
        <v>0</v>
      </c>
      <c r="E25" s="523">
        <f>+[6]คีย์ข้อมูล!D69</f>
        <v>12545000</v>
      </c>
      <c r="F25" s="522">
        <f>+[6]คีย์ข้อมูล!E69</f>
        <v>0</v>
      </c>
      <c r="G25" s="524">
        <f t="shared" si="1"/>
        <v>12545000</v>
      </c>
      <c r="H25" s="522">
        <f>+[6]คีย์ข้อมูล!G69</f>
        <v>3763500</v>
      </c>
      <c r="I25" s="524">
        <f t="shared" si="2"/>
        <v>30</v>
      </c>
      <c r="J25" s="524">
        <f t="shared" si="3"/>
        <v>8781500</v>
      </c>
      <c r="K25" s="525" t="str">
        <f>+[6]คีย์ข้อมูล!J69</f>
        <v xml:space="preserve"> 29 มี.ค.68</v>
      </c>
      <c r="L25" s="520" t="str">
        <f>+[6]คีย์ข้อมูล!K69</f>
        <v>สภว.</v>
      </c>
    </row>
    <row r="26" spans="1:12" s="514" customFormat="1" ht="27" customHeight="1">
      <c r="B26" s="520">
        <v>19</v>
      </c>
      <c r="C26" s="527" t="s">
        <v>215</v>
      </c>
      <c r="D26" s="522">
        <f>+[6]คีย์ข้อมูล!C25</f>
        <v>0</v>
      </c>
      <c r="E26" s="523">
        <f>+[6]คีย์ข้อมูล!D25</f>
        <v>0</v>
      </c>
      <c r="F26" s="522">
        <f>+[6]คีย์ข้อมูล!E25</f>
        <v>2895050</v>
      </c>
      <c r="G26" s="524">
        <f t="shared" si="1"/>
        <v>2895050</v>
      </c>
      <c r="H26" s="522">
        <f>+[6]คีย์ข้อมูล!G25</f>
        <v>868515</v>
      </c>
      <c r="I26" s="524">
        <f t="shared" si="2"/>
        <v>30</v>
      </c>
      <c r="J26" s="524">
        <f t="shared" si="3"/>
        <v>2026535</v>
      </c>
      <c r="K26" s="525" t="str">
        <f>+[6]คีย์ข้อมูล!J25</f>
        <v xml:space="preserve"> 26 พ.ย.67</v>
      </c>
      <c r="L26" s="520" t="str">
        <f>+[6]คีย์ข้อมูล!K25</f>
        <v>กค.</v>
      </c>
    </row>
    <row r="27" spans="1:12" s="514" customFormat="1" ht="60.75">
      <c r="B27" s="520">
        <v>20</v>
      </c>
      <c r="C27" s="527" t="s">
        <v>330</v>
      </c>
      <c r="D27" s="522">
        <f>+[6]คีย์ข้อมูล!C61</f>
        <v>0</v>
      </c>
      <c r="E27" s="523">
        <f>+[6]คีย์ข้อมูล!D61</f>
        <v>9838000</v>
      </c>
      <c r="F27" s="522">
        <f>+[6]คีย์ข้อมูล!E61</f>
        <v>0</v>
      </c>
      <c r="G27" s="524">
        <f t="shared" si="1"/>
        <v>9838000</v>
      </c>
      <c r="H27" s="522">
        <f>+[6]คีย์ข้อมูล!G61</f>
        <v>2951400</v>
      </c>
      <c r="I27" s="524">
        <f t="shared" si="2"/>
        <v>30</v>
      </c>
      <c r="J27" s="524">
        <f t="shared" si="3"/>
        <v>6886600</v>
      </c>
      <c r="K27" s="525" t="str">
        <f>+[6]คีย์ข้อมูล!J61</f>
        <v xml:space="preserve"> 2 ม.ค.68</v>
      </c>
      <c r="L27" s="520" t="str">
        <f>+[6]คีย์ข้อมูล!K61</f>
        <v>สภว.</v>
      </c>
    </row>
    <row r="28" spans="1:12" s="514" customFormat="1" ht="27" customHeight="1">
      <c r="B28" s="520">
        <v>21</v>
      </c>
      <c r="C28" s="521" t="s">
        <v>231</v>
      </c>
      <c r="D28" s="522">
        <f>+[6]คีย์ข้อมูล!C29</f>
        <v>0</v>
      </c>
      <c r="E28" s="523">
        <f>+[6]คีย์ข้อมูล!D29</f>
        <v>0</v>
      </c>
      <c r="F28" s="522">
        <f>+[6]คีย์ข้อมูล!E29</f>
        <v>2750000</v>
      </c>
      <c r="G28" s="524">
        <f t="shared" si="1"/>
        <v>2750000</v>
      </c>
      <c r="H28" s="522">
        <f>+[6]คีย์ข้อมูล!G29</f>
        <v>825000</v>
      </c>
      <c r="I28" s="524">
        <f t="shared" si="2"/>
        <v>30</v>
      </c>
      <c r="J28" s="524">
        <f t="shared" si="3"/>
        <v>1925000</v>
      </c>
      <c r="K28" s="525" t="str">
        <f>+[6]คีย์ข้อมูล!J29</f>
        <v xml:space="preserve"> 26 พ.ย.67</v>
      </c>
      <c r="L28" s="520" t="str">
        <f>+[6]คีย์ข้อมูล!K29</f>
        <v>กค.</v>
      </c>
    </row>
    <row r="29" spans="1:12" s="514" customFormat="1" ht="60.75">
      <c r="B29" s="520">
        <v>22</v>
      </c>
      <c r="C29" s="521" t="s">
        <v>316</v>
      </c>
      <c r="D29" s="522">
        <f>+[6]คีย์ข้อมูล!C36</f>
        <v>0</v>
      </c>
      <c r="E29" s="523">
        <f>+[6]คีย์ข้อมูล!D36</f>
        <v>7450000</v>
      </c>
      <c r="F29" s="522">
        <f>+[6]คีย์ข้อมูล!E36</f>
        <v>0</v>
      </c>
      <c r="G29" s="524">
        <f t="shared" si="1"/>
        <v>7450000</v>
      </c>
      <c r="H29" s="522">
        <f>+[6]คีย์ข้อมูล!G36</f>
        <v>4470000</v>
      </c>
      <c r="I29" s="524">
        <f t="shared" si="2"/>
        <v>60</v>
      </c>
      <c r="J29" s="524">
        <f t="shared" si="3"/>
        <v>2980000</v>
      </c>
      <c r="K29" s="525" t="str">
        <f>+[6]คีย์ข้อมูล!J36</f>
        <v xml:space="preserve"> 27 มิ.ย.68</v>
      </c>
      <c r="L29" s="520" t="str">
        <f>+[6]คีย์ข้อมูล!K36</f>
        <v>ศสท.</v>
      </c>
    </row>
    <row r="30" spans="1:12" s="514" customFormat="1" ht="27" customHeight="1">
      <c r="B30" s="520">
        <v>23</v>
      </c>
      <c r="C30" s="521" t="s">
        <v>322</v>
      </c>
      <c r="D30" s="522">
        <f>+[6]คีย์ข้อมูล!C40</f>
        <v>0</v>
      </c>
      <c r="E30" s="523">
        <f>+[6]คีย์ข้อมูล!D40</f>
        <v>2580000</v>
      </c>
      <c r="F30" s="522">
        <f>+[6]คีย์ข้อมูล!E40</f>
        <v>0</v>
      </c>
      <c r="G30" s="524">
        <f t="shared" si="1"/>
        <v>2580000</v>
      </c>
      <c r="H30" s="522">
        <f>+[6]คีย์ข้อมูล!G40</f>
        <v>1548000</v>
      </c>
      <c r="I30" s="524">
        <f t="shared" si="2"/>
        <v>60</v>
      </c>
      <c r="J30" s="524">
        <f t="shared" si="3"/>
        <v>1032000</v>
      </c>
      <c r="K30" s="525" t="str">
        <f>+[6]คีย์ข้อมูล!J40</f>
        <v xml:space="preserve"> 9 มิ.ย.68</v>
      </c>
      <c r="L30" s="520" t="str">
        <f>+[6]คีย์ข้อมูล!K40</f>
        <v>ศสท.</v>
      </c>
    </row>
    <row r="31" spans="1:12" s="514" customFormat="1" ht="40.5">
      <c r="B31" s="520">
        <v>24</v>
      </c>
      <c r="C31" s="527" t="s">
        <v>189</v>
      </c>
      <c r="D31" s="522">
        <f>+[6]คีย์ข้อมูล!C16</f>
        <v>0</v>
      </c>
      <c r="E31" s="523">
        <f>+[6]คีย์ข้อมูล!D16</f>
        <v>0</v>
      </c>
      <c r="F31" s="522">
        <f>+[6]คีย์ข้อมูล!E16</f>
        <v>4583967</v>
      </c>
      <c r="G31" s="524">
        <f t="shared" si="1"/>
        <v>4583967</v>
      </c>
      <c r="H31" s="522">
        <f>+[6]คีย์ข้อมูล!G16</f>
        <v>4583967</v>
      </c>
      <c r="I31" s="524">
        <f t="shared" si="2"/>
        <v>100</v>
      </c>
      <c r="J31" s="524">
        <f t="shared" si="3"/>
        <v>0</v>
      </c>
      <c r="K31" s="525" t="str">
        <f>+[6]คีย์ข้อมูล!J16</f>
        <v xml:space="preserve"> 22 ธ.ค.67</v>
      </c>
      <c r="L31" s="520" t="str">
        <f>+[6]คีย์ข้อมูล!K16</f>
        <v>กค.</v>
      </c>
    </row>
    <row r="32" spans="1:12" s="514" customFormat="1" ht="40.5">
      <c r="B32" s="520">
        <v>25</v>
      </c>
      <c r="C32" s="527" t="s">
        <v>325</v>
      </c>
      <c r="D32" s="522">
        <f>+[6]คีย์ข้อมูล!C46</f>
        <v>0</v>
      </c>
      <c r="E32" s="523">
        <f>+[6]คีย์ข้อมูล!D46</f>
        <v>0</v>
      </c>
      <c r="F32" s="522">
        <f>+[6]คีย์ข้อมูล!E46</f>
        <v>500000</v>
      </c>
      <c r="G32" s="524">
        <f t="shared" si="1"/>
        <v>500000</v>
      </c>
      <c r="H32" s="522">
        <f>+[6]คีย์ข้อมูล!G46</f>
        <v>500000</v>
      </c>
      <c r="I32" s="524">
        <f t="shared" si="2"/>
        <v>100</v>
      </c>
      <c r="J32" s="524">
        <f t="shared" si="3"/>
        <v>0</v>
      </c>
      <c r="K32" s="525" t="str">
        <f>+[6]คีย์ข้อมูล!J46</f>
        <v xml:space="preserve"> 26 ธ.ค.67</v>
      </c>
      <c r="L32" s="520" t="str">
        <f>+[6]คีย์ข้อมูล!K46</f>
        <v>สพช.</v>
      </c>
    </row>
    <row r="33" spans="1:12" s="514" customFormat="1" ht="40.5">
      <c r="B33" s="520">
        <v>26</v>
      </c>
      <c r="C33" s="527" t="s">
        <v>216</v>
      </c>
      <c r="D33" s="522">
        <f>+[6]คีย์ข้อมูล!C17</f>
        <v>0</v>
      </c>
      <c r="E33" s="523">
        <f>+[6]คีย์ข้อมูล!D17</f>
        <v>0</v>
      </c>
      <c r="F33" s="522">
        <f>+[6]คีย์ข้อมูล!E17</f>
        <v>13316400</v>
      </c>
      <c r="G33" s="524">
        <f t="shared" si="1"/>
        <v>13316400</v>
      </c>
      <c r="H33" s="522">
        <f>+[6]คีย์ข้อมูล!G17</f>
        <v>13316400</v>
      </c>
      <c r="I33" s="524">
        <f t="shared" si="2"/>
        <v>100</v>
      </c>
      <c r="J33" s="524">
        <f t="shared" si="3"/>
        <v>0</v>
      </c>
      <c r="K33" s="525" t="str">
        <f>+[6]คีย์ข้อมูล!J17</f>
        <v xml:space="preserve"> 23 ธ.ค.67</v>
      </c>
      <c r="L33" s="520" t="str">
        <f>+[6]คีย์ข้อมูล!K17</f>
        <v>กค.</v>
      </c>
    </row>
    <row r="34" spans="1:12" s="514" customFormat="1" ht="40.5">
      <c r="B34" s="520">
        <v>27</v>
      </c>
      <c r="C34" s="521" t="s">
        <v>334</v>
      </c>
      <c r="D34" s="522">
        <f>+[6]คีย์ข้อมูล!C62</f>
        <v>0</v>
      </c>
      <c r="E34" s="523">
        <f>+[6]คีย์ข้อมูล!D62</f>
        <v>995000</v>
      </c>
      <c r="F34" s="522">
        <f>+[6]คีย์ข้อมูล!E62</f>
        <v>0</v>
      </c>
      <c r="G34" s="524">
        <f t="shared" ref="G34:G77" si="4">SUM(D34:F34)</f>
        <v>995000</v>
      </c>
      <c r="H34" s="522">
        <f>+[6]คีย์ข้อมูล!G62</f>
        <v>995000</v>
      </c>
      <c r="I34" s="524">
        <f t="shared" si="2"/>
        <v>100</v>
      </c>
      <c r="J34" s="524">
        <f t="shared" si="3"/>
        <v>0</v>
      </c>
      <c r="K34" s="525" t="str">
        <f>+[6]คีย์ข้อมูล!J62</f>
        <v xml:space="preserve"> 19 ธ.ค.67</v>
      </c>
      <c r="L34" s="520" t="str">
        <f>+[6]คีย์ข้อมูล!K62</f>
        <v>สภว.</v>
      </c>
    </row>
    <row r="35" spans="1:12" s="528" customFormat="1" ht="60.75">
      <c r="A35" s="514"/>
      <c r="B35" s="520">
        <v>28</v>
      </c>
      <c r="C35" s="527" t="s">
        <v>307</v>
      </c>
      <c r="D35" s="522">
        <f>+[6]คีย์ข้อมูล!C23</f>
        <v>0</v>
      </c>
      <c r="E35" s="523">
        <f>+[6]คีย์ข้อมูล!D23</f>
        <v>0</v>
      </c>
      <c r="F35" s="522">
        <f>+[6]คีย์ข้อมูล!E23</f>
        <v>2165600</v>
      </c>
      <c r="G35" s="524">
        <f t="shared" si="4"/>
        <v>2165600</v>
      </c>
      <c r="H35" s="522">
        <f>+[6]คีย์ข้อมูล!G23</f>
        <v>2165600</v>
      </c>
      <c r="I35" s="524">
        <f t="shared" si="2"/>
        <v>100</v>
      </c>
      <c r="J35" s="524">
        <f t="shared" si="3"/>
        <v>0</v>
      </c>
      <c r="K35" s="525" t="str">
        <f>+[6]คีย์ข้อมูล!J23</f>
        <v xml:space="preserve"> 26 พ.ย.67</v>
      </c>
      <c r="L35" s="520" t="str">
        <f>+[6]คีย์ข้อมูล!K23</f>
        <v>กค.</v>
      </c>
    </row>
    <row r="36" spans="1:12" s="514" customFormat="1" ht="101.25">
      <c r="B36" s="529">
        <v>29</v>
      </c>
      <c r="C36" s="639" t="s">
        <v>213</v>
      </c>
      <c r="D36" s="530">
        <f>+[6]คีย์ข้อมูล!C11</f>
        <v>0</v>
      </c>
      <c r="E36" s="640">
        <f>+[6]คีย์ข้อมูล!D11</f>
        <v>1680756</v>
      </c>
      <c r="F36" s="530">
        <f>+[6]คีย์ข้อมูล!E11</f>
        <v>0</v>
      </c>
      <c r="G36" s="531">
        <f t="shared" si="4"/>
        <v>1680756</v>
      </c>
      <c r="H36" s="530">
        <f>+[6]คีย์ข้อมูล!G11</f>
        <v>1680756</v>
      </c>
      <c r="I36" s="531">
        <f t="shared" si="2"/>
        <v>100</v>
      </c>
      <c r="J36" s="531">
        <f t="shared" si="3"/>
        <v>0</v>
      </c>
      <c r="K36" s="532" t="str">
        <f>+[6]คีย์ข้อมูล!J11</f>
        <v xml:space="preserve"> 30 ก.ย.67</v>
      </c>
      <c r="L36" s="529" t="str">
        <f>+[6]คีย์ข้อมูล!K11</f>
        <v>กค.</v>
      </c>
    </row>
    <row r="37" spans="1:12" s="514" customFormat="1" ht="27" customHeight="1">
      <c r="B37" s="515">
        <v>30</v>
      </c>
      <c r="C37" s="553" t="s">
        <v>309</v>
      </c>
      <c r="D37" s="516">
        <f>+[6]คีย์ข้อมูล!C64</f>
        <v>0</v>
      </c>
      <c r="E37" s="517">
        <f>+[6]คีย์ข้อมูล!D64</f>
        <v>16500000</v>
      </c>
      <c r="F37" s="516">
        <f>+[6]คีย์ข้อมูล!E64</f>
        <v>0</v>
      </c>
      <c r="G37" s="518">
        <f t="shared" si="4"/>
        <v>16500000</v>
      </c>
      <c r="H37" s="516">
        <f>+[6]คีย์ข้อมูล!G64</f>
        <v>16500000</v>
      </c>
      <c r="I37" s="518">
        <f t="shared" si="2"/>
        <v>100</v>
      </c>
      <c r="J37" s="518">
        <f t="shared" si="3"/>
        <v>0</v>
      </c>
      <c r="K37" s="519" t="str">
        <f>+[6]คีย์ข้อมูล!J64</f>
        <v xml:space="preserve"> 3 ธ.ค.67</v>
      </c>
      <c r="L37" s="515" t="str">
        <f>+[6]คีย์ข้อมูล!K64</f>
        <v>สภว.</v>
      </c>
    </row>
    <row r="38" spans="1:12" s="514" customFormat="1" ht="60.75">
      <c r="B38" s="520">
        <v>31</v>
      </c>
      <c r="C38" s="527" t="s">
        <v>214</v>
      </c>
      <c r="D38" s="522">
        <f>+[6]คีย์ข้อมูล!C12</f>
        <v>0</v>
      </c>
      <c r="E38" s="523">
        <f>+[6]คีย์ข้อมูล!D12</f>
        <v>0</v>
      </c>
      <c r="F38" s="522">
        <f>+[6]คีย์ข้อมูล!E12</f>
        <v>7740141</v>
      </c>
      <c r="G38" s="524">
        <f t="shared" si="4"/>
        <v>7740141</v>
      </c>
      <c r="H38" s="522">
        <f>+[6]คีย์ข้อมูล!G12</f>
        <v>7740141</v>
      </c>
      <c r="I38" s="524">
        <f t="shared" si="2"/>
        <v>100</v>
      </c>
      <c r="J38" s="524">
        <f t="shared" si="3"/>
        <v>0</v>
      </c>
      <c r="K38" s="525" t="str">
        <f>+[6]คีย์ข้อมูล!J12</f>
        <v xml:space="preserve"> 25 พ.ย.67</v>
      </c>
      <c r="L38" s="520" t="str">
        <f>+[6]คีย์ข้อมูล!K12</f>
        <v>กค.</v>
      </c>
    </row>
    <row r="39" spans="1:12" s="514" customFormat="1" ht="40.5">
      <c r="B39" s="520">
        <v>32</v>
      </c>
      <c r="C39" s="527" t="s">
        <v>315</v>
      </c>
      <c r="D39" s="522">
        <f>+[6]คีย์ข้อมูล!C21</f>
        <v>0</v>
      </c>
      <c r="E39" s="523">
        <f>+[6]คีย์ข้อมูล!D21</f>
        <v>0</v>
      </c>
      <c r="F39" s="522">
        <f>+[6]คีย์ข้อมูล!E21</f>
        <v>486200</v>
      </c>
      <c r="G39" s="524">
        <f t="shared" si="4"/>
        <v>486200</v>
      </c>
      <c r="H39" s="522">
        <f>+[6]คีย์ข้อมูล!G21</f>
        <v>486200</v>
      </c>
      <c r="I39" s="524">
        <f t="shared" si="2"/>
        <v>100</v>
      </c>
      <c r="J39" s="524">
        <f t="shared" si="3"/>
        <v>0</v>
      </c>
      <c r="K39" s="525" t="str">
        <f>+[6]คีย์ข้อมูล!J21</f>
        <v xml:space="preserve"> 26 พ.ย.67</v>
      </c>
      <c r="L39" s="520" t="str">
        <f>+[6]คีย์ข้อมูล!K21</f>
        <v>กค.</v>
      </c>
    </row>
    <row r="40" spans="1:12" s="514" customFormat="1" ht="40.5">
      <c r="B40" s="520">
        <v>33</v>
      </c>
      <c r="C40" s="527" t="s">
        <v>319</v>
      </c>
      <c r="D40" s="522">
        <f>+[6]คีย์ข้อมูล!C22</f>
        <v>0</v>
      </c>
      <c r="E40" s="523">
        <f>+[6]คีย์ข้อมูล!D22</f>
        <v>0</v>
      </c>
      <c r="F40" s="522">
        <f>+[6]คีย์ข้อมูล!E22</f>
        <v>84980</v>
      </c>
      <c r="G40" s="524">
        <f t="shared" si="4"/>
        <v>84980</v>
      </c>
      <c r="H40" s="522">
        <f>+[6]คีย์ข้อมูล!G22</f>
        <v>84980</v>
      </c>
      <c r="I40" s="524">
        <f t="shared" si="2"/>
        <v>100</v>
      </c>
      <c r="J40" s="524">
        <f t="shared" si="3"/>
        <v>0</v>
      </c>
      <c r="K40" s="525" t="str">
        <f>+[6]คีย์ข้อมูล!J22</f>
        <v xml:space="preserve"> 26 พ.ย.67</v>
      </c>
      <c r="L40" s="520" t="str">
        <f>+[6]คีย์ข้อมูล!K22</f>
        <v>กค.</v>
      </c>
    </row>
    <row r="41" spans="1:12" s="514" customFormat="1" ht="40.5">
      <c r="B41" s="520">
        <v>34</v>
      </c>
      <c r="C41" s="527" t="s">
        <v>220</v>
      </c>
      <c r="D41" s="522">
        <f>+[6]คีย์ข้อมูล!C20</f>
        <v>0</v>
      </c>
      <c r="E41" s="523">
        <f>+[6]คีย์ข้อมูล!D20</f>
        <v>0</v>
      </c>
      <c r="F41" s="522">
        <f>+[6]คีย์ข้อมูล!E20</f>
        <v>936200</v>
      </c>
      <c r="G41" s="524">
        <f t="shared" si="4"/>
        <v>936200</v>
      </c>
      <c r="H41" s="522">
        <f>+[6]คีย์ข้อมูล!G20</f>
        <v>936200</v>
      </c>
      <c r="I41" s="524">
        <f t="shared" si="2"/>
        <v>100</v>
      </c>
      <c r="J41" s="524">
        <f t="shared" si="3"/>
        <v>0</v>
      </c>
      <c r="K41" s="525" t="str">
        <f>+[6]คีย์ข้อมูล!J20</f>
        <v xml:space="preserve"> 26 ธ.ค.67</v>
      </c>
      <c r="L41" s="520" t="str">
        <f>+[6]คีย์ข้อมูล!K20</f>
        <v>กค.</v>
      </c>
    </row>
    <row r="42" spans="1:12" s="514" customFormat="1" ht="60.75">
      <c r="B42" s="520">
        <v>35</v>
      </c>
      <c r="C42" s="527" t="s">
        <v>221</v>
      </c>
      <c r="D42" s="522">
        <f>+[6]คีย์ข้อมูล!C19</f>
        <v>0</v>
      </c>
      <c r="E42" s="523">
        <f>+[6]คีย์ข้อมูล!D19</f>
        <v>0</v>
      </c>
      <c r="F42" s="522">
        <f>+[6]คีย์ข้อมูล!E19</f>
        <v>41100</v>
      </c>
      <c r="G42" s="524">
        <f t="shared" si="4"/>
        <v>41100</v>
      </c>
      <c r="H42" s="522">
        <f>+[6]คีย์ข้อมูล!G19</f>
        <v>41100</v>
      </c>
      <c r="I42" s="524">
        <f t="shared" si="2"/>
        <v>100</v>
      </c>
      <c r="J42" s="524">
        <f t="shared" si="3"/>
        <v>0</v>
      </c>
      <c r="K42" s="525" t="str">
        <f>+[6]คีย์ข้อมูล!J19</f>
        <v xml:space="preserve"> 26 ธ.ค.67</v>
      </c>
      <c r="L42" s="520" t="str">
        <f>+[6]คีย์ข้อมูล!K19</f>
        <v>กค.</v>
      </c>
    </row>
    <row r="43" spans="1:12" s="528" customFormat="1" ht="40.5">
      <c r="A43" s="535"/>
      <c r="B43" s="520">
        <v>36</v>
      </c>
      <c r="C43" s="527" t="s">
        <v>219</v>
      </c>
      <c r="D43" s="522">
        <f>+[6]คีย์ข้อมูล!C26</f>
        <v>0</v>
      </c>
      <c r="E43" s="523">
        <f>+[6]คีย์ข้อมูล!D26</f>
        <v>0</v>
      </c>
      <c r="F43" s="522">
        <f>+[6]คีย์ข้อมูล!E26</f>
        <v>2192400</v>
      </c>
      <c r="G43" s="524">
        <f t="shared" si="4"/>
        <v>2192400</v>
      </c>
      <c r="H43" s="522">
        <f>+[6]คีย์ข้อมูล!G26</f>
        <v>2192400</v>
      </c>
      <c r="I43" s="524">
        <f t="shared" si="2"/>
        <v>100</v>
      </c>
      <c r="J43" s="524">
        <f t="shared" si="3"/>
        <v>0</v>
      </c>
      <c r="K43" s="525" t="str">
        <f>+[6]คีย์ข้อมูล!J26</f>
        <v xml:space="preserve"> 23 ต.ค.67</v>
      </c>
      <c r="L43" s="520" t="str">
        <f>+[6]คีย์ข้อมูล!K26</f>
        <v>กค.</v>
      </c>
    </row>
    <row r="44" spans="1:12" s="514" customFormat="1" ht="40.5">
      <c r="A44" s="536"/>
      <c r="B44" s="520">
        <v>37</v>
      </c>
      <c r="C44" s="527" t="s">
        <v>331</v>
      </c>
      <c r="D44" s="522">
        <f>+[6]คีย์ข้อมูล!C18</f>
        <v>0</v>
      </c>
      <c r="E44" s="523">
        <f>+[6]คีย์ข้อมูล!D18</f>
        <v>0</v>
      </c>
      <c r="F44" s="522">
        <f>+[6]คีย์ข้อมูล!E18</f>
        <v>495629.71</v>
      </c>
      <c r="G44" s="524">
        <f t="shared" si="4"/>
        <v>495629.71</v>
      </c>
      <c r="H44" s="522">
        <f>+[6]คีย์ข้อมูล!G18</f>
        <v>495629.71</v>
      </c>
      <c r="I44" s="524">
        <f t="shared" si="2"/>
        <v>100</v>
      </c>
      <c r="J44" s="524">
        <f t="shared" si="3"/>
        <v>0</v>
      </c>
      <c r="K44" s="525" t="str">
        <f>+[6]คีย์ข้อมูล!J18</f>
        <v xml:space="preserve"> 26 พ.ย.67</v>
      </c>
      <c r="L44" s="520" t="str">
        <f>+[6]คีย์ข้อมูล!K18</f>
        <v>กค.</v>
      </c>
    </row>
    <row r="45" spans="1:12" s="514" customFormat="1" ht="40.5">
      <c r="B45" s="520">
        <v>38</v>
      </c>
      <c r="C45" s="521" t="s">
        <v>234</v>
      </c>
      <c r="D45" s="522">
        <f>+[6]คีย์ข้อมูล!C52</f>
        <v>0</v>
      </c>
      <c r="E45" s="523">
        <f>+[6]คีย์ข้อมูล!D52</f>
        <v>0</v>
      </c>
      <c r="F45" s="522">
        <f>+[6]คีย์ข้อมูล!E52</f>
        <v>480000</v>
      </c>
      <c r="G45" s="524">
        <f t="shared" si="4"/>
        <v>480000</v>
      </c>
      <c r="H45" s="522">
        <f>+[6]คีย์ข้อมูล!G52</f>
        <v>480000</v>
      </c>
      <c r="I45" s="524">
        <f t="shared" si="2"/>
        <v>100</v>
      </c>
      <c r="J45" s="524">
        <f t="shared" si="3"/>
        <v>0</v>
      </c>
      <c r="K45" s="525" t="str">
        <f>+[6]คีย์ข้อมูล!J52</f>
        <v xml:space="preserve"> 26 พ.ย.67</v>
      </c>
      <c r="L45" s="520" t="str">
        <f>+[6]คีย์ข้อมูล!K52</f>
        <v>สพช.</v>
      </c>
    </row>
    <row r="46" spans="1:12" s="514" customFormat="1" ht="101.25">
      <c r="B46" s="520">
        <v>39</v>
      </c>
      <c r="C46" s="521" t="s">
        <v>332</v>
      </c>
      <c r="D46" s="522">
        <f>+[6]คีย์ข้อมูล!C60</f>
        <v>0</v>
      </c>
      <c r="E46" s="523">
        <f>+[6]คีย์ข้อมูล!D60</f>
        <v>32688000</v>
      </c>
      <c r="F46" s="522">
        <f>+[6]คีย์ข้อมูล!E60</f>
        <v>0</v>
      </c>
      <c r="G46" s="524">
        <f t="shared" si="4"/>
        <v>32688000</v>
      </c>
      <c r="H46" s="522">
        <f>+[6]คีย์ข้อมูล!G60</f>
        <v>32688000</v>
      </c>
      <c r="I46" s="524">
        <f t="shared" si="2"/>
        <v>100</v>
      </c>
      <c r="J46" s="524">
        <f t="shared" si="3"/>
        <v>0</v>
      </c>
      <c r="K46" s="525" t="str">
        <f>+[6]คีย์ข้อมูล!J60</f>
        <v xml:space="preserve"> 3 ธ.ค.67</v>
      </c>
      <c r="L46" s="520" t="str">
        <f>+[6]คีย์ข้อมูล!K60</f>
        <v>สภว.</v>
      </c>
    </row>
    <row r="47" spans="1:12" s="528" customFormat="1" ht="60.75">
      <c r="A47" s="514"/>
      <c r="B47" s="520">
        <v>40</v>
      </c>
      <c r="C47" s="521" t="s">
        <v>333</v>
      </c>
      <c r="D47" s="522">
        <f>+[6]คีย์ข้อมูล!C57</f>
        <v>0</v>
      </c>
      <c r="E47" s="523">
        <f>+[6]คีย์ข้อมูล!D57</f>
        <v>14315000</v>
      </c>
      <c r="F47" s="522">
        <f>+[6]คีย์ข้อมูล!E57</f>
        <v>0</v>
      </c>
      <c r="G47" s="524">
        <f t="shared" si="4"/>
        <v>14315000</v>
      </c>
      <c r="H47" s="522">
        <f>+[6]คีย์ข้อมูล!G57</f>
        <v>14315000</v>
      </c>
      <c r="I47" s="524">
        <f t="shared" si="2"/>
        <v>100</v>
      </c>
      <c r="J47" s="524">
        <f t="shared" si="3"/>
        <v>0</v>
      </c>
      <c r="K47" s="525" t="str">
        <f>+[6]คีย์ข้อมูล!J57</f>
        <v xml:space="preserve"> 30 พ.ย.67</v>
      </c>
      <c r="L47" s="520" t="str">
        <f>+[6]คีย์ข้อมูล!K57</f>
        <v>สภว.</v>
      </c>
    </row>
    <row r="48" spans="1:12" s="514" customFormat="1" ht="40.5">
      <c r="B48" s="520">
        <v>41</v>
      </c>
      <c r="C48" s="521" t="s">
        <v>329</v>
      </c>
      <c r="D48" s="522">
        <f>+[6]คีย์ข้อมูล!C63</f>
        <v>0</v>
      </c>
      <c r="E48" s="523">
        <f>+[6]คีย์ข้อมูล!D63</f>
        <v>17980000</v>
      </c>
      <c r="F48" s="522">
        <f>+[6]คีย์ข้อมูล!E63</f>
        <v>0</v>
      </c>
      <c r="G48" s="524">
        <f t="shared" si="4"/>
        <v>17980000</v>
      </c>
      <c r="H48" s="522">
        <f>+[6]คีย์ข้อมูล!G63</f>
        <v>17980000</v>
      </c>
      <c r="I48" s="524">
        <f t="shared" si="2"/>
        <v>100</v>
      </c>
      <c r="J48" s="524">
        <f t="shared" si="3"/>
        <v>0</v>
      </c>
      <c r="K48" s="525" t="str">
        <f>+[6]คีย์ข้อมูล!J63</f>
        <v xml:space="preserve"> 20 ธ.ค.67</v>
      </c>
      <c r="L48" s="520" t="str">
        <f>+[6]คีย์ข้อมูล!K63</f>
        <v>สภว.</v>
      </c>
    </row>
    <row r="49" spans="1:12" s="514" customFormat="1" ht="40.5">
      <c r="B49" s="520">
        <v>42</v>
      </c>
      <c r="C49" s="527" t="s">
        <v>324</v>
      </c>
      <c r="D49" s="522">
        <f>+[6]คีย์ข้อมูล!C77</f>
        <v>0</v>
      </c>
      <c r="E49" s="523">
        <f>+[6]คีย์ข้อมูล!D77</f>
        <v>1500000</v>
      </c>
      <c r="F49" s="522">
        <f>+[6]คีย์ข้อมูล!E77</f>
        <v>0</v>
      </c>
      <c r="G49" s="524">
        <f t="shared" si="4"/>
        <v>1500000</v>
      </c>
      <c r="H49" s="522">
        <f>+[6]คีย์ข้อมูล!G77</f>
        <v>1500000</v>
      </c>
      <c r="I49" s="524">
        <f t="shared" si="2"/>
        <v>100</v>
      </c>
      <c r="J49" s="524">
        <f t="shared" si="3"/>
        <v>0</v>
      </c>
      <c r="K49" s="525" t="str">
        <f>+[6]คีย์ข้อมูล!J77</f>
        <v xml:space="preserve"> 27 พ.ย.67</v>
      </c>
      <c r="L49" s="520" t="str">
        <f>+[6]คีย์ข้อมูล!K77</f>
        <v>สทอ.</v>
      </c>
    </row>
    <row r="50" spans="1:12" s="514" customFormat="1" ht="40.5">
      <c r="B50" s="520">
        <v>43</v>
      </c>
      <c r="C50" s="521" t="s">
        <v>327</v>
      </c>
      <c r="D50" s="522">
        <f>+[6]คีย์ข้อมูล!C9</f>
        <v>0</v>
      </c>
      <c r="E50" s="523">
        <f>+[6]คีย์ข้อมูล!D9</f>
        <v>0</v>
      </c>
      <c r="F50" s="522">
        <f>+[6]คีย์ข้อมูล!E9</f>
        <v>299974.5</v>
      </c>
      <c r="G50" s="524">
        <f t="shared" si="4"/>
        <v>299974.5</v>
      </c>
      <c r="H50" s="522">
        <f>+[6]คีย์ข้อมูล!G9</f>
        <v>299974.5</v>
      </c>
      <c r="I50" s="524">
        <f t="shared" si="2"/>
        <v>100</v>
      </c>
      <c r="J50" s="524">
        <f t="shared" si="3"/>
        <v>0</v>
      </c>
      <c r="K50" s="525" t="str">
        <f>+[6]คีย์ข้อมูล!J9</f>
        <v xml:space="preserve"> 25 ธ.ค.67</v>
      </c>
      <c r="L50" s="520" t="str">
        <f>+[6]คีย์ข้อมูล!K9</f>
        <v>สล.</v>
      </c>
    </row>
    <row r="51" spans="1:12" s="514" customFormat="1" ht="27" customHeight="1">
      <c r="B51" s="529">
        <v>44</v>
      </c>
      <c r="C51" s="534" t="s">
        <v>230</v>
      </c>
      <c r="D51" s="530">
        <f>+[6]คีย์ข้อมูล!C27</f>
        <v>0</v>
      </c>
      <c r="E51" s="640">
        <f>+[6]คีย์ข้อมูล!D27</f>
        <v>0</v>
      </c>
      <c r="F51" s="530">
        <f>+[6]คีย์ข้อมูล!E27</f>
        <v>2995000</v>
      </c>
      <c r="G51" s="531">
        <f t="shared" si="4"/>
        <v>2995000</v>
      </c>
      <c r="H51" s="530">
        <f>+[6]คีย์ข้อมูล!G27</f>
        <v>2995000</v>
      </c>
      <c r="I51" s="531">
        <f t="shared" si="2"/>
        <v>100</v>
      </c>
      <c r="J51" s="531">
        <f t="shared" si="3"/>
        <v>0</v>
      </c>
      <c r="K51" s="532" t="str">
        <f>+[6]คีย์ข้อมูล!J27</f>
        <v xml:space="preserve"> 12 ก.ย.67</v>
      </c>
      <c r="L51" s="529" t="str">
        <f>+[6]คีย์ข้อมูล!K27</f>
        <v>กค.</v>
      </c>
    </row>
    <row r="52" spans="1:12" s="514" customFormat="1" ht="81">
      <c r="B52" s="515">
        <v>45</v>
      </c>
      <c r="C52" s="641" t="s">
        <v>335</v>
      </c>
      <c r="D52" s="516">
        <f>+[6]คีย์ข้อมูล!C44</f>
        <v>0</v>
      </c>
      <c r="E52" s="517">
        <f>+[6]คีย์ข้อมูล!D44</f>
        <v>276000</v>
      </c>
      <c r="F52" s="516">
        <f>+[6]คีย์ข้อมูล!E44</f>
        <v>0</v>
      </c>
      <c r="G52" s="518">
        <f t="shared" si="4"/>
        <v>276000</v>
      </c>
      <c r="H52" s="516">
        <f>+[6]คีย์ข้อมูล!G44</f>
        <v>276000</v>
      </c>
      <c r="I52" s="518">
        <f t="shared" si="2"/>
        <v>100</v>
      </c>
      <c r="J52" s="518">
        <f t="shared" si="3"/>
        <v>0</v>
      </c>
      <c r="K52" s="519" t="str">
        <f>+[6]คีย์ข้อมูล!J44</f>
        <v xml:space="preserve"> 27 ต.ค.67</v>
      </c>
      <c r="L52" s="515" t="str">
        <f>+[6]คีย์ข้อมูล!K44</f>
        <v>สพช.</v>
      </c>
    </row>
    <row r="53" spans="1:12" s="514" customFormat="1" ht="60.75">
      <c r="B53" s="520">
        <v>46</v>
      </c>
      <c r="C53" s="527" t="s">
        <v>336</v>
      </c>
      <c r="D53" s="522">
        <f>+[6]คีย์ข้อมูล!C58</f>
        <v>0</v>
      </c>
      <c r="E53" s="523">
        <f>+[6]คีย์ข้อมูล!D58</f>
        <v>7936000</v>
      </c>
      <c r="F53" s="522">
        <f>+[6]คีย์ข้อมูล!E58</f>
        <v>0</v>
      </c>
      <c r="G53" s="524">
        <f t="shared" si="4"/>
        <v>7936000</v>
      </c>
      <c r="H53" s="522">
        <f>+[6]คีย์ข้อมูล!G58</f>
        <v>7936000</v>
      </c>
      <c r="I53" s="524">
        <f t="shared" si="2"/>
        <v>100</v>
      </c>
      <c r="J53" s="524">
        <f t="shared" si="3"/>
        <v>0</v>
      </c>
      <c r="K53" s="525" t="str">
        <f>+[6]คีย์ข้อมูล!J58</f>
        <v xml:space="preserve"> 13 พ.ย.67</v>
      </c>
      <c r="L53" s="520" t="str">
        <f>+[6]คีย์ข้อมูล!K58</f>
        <v>สภว.</v>
      </c>
    </row>
    <row r="54" spans="1:12" s="514" customFormat="1" ht="40.5">
      <c r="B54" s="520">
        <v>47</v>
      </c>
      <c r="C54" s="521" t="s">
        <v>337</v>
      </c>
      <c r="D54" s="522">
        <f>+[6]คีย์ข้อมูล!C55</f>
        <v>0</v>
      </c>
      <c r="E54" s="523">
        <f>+[6]คีย์ข้อมูล!D55</f>
        <v>19920000</v>
      </c>
      <c r="F54" s="522">
        <f>+[6]คีย์ข้อมูล!E55</f>
        <v>0</v>
      </c>
      <c r="G54" s="524">
        <f t="shared" si="4"/>
        <v>19920000</v>
      </c>
      <c r="H54" s="522">
        <f>+[6]คีย์ข้อมูล!G55</f>
        <v>19920000</v>
      </c>
      <c r="I54" s="524">
        <f t="shared" si="2"/>
        <v>100</v>
      </c>
      <c r="J54" s="524">
        <f t="shared" si="3"/>
        <v>0</v>
      </c>
      <c r="K54" s="525" t="str">
        <f>+[6]คีย์ข้อมูล!J55</f>
        <v xml:space="preserve"> 28 ต.ค.67</v>
      </c>
      <c r="L54" s="520" t="str">
        <f>+[6]คีย์ข้อมูล!K55</f>
        <v>สภว.</v>
      </c>
    </row>
    <row r="55" spans="1:12" s="514" customFormat="1" ht="40.5">
      <c r="B55" s="520">
        <v>48</v>
      </c>
      <c r="C55" s="521" t="s">
        <v>338</v>
      </c>
      <c r="D55" s="522">
        <f>+[6]คีย์ข้อมูล!C56</f>
        <v>0</v>
      </c>
      <c r="E55" s="523">
        <f>+[6]คีย์ข้อมูล!D56</f>
        <v>2376000</v>
      </c>
      <c r="F55" s="522">
        <f>+[6]คีย์ข้อมูล!E56</f>
        <v>0</v>
      </c>
      <c r="G55" s="524">
        <f t="shared" si="4"/>
        <v>2376000</v>
      </c>
      <c r="H55" s="522">
        <f>+[6]คีย์ข้อมูล!G56</f>
        <v>2376000</v>
      </c>
      <c r="I55" s="524">
        <f t="shared" si="2"/>
        <v>100</v>
      </c>
      <c r="J55" s="524">
        <f t="shared" si="3"/>
        <v>0</v>
      </c>
      <c r="K55" s="525" t="str">
        <f>+[6]คีย์ข้อมูล!J56</f>
        <v xml:space="preserve"> 1 พ.ย.67</v>
      </c>
      <c r="L55" s="520" t="str">
        <f>+[6]คีย์ข้อมูล!K56</f>
        <v>สภว.</v>
      </c>
    </row>
    <row r="56" spans="1:12" s="514" customFormat="1" ht="40.5">
      <c r="B56" s="520">
        <v>49</v>
      </c>
      <c r="C56" s="521" t="s">
        <v>339</v>
      </c>
      <c r="D56" s="522">
        <f>+[6]คีย์ข้อมูล!C68</f>
        <v>0</v>
      </c>
      <c r="E56" s="523">
        <f>+[6]คีย์ข้อมูล!D68</f>
        <v>385000</v>
      </c>
      <c r="F56" s="522">
        <f>+[6]คีย์ข้อมูล!E68</f>
        <v>0</v>
      </c>
      <c r="G56" s="524">
        <f t="shared" si="4"/>
        <v>385000</v>
      </c>
      <c r="H56" s="522">
        <f>+[6]คีย์ข้อมูล!G68</f>
        <v>385000</v>
      </c>
      <c r="I56" s="524">
        <f t="shared" si="2"/>
        <v>100</v>
      </c>
      <c r="J56" s="524">
        <f t="shared" si="3"/>
        <v>0</v>
      </c>
      <c r="K56" s="525" t="str">
        <f>+[6]คีย์ข้อมูล!J68</f>
        <v xml:space="preserve"> 25 ต.ค.67</v>
      </c>
      <c r="L56" s="520" t="str">
        <f>+[6]คีย์ข้อมูล!K68</f>
        <v>สภว.</v>
      </c>
    </row>
    <row r="57" spans="1:12" s="514" customFormat="1" ht="60.75">
      <c r="B57" s="520">
        <v>50</v>
      </c>
      <c r="C57" s="521" t="s">
        <v>340</v>
      </c>
      <c r="D57" s="522">
        <f>+[6]คีย์ข้อมูล!C50</f>
        <v>0</v>
      </c>
      <c r="E57" s="523">
        <f>+[6]คีย์ข้อมูล!D50</f>
        <v>252000</v>
      </c>
      <c r="F57" s="522">
        <f>+[6]คีย์ข้อมูล!E50</f>
        <v>0</v>
      </c>
      <c r="G57" s="524">
        <f t="shared" si="4"/>
        <v>252000</v>
      </c>
      <c r="H57" s="522">
        <f>+[6]คีย์ข้อมูล!G50</f>
        <v>252000</v>
      </c>
      <c r="I57" s="524">
        <f t="shared" si="2"/>
        <v>100</v>
      </c>
      <c r="J57" s="524">
        <f t="shared" si="3"/>
        <v>0</v>
      </c>
      <c r="K57" s="525" t="str">
        <f>+[6]คีย์ข้อมูล!J50</f>
        <v xml:space="preserve"> 17 ต.ค.67</v>
      </c>
      <c r="L57" s="520" t="str">
        <f>+[6]คีย์ข้อมูล!K50</f>
        <v>สพช.</v>
      </c>
    </row>
    <row r="58" spans="1:12" s="528" customFormat="1" ht="40.5">
      <c r="A58" s="514"/>
      <c r="B58" s="520">
        <v>51</v>
      </c>
      <c r="C58" s="521" t="s">
        <v>341</v>
      </c>
      <c r="D58" s="522">
        <f>+[6]คีย์ข้อมูล!C67</f>
        <v>0</v>
      </c>
      <c r="E58" s="523">
        <f>+[6]คีย์ข้อมูล!D67</f>
        <v>200000</v>
      </c>
      <c r="F58" s="522">
        <f>+[6]คีย์ข้อมูล!E67</f>
        <v>0</v>
      </c>
      <c r="G58" s="524">
        <f t="shared" si="4"/>
        <v>200000</v>
      </c>
      <c r="H58" s="522">
        <f>+[6]คีย์ข้อมูล!G67</f>
        <v>200000</v>
      </c>
      <c r="I58" s="524">
        <f t="shared" si="2"/>
        <v>100</v>
      </c>
      <c r="J58" s="524">
        <f t="shared" si="3"/>
        <v>0</v>
      </c>
      <c r="K58" s="525" t="str">
        <f>+[6]คีย์ข้อมูล!J67</f>
        <v xml:space="preserve"> 25 ต.ค.67</v>
      </c>
      <c r="L58" s="520" t="str">
        <f>+[6]คีย์ข้อมูล!K67</f>
        <v>สภว.</v>
      </c>
    </row>
    <row r="59" spans="1:12" s="528" customFormat="1" ht="40.5">
      <c r="A59" s="514"/>
      <c r="B59" s="520">
        <v>52</v>
      </c>
      <c r="C59" s="521" t="s">
        <v>233</v>
      </c>
      <c r="D59" s="522">
        <f>+[6]คีย์ข้อมูล!C48</f>
        <v>0</v>
      </c>
      <c r="E59" s="523">
        <f>+[6]คีย์ข้อมูล!D48</f>
        <v>0</v>
      </c>
      <c r="F59" s="522">
        <f>+[6]คีย์ข้อมูล!E48</f>
        <v>189400</v>
      </c>
      <c r="G59" s="524">
        <f t="shared" si="4"/>
        <v>189400</v>
      </c>
      <c r="H59" s="522">
        <f>+[6]คีย์ข้อมูล!G48</f>
        <v>189400</v>
      </c>
      <c r="I59" s="524">
        <f t="shared" si="2"/>
        <v>100</v>
      </c>
      <c r="J59" s="524">
        <f t="shared" si="3"/>
        <v>0</v>
      </c>
      <c r="K59" s="525" t="str">
        <f>+[6]คีย์ข้อมูล!J48</f>
        <v xml:space="preserve"> 27 ต.ค.67</v>
      </c>
      <c r="L59" s="520" t="str">
        <f>+[6]คีย์ข้อมูล!K48</f>
        <v>สพช.</v>
      </c>
    </row>
    <row r="60" spans="1:12" s="514" customFormat="1" ht="40.5">
      <c r="B60" s="520">
        <v>53</v>
      </c>
      <c r="C60" s="521" t="s">
        <v>232</v>
      </c>
      <c r="D60" s="522">
        <f>+[6]คีย์ข้อมูล!C47</f>
        <v>0</v>
      </c>
      <c r="E60" s="523">
        <f>+[6]คีย์ข้อมูล!D47</f>
        <v>0</v>
      </c>
      <c r="F60" s="522">
        <f>+[6]คีย์ข้อมูล!E47</f>
        <v>181900</v>
      </c>
      <c r="G60" s="524">
        <f t="shared" si="4"/>
        <v>181900</v>
      </c>
      <c r="H60" s="522">
        <f>+[6]คีย์ข้อมูล!G47</f>
        <v>181900</v>
      </c>
      <c r="I60" s="524">
        <f t="shared" si="2"/>
        <v>100</v>
      </c>
      <c r="J60" s="524">
        <f t="shared" si="3"/>
        <v>0</v>
      </c>
      <c r="K60" s="525" t="str">
        <f>+[6]คีย์ข้อมูล!J47</f>
        <v xml:space="preserve"> 27 ต.ค.67</v>
      </c>
      <c r="L60" s="520" t="str">
        <f>+[6]คีย์ข้อมูล!K47</f>
        <v>สพช.</v>
      </c>
    </row>
    <row r="61" spans="1:12" s="514" customFormat="1" ht="40.5">
      <c r="B61" s="520">
        <v>54</v>
      </c>
      <c r="C61" s="527" t="s">
        <v>342</v>
      </c>
      <c r="D61" s="522">
        <f>+[6]คีย์ข้อมูล!C45</f>
        <v>0</v>
      </c>
      <c r="E61" s="523">
        <f>+[6]คีย์ข้อมูล!D45</f>
        <v>174240</v>
      </c>
      <c r="F61" s="522">
        <f>+[6]คีย์ข้อมูล!E45</f>
        <v>0</v>
      </c>
      <c r="G61" s="524">
        <f t="shared" si="4"/>
        <v>174240</v>
      </c>
      <c r="H61" s="522">
        <f>+[6]คีย์ข้อมูล!G45</f>
        <v>174240</v>
      </c>
      <c r="I61" s="524">
        <f t="shared" si="2"/>
        <v>100</v>
      </c>
      <c r="J61" s="524">
        <f t="shared" si="3"/>
        <v>0</v>
      </c>
      <c r="K61" s="525" t="str">
        <f>+[6]คีย์ข้อมูล!J45</f>
        <v xml:space="preserve"> 17 พ.ย.67</v>
      </c>
      <c r="L61" s="520" t="str">
        <f>+[6]คีย์ข้อมูล!K45</f>
        <v>สพช.</v>
      </c>
    </row>
    <row r="62" spans="1:12" s="514" customFormat="1" ht="27" customHeight="1">
      <c r="B62" s="520">
        <v>55</v>
      </c>
      <c r="C62" s="527" t="s">
        <v>343</v>
      </c>
      <c r="D62" s="522">
        <f>+[6]คีย์ข้อมูล!C10</f>
        <v>0</v>
      </c>
      <c r="E62" s="523">
        <f>+[6]คีย์ข้อมูล!D10</f>
        <v>60000</v>
      </c>
      <c r="F62" s="522">
        <f>+[6]คีย์ข้อมูล!E10</f>
        <v>0</v>
      </c>
      <c r="G62" s="524">
        <f t="shared" si="4"/>
        <v>60000</v>
      </c>
      <c r="H62" s="522">
        <f>+[6]คีย์ข้อมูล!G10</f>
        <v>60000</v>
      </c>
      <c r="I62" s="524">
        <f t="shared" si="2"/>
        <v>100</v>
      </c>
      <c r="J62" s="524">
        <f t="shared" si="3"/>
        <v>0</v>
      </c>
      <c r="K62" s="525">
        <f>+[6]คีย์ข้อมูล!J10</f>
        <v>0</v>
      </c>
      <c r="L62" s="520" t="str">
        <f>+[6]คีย์ข้อมูล!K10</f>
        <v>สล.</v>
      </c>
    </row>
    <row r="63" spans="1:12" s="514" customFormat="1" ht="27" customHeight="1">
      <c r="B63" s="520">
        <v>56</v>
      </c>
      <c r="C63" s="521" t="s">
        <v>344</v>
      </c>
      <c r="D63" s="522">
        <f>+[6]คีย์ข้อมูล!C34</f>
        <v>0</v>
      </c>
      <c r="E63" s="523">
        <f>+[6]คีย์ข้อมูล!D34</f>
        <v>37756.730000000003</v>
      </c>
      <c r="F63" s="522">
        <f>+[6]คีย์ข้อมูล!E34</f>
        <v>0</v>
      </c>
      <c r="G63" s="524">
        <f t="shared" si="4"/>
        <v>37756.730000000003</v>
      </c>
      <c r="H63" s="522">
        <f>+[6]คีย์ข้อมูล!G34</f>
        <v>37756.730000000003</v>
      </c>
      <c r="I63" s="524">
        <f t="shared" si="2"/>
        <v>100</v>
      </c>
      <c r="J63" s="524">
        <f t="shared" si="3"/>
        <v>0</v>
      </c>
      <c r="K63" s="525" t="str">
        <f>+[6]คีย์ข้อมูล!J34</f>
        <v xml:space="preserve"> 3 ต.ค.67</v>
      </c>
      <c r="L63" s="520" t="str">
        <f>+[6]คีย์ข้อมูล!K34</f>
        <v>ศสท.</v>
      </c>
    </row>
    <row r="64" spans="1:12" s="514" customFormat="1" ht="27" customHeight="1">
      <c r="B64" s="520">
        <v>57</v>
      </c>
      <c r="C64" s="521" t="s">
        <v>345</v>
      </c>
      <c r="D64" s="522">
        <f>+[6]คีย์ข้อมูล!C41</f>
        <v>0</v>
      </c>
      <c r="E64" s="523">
        <f>+[6]คีย์ข้อมูล!D41</f>
        <v>229985.8</v>
      </c>
      <c r="F64" s="522">
        <f>+[6]คีย์ข้อมูล!E41</f>
        <v>0</v>
      </c>
      <c r="G64" s="524">
        <f t="shared" si="4"/>
        <v>229985.8</v>
      </c>
      <c r="H64" s="522">
        <f>+[6]คีย์ข้อมูล!G41</f>
        <v>229985.8</v>
      </c>
      <c r="I64" s="524">
        <f t="shared" si="2"/>
        <v>100</v>
      </c>
      <c r="J64" s="524">
        <f t="shared" si="3"/>
        <v>0</v>
      </c>
      <c r="K64" s="525" t="str">
        <f>+[6]คีย์ข้อมูล!J41</f>
        <v xml:space="preserve"> 4 ต.ค.67</v>
      </c>
      <c r="L64" s="520" t="str">
        <f>+[6]คีย์ข้อมูล!K41</f>
        <v>กผ.</v>
      </c>
    </row>
    <row r="65" spans="1:12" s="514" customFormat="1" ht="60.75">
      <c r="B65" s="520">
        <v>58</v>
      </c>
      <c r="C65" s="521" t="s">
        <v>346</v>
      </c>
      <c r="D65" s="522">
        <f>+[6]คีย์ข้อมูล!C43</f>
        <v>0</v>
      </c>
      <c r="E65" s="523">
        <f>+[6]คีย์ข้อมูล!D43</f>
        <v>54000</v>
      </c>
      <c r="F65" s="522">
        <f>+[6]คีย์ข้อมูล!E43</f>
        <v>0</v>
      </c>
      <c r="G65" s="524">
        <f t="shared" si="4"/>
        <v>54000</v>
      </c>
      <c r="H65" s="522">
        <f>+[6]คีย์ข้อมูล!G43</f>
        <v>54000</v>
      </c>
      <c r="I65" s="524">
        <f t="shared" si="2"/>
        <v>100</v>
      </c>
      <c r="J65" s="524">
        <f t="shared" si="3"/>
        <v>0</v>
      </c>
      <c r="K65" s="525" t="str">
        <f>+[6]คีย์ข้อมูล!J43</f>
        <v xml:space="preserve"> 1 ต.ค.67</v>
      </c>
      <c r="L65" s="520" t="str">
        <f>+[6]คีย์ข้อมูล!K43</f>
        <v>กจ.</v>
      </c>
    </row>
    <row r="66" spans="1:12" s="514" customFormat="1" ht="60.75">
      <c r="B66" s="520">
        <v>59</v>
      </c>
      <c r="C66" s="521" t="s">
        <v>347</v>
      </c>
      <c r="D66" s="522">
        <f>+[6]คีย์ข้อมูล!C49</f>
        <v>0</v>
      </c>
      <c r="E66" s="523">
        <f>+[6]คีย์ข้อมูล!D49</f>
        <v>42900</v>
      </c>
      <c r="F66" s="522">
        <f>+[6]คีย์ข้อมูล!E49</f>
        <v>0</v>
      </c>
      <c r="G66" s="524">
        <f t="shared" si="4"/>
        <v>42900</v>
      </c>
      <c r="H66" s="522">
        <f>+[6]คีย์ข้อมูล!G49</f>
        <v>42900</v>
      </c>
      <c r="I66" s="524">
        <f t="shared" si="2"/>
        <v>100</v>
      </c>
      <c r="J66" s="524">
        <f t="shared" si="3"/>
        <v>0</v>
      </c>
      <c r="K66" s="525" t="str">
        <f>+[6]คีย์ข้อมูล!J49</f>
        <v xml:space="preserve"> 15 ต.ค.67</v>
      </c>
      <c r="L66" s="520" t="str">
        <f>+[6]คีย์ข้อมูล!K49</f>
        <v>สพช.</v>
      </c>
    </row>
    <row r="67" spans="1:12" s="514" customFormat="1" ht="60.75">
      <c r="B67" s="529">
        <v>60</v>
      </c>
      <c r="C67" s="639" t="s">
        <v>348</v>
      </c>
      <c r="D67" s="530">
        <f>+[6]คีย์ข้อมูล!C51</f>
        <v>0</v>
      </c>
      <c r="E67" s="640">
        <f>+[6]คีย์ข้อมูล!D51</f>
        <v>71500</v>
      </c>
      <c r="F67" s="530">
        <f>+[6]คีย์ข้อมูล!E51</f>
        <v>0</v>
      </c>
      <c r="G67" s="531">
        <f t="shared" si="4"/>
        <v>71500</v>
      </c>
      <c r="H67" s="530">
        <f>+[6]คีย์ข้อมูล!G51</f>
        <v>71500</v>
      </c>
      <c r="I67" s="531">
        <f t="shared" si="2"/>
        <v>100</v>
      </c>
      <c r="J67" s="531">
        <f t="shared" si="3"/>
        <v>0</v>
      </c>
      <c r="K67" s="532" t="str">
        <f>+[6]คีย์ข้อมูล!J51</f>
        <v xml:space="preserve"> 17 ต.ค.67</v>
      </c>
      <c r="L67" s="529" t="str">
        <f>+[6]คีย์ข้อมูล!K51</f>
        <v>สพช.</v>
      </c>
    </row>
    <row r="68" spans="1:12" s="514" customFormat="1" ht="40.5">
      <c r="B68" s="515">
        <v>61</v>
      </c>
      <c r="C68" s="641" t="s">
        <v>349</v>
      </c>
      <c r="D68" s="516">
        <f>+[6]คีย์ข้อมูล!C53</f>
        <v>0</v>
      </c>
      <c r="E68" s="517">
        <f>+[6]คีย์ข้อมูล!D53</f>
        <v>3980000</v>
      </c>
      <c r="F68" s="516">
        <f>+[6]คีย์ข้อมูล!E53</f>
        <v>0</v>
      </c>
      <c r="G68" s="518">
        <f t="shared" si="4"/>
        <v>3980000</v>
      </c>
      <c r="H68" s="516">
        <f>+[6]คีย์ข้อมูล!G53</f>
        <v>3980000</v>
      </c>
      <c r="I68" s="518">
        <f t="shared" si="2"/>
        <v>100</v>
      </c>
      <c r="J68" s="518">
        <f t="shared" si="3"/>
        <v>0</v>
      </c>
      <c r="K68" s="519" t="str">
        <f>+[6]คีย์ข้อมูล!J53</f>
        <v xml:space="preserve"> 20 ต.ค.67</v>
      </c>
      <c r="L68" s="515" t="str">
        <f>+[6]คีย์ข้อมูล!K53</f>
        <v>สภว.</v>
      </c>
    </row>
    <row r="69" spans="1:12" s="514" customFormat="1" ht="27" customHeight="1">
      <c r="B69" s="520">
        <v>62</v>
      </c>
      <c r="C69" s="521" t="s">
        <v>350</v>
      </c>
      <c r="D69" s="522">
        <f>+[6]คีย์ข้อมูล!C54</f>
        <v>0</v>
      </c>
      <c r="E69" s="523">
        <f>+[6]คีย์ข้อมูล!D54</f>
        <v>11960000</v>
      </c>
      <c r="F69" s="522">
        <f>+[6]คีย์ข้อมูล!E54</f>
        <v>0</v>
      </c>
      <c r="G69" s="524">
        <f t="shared" si="4"/>
        <v>11960000</v>
      </c>
      <c r="H69" s="522">
        <f>+[6]คีย์ข้อมูล!G54</f>
        <v>11960000</v>
      </c>
      <c r="I69" s="524">
        <f t="shared" si="2"/>
        <v>100</v>
      </c>
      <c r="J69" s="524">
        <f t="shared" si="3"/>
        <v>0</v>
      </c>
      <c r="K69" s="525" t="str">
        <f>+[6]คีย์ข้อมูล!J54</f>
        <v xml:space="preserve"> 4 ต.ค.67</v>
      </c>
      <c r="L69" s="520" t="str">
        <f>+[6]คีย์ข้อมูล!K54</f>
        <v>สภว.</v>
      </c>
    </row>
    <row r="70" spans="1:12" s="514" customFormat="1" ht="60.75">
      <c r="B70" s="520">
        <v>63</v>
      </c>
      <c r="C70" s="521" t="s">
        <v>351</v>
      </c>
      <c r="D70" s="522">
        <f>+[6]คีย์ข้อมูล!C59</f>
        <v>0</v>
      </c>
      <c r="E70" s="523">
        <f>+[6]คีย์ข้อมูล!D59</f>
        <v>760000</v>
      </c>
      <c r="F70" s="522">
        <f>+[6]คีย์ข้อมูล!E59</f>
        <v>0</v>
      </c>
      <c r="G70" s="524">
        <f t="shared" si="4"/>
        <v>760000</v>
      </c>
      <c r="H70" s="522">
        <f>+[6]คีย์ข้อมูล!G59</f>
        <v>760000</v>
      </c>
      <c r="I70" s="524">
        <f t="shared" si="2"/>
        <v>100</v>
      </c>
      <c r="J70" s="524">
        <f t="shared" si="3"/>
        <v>0</v>
      </c>
      <c r="K70" s="525" t="str">
        <f>+[6]คีย์ข้อมูล!J59</f>
        <v xml:space="preserve"> 14 ต.ค.67</v>
      </c>
      <c r="L70" s="520" t="str">
        <f>+[6]คีย์ข้อมูล!K59</f>
        <v>สภว.</v>
      </c>
    </row>
    <row r="71" spans="1:12" s="514" customFormat="1" ht="27" customHeight="1">
      <c r="B71" s="520">
        <v>64</v>
      </c>
      <c r="C71" s="521" t="s">
        <v>352</v>
      </c>
      <c r="D71" s="522">
        <f>+[6]คีย์ข้อมูล!C66</f>
        <v>0</v>
      </c>
      <c r="E71" s="523">
        <f>+[6]คีย์ข้อมูล!D66</f>
        <v>40553</v>
      </c>
      <c r="F71" s="522">
        <f>+[6]คีย์ข้อมูล!E66</f>
        <v>0</v>
      </c>
      <c r="G71" s="524">
        <f t="shared" si="4"/>
        <v>40553</v>
      </c>
      <c r="H71" s="522">
        <f>+[6]คีย์ข้อมูล!G66</f>
        <v>40553</v>
      </c>
      <c r="I71" s="524">
        <f t="shared" si="2"/>
        <v>100</v>
      </c>
      <c r="J71" s="524">
        <f t="shared" si="3"/>
        <v>0</v>
      </c>
      <c r="K71" s="525" t="str">
        <f>+[6]คีย์ข้อมูล!J66</f>
        <v xml:space="preserve"> 3 ต.ค.67</v>
      </c>
      <c r="L71" s="520" t="str">
        <f>+[6]คีย์ข้อมูล!K66</f>
        <v>สภว.</v>
      </c>
    </row>
    <row r="72" spans="1:12" s="514" customFormat="1" ht="40.5" customHeight="1">
      <c r="B72" s="520">
        <v>65</v>
      </c>
      <c r="C72" s="521" t="s">
        <v>353</v>
      </c>
      <c r="D72" s="522">
        <f>+[6]คีย์ข้อมูล!C74</f>
        <v>0</v>
      </c>
      <c r="E72" s="523">
        <f>+[6]คีย์ข้อมูล!D74</f>
        <v>211900</v>
      </c>
      <c r="F72" s="522">
        <f>+[6]คีย์ข้อมูล!E74</f>
        <v>0</v>
      </c>
      <c r="G72" s="524">
        <f t="shared" si="4"/>
        <v>211900</v>
      </c>
      <c r="H72" s="522">
        <f>+[6]คีย์ข้อมูล!G74</f>
        <v>211900</v>
      </c>
      <c r="I72" s="524">
        <f t="shared" ref="I72:I77" si="5">+H72*100/G72</f>
        <v>100</v>
      </c>
      <c r="J72" s="524">
        <f t="shared" ref="J72:J77" si="6">+G72-H72</f>
        <v>0</v>
      </c>
      <c r="K72" s="525" t="str">
        <f>+[6]คีย์ข้อมูล!J74</f>
        <v xml:space="preserve"> 17 พ.ย.67</v>
      </c>
      <c r="L72" s="520" t="str">
        <f>+[6]คีย์ข้อมูล!K74</f>
        <v>สสช.</v>
      </c>
    </row>
    <row r="73" spans="1:12" s="514" customFormat="1" ht="40.5" customHeight="1">
      <c r="B73" s="520">
        <v>66</v>
      </c>
      <c r="C73" s="521" t="s">
        <v>354</v>
      </c>
      <c r="D73" s="522">
        <f>+[6]คีย์ข้อมูล!C75</f>
        <v>0</v>
      </c>
      <c r="E73" s="523">
        <f>+[6]คีย์ข้อมูล!D75</f>
        <v>247000</v>
      </c>
      <c r="F73" s="522">
        <f>+[6]คีย์ข้อมูล!E75</f>
        <v>0</v>
      </c>
      <c r="G73" s="524">
        <f t="shared" si="4"/>
        <v>247000</v>
      </c>
      <c r="H73" s="522">
        <f>+[6]คีย์ข้อมูล!G75</f>
        <v>247000</v>
      </c>
      <c r="I73" s="524">
        <f t="shared" si="5"/>
        <v>100</v>
      </c>
      <c r="J73" s="524">
        <f t="shared" si="6"/>
        <v>0</v>
      </c>
      <c r="K73" s="525" t="str">
        <f>+[6]คีย์ข้อมูล!J75</f>
        <v xml:space="preserve"> 17 พ.ย.67</v>
      </c>
      <c r="L73" s="520" t="str">
        <f>+[6]คีย์ข้อมูล!K75</f>
        <v>สสช.</v>
      </c>
    </row>
    <row r="74" spans="1:12" s="514" customFormat="1" ht="40.5">
      <c r="B74" s="520">
        <v>67</v>
      </c>
      <c r="C74" s="527" t="s">
        <v>355</v>
      </c>
      <c r="D74" s="522">
        <f>+[6]คีย์ข้อมูล!C76</f>
        <v>0</v>
      </c>
      <c r="E74" s="523">
        <f>+[6]คีย์ข้อมูล!D76</f>
        <v>25000</v>
      </c>
      <c r="F74" s="522">
        <f>+[6]คีย์ข้อมูล!E76</f>
        <v>0</v>
      </c>
      <c r="G74" s="524">
        <f t="shared" si="4"/>
        <v>25000</v>
      </c>
      <c r="H74" s="522">
        <f>+[6]คีย์ข้อมูล!G76</f>
        <v>25000</v>
      </c>
      <c r="I74" s="524">
        <f t="shared" si="5"/>
        <v>100</v>
      </c>
      <c r="J74" s="524">
        <f t="shared" si="6"/>
        <v>0</v>
      </c>
      <c r="K74" s="525" t="str">
        <f>+[6]คีย์ข้อมูล!J76</f>
        <v xml:space="preserve"> 2 ต.ค.67</v>
      </c>
      <c r="L74" s="520" t="str">
        <f>+[6]คีย์ข้อมูล!K76</f>
        <v>สสช.</v>
      </c>
    </row>
    <row r="75" spans="1:12" s="514" customFormat="1" ht="40.5">
      <c r="B75" s="520">
        <v>68</v>
      </c>
      <c r="C75" s="527" t="s">
        <v>356</v>
      </c>
      <c r="D75" s="522">
        <f>+[6]คีย์ข้อมูล!C78</f>
        <v>0</v>
      </c>
      <c r="E75" s="523">
        <f>+[6]คีย์ข้อมูล!D78</f>
        <v>150000</v>
      </c>
      <c r="F75" s="522">
        <f>+[6]คีย์ข้อมูล!E78</f>
        <v>0</v>
      </c>
      <c r="G75" s="524">
        <f t="shared" si="4"/>
        <v>150000</v>
      </c>
      <c r="H75" s="522">
        <f>+[6]คีย์ข้อมูล!G78</f>
        <v>150000</v>
      </c>
      <c r="I75" s="524">
        <f t="shared" si="5"/>
        <v>100</v>
      </c>
      <c r="J75" s="524">
        <f t="shared" si="6"/>
        <v>0</v>
      </c>
      <c r="K75" s="525" t="str">
        <f>+[6]คีย์ข้อมูล!J78</f>
        <v xml:space="preserve"> 4 ต.ค.67</v>
      </c>
      <c r="L75" s="520" t="str">
        <f>+[6]คีย์ข้อมูล!K78</f>
        <v>สทอ.</v>
      </c>
    </row>
    <row r="76" spans="1:12" s="514" customFormat="1" ht="27" customHeight="1">
      <c r="B76" s="520">
        <v>69</v>
      </c>
      <c r="C76" s="527" t="s">
        <v>357</v>
      </c>
      <c r="D76" s="522">
        <f>+[6]คีย์ข้อมูล!C13</f>
        <v>0</v>
      </c>
      <c r="E76" s="523">
        <f>+[6]คีย์ข้อมูล!D13</f>
        <v>0</v>
      </c>
      <c r="F76" s="522">
        <f>+[6]คีย์ข้อมูล!E13</f>
        <v>107271000</v>
      </c>
      <c r="G76" s="524">
        <f t="shared" si="4"/>
        <v>107271000</v>
      </c>
      <c r="H76" s="522">
        <f>+[6]คีย์ข้อมูล!G13</f>
        <v>107271000</v>
      </c>
      <c r="I76" s="524">
        <f t="shared" si="5"/>
        <v>100</v>
      </c>
      <c r="J76" s="524">
        <f t="shared" si="6"/>
        <v>0</v>
      </c>
      <c r="K76" s="525" t="str">
        <f>+[6]คีย์ข้อมูล!J13</f>
        <v xml:space="preserve"> 28 พ.ย.67</v>
      </c>
      <c r="L76" s="520" t="str">
        <f>+[6]คีย์ข้อมูล!K13</f>
        <v>กค.</v>
      </c>
    </row>
    <row r="77" spans="1:12" s="514" customFormat="1" ht="27" customHeight="1">
      <c r="B77" s="520">
        <v>70</v>
      </c>
      <c r="C77" s="521" t="s">
        <v>358</v>
      </c>
      <c r="D77" s="522">
        <f>+[6]คีย์ข้อมูล!C32</f>
        <v>0</v>
      </c>
      <c r="E77" s="523">
        <f>+[6]คีย์ข้อมูล!D32</f>
        <v>146668</v>
      </c>
      <c r="F77" s="522">
        <f>+[6]คีย์ข้อมูล!E32</f>
        <v>0</v>
      </c>
      <c r="G77" s="524">
        <f t="shared" si="4"/>
        <v>146668</v>
      </c>
      <c r="H77" s="522">
        <f>+[6]คีย์ข้อมูล!G32</f>
        <v>146668</v>
      </c>
      <c r="I77" s="524">
        <f t="shared" si="5"/>
        <v>100</v>
      </c>
      <c r="J77" s="524">
        <f t="shared" si="6"/>
        <v>0</v>
      </c>
      <c r="K77" s="525" t="str">
        <f>+[6]คีย์ข้อมูล!J32</f>
        <v xml:space="preserve"> 7 ต.ค.67</v>
      </c>
      <c r="L77" s="520" t="str">
        <f>+[6]คีย์ข้อมูล!K32</f>
        <v>กค.</v>
      </c>
    </row>
    <row r="78" spans="1:12" s="514" customFormat="1" ht="27.95" customHeight="1">
      <c r="B78" s="529"/>
      <c r="C78" s="537"/>
      <c r="D78" s="530"/>
      <c r="E78" s="531"/>
      <c r="F78" s="530"/>
      <c r="G78" s="531"/>
      <c r="H78" s="530"/>
      <c r="I78" s="531"/>
      <c r="J78" s="531"/>
      <c r="K78" s="532"/>
      <c r="L78" s="529"/>
    </row>
    <row r="79" spans="1:12" s="538" customFormat="1" ht="33" customHeight="1">
      <c r="B79" s="539">
        <v>2</v>
      </c>
      <c r="C79" s="540" t="s">
        <v>302</v>
      </c>
      <c r="D79" s="541">
        <f>SUM(D80:D138)</f>
        <v>490022.13</v>
      </c>
      <c r="E79" s="541">
        <f>SUM(E80:E138)</f>
        <v>30291858.039999995</v>
      </c>
      <c r="F79" s="541">
        <f>SUM(F80:F138)</f>
        <v>24460172.509999998</v>
      </c>
      <c r="G79" s="541">
        <f>SUM(G80:G138)</f>
        <v>55242052.679999992</v>
      </c>
      <c r="H79" s="541">
        <f>SUM(H80:H138)</f>
        <v>46330886.809999995</v>
      </c>
      <c r="I79" s="541">
        <f t="shared" ref="I79:I138" si="7">+H79*100/G79</f>
        <v>83.868872647402128</v>
      </c>
      <c r="J79" s="541">
        <f>SUM(J80:J138)</f>
        <v>8911165.8699999992</v>
      </c>
      <c r="K79" s="542"/>
      <c r="L79" s="539"/>
    </row>
    <row r="80" spans="1:12" s="514" customFormat="1" ht="27.95" customHeight="1">
      <c r="A80" s="538"/>
      <c r="B80" s="515">
        <v>1</v>
      </c>
      <c r="C80" s="543" t="s">
        <v>363</v>
      </c>
      <c r="D80" s="544">
        <f>+[6]คีย์ข้อมูล!C248</f>
        <v>0</v>
      </c>
      <c r="E80" s="544">
        <f>+[6]คีย์ข้อมูล!D248</f>
        <v>0</v>
      </c>
      <c r="F80" s="544">
        <f>+[6]คีย์ข้อมูล!E248</f>
        <v>500000</v>
      </c>
      <c r="G80" s="518">
        <f t="shared" ref="G80:G111" si="8">SUM(D80:F80)</f>
        <v>500000</v>
      </c>
      <c r="H80" s="516">
        <f>+[6]คีย์ข้อมูล!G248</f>
        <v>0</v>
      </c>
      <c r="I80" s="516">
        <f t="shared" si="7"/>
        <v>0</v>
      </c>
      <c r="J80" s="516">
        <f t="shared" ref="J80:J138" si="9">+G80-H80</f>
        <v>500000</v>
      </c>
      <c r="K80" s="519" t="s">
        <v>364</v>
      </c>
      <c r="L80" s="515"/>
    </row>
    <row r="81" spans="1:12" s="538" customFormat="1" ht="27.95" customHeight="1">
      <c r="B81" s="520">
        <v>2</v>
      </c>
      <c r="C81" s="545" t="s">
        <v>384</v>
      </c>
      <c r="D81" s="546">
        <f>+[6]คีย์ข้อมูล!C153</f>
        <v>51268.32</v>
      </c>
      <c r="E81" s="546">
        <f>+[6]คีย์ข้อมูล!D153</f>
        <v>586125</v>
      </c>
      <c r="F81" s="546">
        <f>+[6]คีย์ข้อมูล!E153</f>
        <v>396331.68</v>
      </c>
      <c r="G81" s="524">
        <f t="shared" si="8"/>
        <v>1033725</v>
      </c>
      <c r="H81" s="522">
        <f>+[6]คีย์ข้อมูล!G153</f>
        <v>329256.68</v>
      </c>
      <c r="I81" s="522">
        <f t="shared" si="7"/>
        <v>31.851476940192025</v>
      </c>
      <c r="J81" s="522">
        <f t="shared" si="9"/>
        <v>704468.32000000007</v>
      </c>
      <c r="K81" s="525" t="s">
        <v>385</v>
      </c>
      <c r="L81" s="520"/>
    </row>
    <row r="82" spans="1:12" s="514" customFormat="1" ht="27.95" customHeight="1">
      <c r="A82" s="538"/>
      <c r="B82" s="520">
        <v>3</v>
      </c>
      <c r="C82" s="545" t="s">
        <v>388</v>
      </c>
      <c r="D82" s="546">
        <f>+[6]คีย์ข้อมูล!C372</f>
        <v>0</v>
      </c>
      <c r="E82" s="546">
        <f>+[6]คีย์ข้อมูล!D372</f>
        <v>868600</v>
      </c>
      <c r="F82" s="546">
        <f>+[6]คีย์ข้อมูล!E372</f>
        <v>360000</v>
      </c>
      <c r="G82" s="524">
        <f t="shared" si="8"/>
        <v>1228600</v>
      </c>
      <c r="H82" s="522">
        <f>+[6]คีย์ข้อมูล!G372</f>
        <v>432500</v>
      </c>
      <c r="I82" s="522">
        <f t="shared" si="7"/>
        <v>35.202669705355689</v>
      </c>
      <c r="J82" s="522">
        <f t="shared" si="9"/>
        <v>796100</v>
      </c>
      <c r="K82" s="525" t="s">
        <v>389</v>
      </c>
      <c r="L82" s="520"/>
    </row>
    <row r="83" spans="1:12" s="538" customFormat="1" ht="27.95" customHeight="1">
      <c r="B83" s="520">
        <v>4</v>
      </c>
      <c r="C83" s="545" t="s">
        <v>390</v>
      </c>
      <c r="D83" s="546">
        <f>+[6]คีย์ข้อมูล!C439</f>
        <v>0</v>
      </c>
      <c r="E83" s="546">
        <f>+[6]คีย์ข้อมูล!D439</f>
        <v>1056000</v>
      </c>
      <c r="F83" s="546">
        <f>+[6]คีย์ข้อมูล!E439</f>
        <v>161000</v>
      </c>
      <c r="G83" s="524">
        <f t="shared" si="8"/>
        <v>1217000</v>
      </c>
      <c r="H83" s="522">
        <f>+[6]คีย์ข้อมูล!G439</f>
        <v>442000</v>
      </c>
      <c r="I83" s="522">
        <f t="shared" si="7"/>
        <v>36.318816762530815</v>
      </c>
      <c r="J83" s="522">
        <f t="shared" si="9"/>
        <v>775000</v>
      </c>
      <c r="K83" s="525" t="s">
        <v>391</v>
      </c>
      <c r="L83" s="520"/>
    </row>
    <row r="84" spans="1:12" s="538" customFormat="1" ht="27.95" customHeight="1">
      <c r="A84" s="514"/>
      <c r="B84" s="520">
        <v>5</v>
      </c>
      <c r="C84" s="545" t="s">
        <v>386</v>
      </c>
      <c r="D84" s="546">
        <f>+[6]คีย์ข้อมูล!C131</f>
        <v>560.86</v>
      </c>
      <c r="E84" s="546">
        <f>+[6]คีย์ข้อมูล!D131</f>
        <v>775000</v>
      </c>
      <c r="F84" s="546">
        <f>+[6]คีย์ข้อมูล!E131</f>
        <v>3026036.78</v>
      </c>
      <c r="G84" s="524">
        <f t="shared" si="8"/>
        <v>3801597.6399999997</v>
      </c>
      <c r="H84" s="522">
        <f>+[6]คีย์ข้อมูล!G131</f>
        <v>1693327.02</v>
      </c>
      <c r="I84" s="522">
        <f t="shared" si="7"/>
        <v>44.542510290489346</v>
      </c>
      <c r="J84" s="522">
        <f t="shared" si="9"/>
        <v>2108270.6199999996</v>
      </c>
      <c r="K84" s="525" t="s">
        <v>387</v>
      </c>
      <c r="L84" s="520"/>
    </row>
    <row r="85" spans="1:12" s="538" customFormat="1" ht="27.95" customHeight="1">
      <c r="B85" s="520">
        <v>6</v>
      </c>
      <c r="C85" s="545" t="s">
        <v>393</v>
      </c>
      <c r="D85" s="546">
        <f>+[6]คีย์ข้อมูล!C457</f>
        <v>0</v>
      </c>
      <c r="E85" s="546">
        <f>+[6]คีย์ข้อมูล!D457</f>
        <v>1688245.09</v>
      </c>
      <c r="F85" s="546">
        <f>+[6]คีย์ข้อมูล!E457</f>
        <v>144860</v>
      </c>
      <c r="G85" s="524">
        <f t="shared" si="8"/>
        <v>1833105.09</v>
      </c>
      <c r="H85" s="522">
        <f>+[6]คีย์ข้อมูล!G457</f>
        <v>862105.09</v>
      </c>
      <c r="I85" s="522">
        <f t="shared" si="7"/>
        <v>47.029769035227545</v>
      </c>
      <c r="J85" s="522">
        <f t="shared" si="9"/>
        <v>971000.00000000012</v>
      </c>
      <c r="K85" s="525" t="s">
        <v>394</v>
      </c>
      <c r="L85" s="520"/>
    </row>
    <row r="86" spans="1:12" s="514" customFormat="1" ht="27.95" customHeight="1">
      <c r="A86" s="538"/>
      <c r="B86" s="520">
        <v>7</v>
      </c>
      <c r="C86" s="545" t="s">
        <v>372</v>
      </c>
      <c r="D86" s="546">
        <f>+[6]คีย์ข้อมูล!C352</f>
        <v>0</v>
      </c>
      <c r="E86" s="546">
        <f>+[6]คีย์ข้อมูล!D352</f>
        <v>775000</v>
      </c>
      <c r="F86" s="546">
        <f>+[6]คีย์ข้อมูล!E352</f>
        <v>23300</v>
      </c>
      <c r="G86" s="524">
        <f t="shared" si="8"/>
        <v>798300</v>
      </c>
      <c r="H86" s="522">
        <f>+[6]คีย์ข้อมูล!G352</f>
        <v>423300</v>
      </c>
      <c r="I86" s="522">
        <f t="shared" si="7"/>
        <v>53.025178504321687</v>
      </c>
      <c r="J86" s="522">
        <f t="shared" si="9"/>
        <v>375000</v>
      </c>
      <c r="K86" s="525" t="s">
        <v>373</v>
      </c>
      <c r="L86" s="520"/>
    </row>
    <row r="87" spans="1:12" s="538" customFormat="1" ht="27.95" customHeight="1">
      <c r="B87" s="520">
        <v>8</v>
      </c>
      <c r="C87" s="545" t="s">
        <v>396</v>
      </c>
      <c r="D87" s="546">
        <f>+[6]คีย์ข้อมูล!C380</f>
        <v>0</v>
      </c>
      <c r="E87" s="546">
        <f>+[6]คีย์ข้อมูล!D380</f>
        <v>1860913.03</v>
      </c>
      <c r="F87" s="546">
        <f>+[6]คีย์ข้อมูล!E380</f>
        <v>107000</v>
      </c>
      <c r="G87" s="524">
        <f t="shared" si="8"/>
        <v>1967913.03</v>
      </c>
      <c r="H87" s="522">
        <f>+[6]คีย์ข้อมูล!G380</f>
        <v>1192913.03</v>
      </c>
      <c r="I87" s="522">
        <f t="shared" si="7"/>
        <v>60.618178334842369</v>
      </c>
      <c r="J87" s="522">
        <f t="shared" si="9"/>
        <v>775000</v>
      </c>
      <c r="K87" s="525" t="s">
        <v>397</v>
      </c>
      <c r="L87" s="520"/>
    </row>
    <row r="88" spans="1:12" s="538" customFormat="1" ht="27.95" customHeight="1">
      <c r="B88" s="520">
        <v>9</v>
      </c>
      <c r="C88" s="545" t="s">
        <v>712</v>
      </c>
      <c r="D88" s="546">
        <f>+[6]คีย์ข้อมูล!C232</f>
        <v>34600</v>
      </c>
      <c r="E88" s="546">
        <f>+[6]คีย์ข้อมูล!D232</f>
        <v>0</v>
      </c>
      <c r="F88" s="546">
        <f>+[6]คีย์ข้อมูล!E232</f>
        <v>61700</v>
      </c>
      <c r="G88" s="524">
        <f t="shared" si="8"/>
        <v>96300</v>
      </c>
      <c r="H88" s="522">
        <f>+[6]คีย์ข้อมูล!G232</f>
        <v>61700</v>
      </c>
      <c r="I88" s="522">
        <f t="shared" si="7"/>
        <v>64.070612668743507</v>
      </c>
      <c r="J88" s="522">
        <f t="shared" si="9"/>
        <v>34600</v>
      </c>
      <c r="K88" s="525" t="s">
        <v>371</v>
      </c>
      <c r="L88" s="549"/>
    </row>
    <row r="89" spans="1:12" s="538" customFormat="1" ht="27.95" customHeight="1">
      <c r="B89" s="520">
        <v>10</v>
      </c>
      <c r="C89" s="545" t="s">
        <v>400</v>
      </c>
      <c r="D89" s="546">
        <f>+[6]คีย์ข้อมูล!C267</f>
        <v>0</v>
      </c>
      <c r="E89" s="546">
        <f>+[6]คีย์ข้อมูล!D267</f>
        <v>0</v>
      </c>
      <c r="F89" s="546">
        <f>+[6]คีย์ข้อมูล!E267</f>
        <v>350700</v>
      </c>
      <c r="G89" s="524">
        <f t="shared" si="8"/>
        <v>350700</v>
      </c>
      <c r="H89" s="522">
        <f>+[6]คีย์ข้อมูล!G267</f>
        <v>232000</v>
      </c>
      <c r="I89" s="522">
        <f t="shared" si="7"/>
        <v>66.153407470772734</v>
      </c>
      <c r="J89" s="522">
        <f t="shared" si="9"/>
        <v>118700</v>
      </c>
      <c r="K89" s="525" t="s">
        <v>381</v>
      </c>
      <c r="L89" s="520"/>
    </row>
    <row r="90" spans="1:12" s="538" customFormat="1" ht="27.95" customHeight="1">
      <c r="B90" s="520">
        <v>11</v>
      </c>
      <c r="C90" s="545" t="s">
        <v>398</v>
      </c>
      <c r="D90" s="546">
        <f>+[6]คีย์ข้อมูล!C204</f>
        <v>0</v>
      </c>
      <c r="E90" s="546">
        <f>+[6]คีย์ข้อมูล!D204</f>
        <v>400000</v>
      </c>
      <c r="F90" s="546">
        <f>+[6]คีย์ข้อมูล!E204</f>
        <v>547900</v>
      </c>
      <c r="G90" s="524">
        <f t="shared" si="8"/>
        <v>947900</v>
      </c>
      <c r="H90" s="522">
        <f>+[6]คีย์ข้อมูล!G204</f>
        <v>699200</v>
      </c>
      <c r="I90" s="522">
        <f t="shared" si="7"/>
        <v>73.763055174596474</v>
      </c>
      <c r="J90" s="522">
        <f t="shared" si="9"/>
        <v>248700</v>
      </c>
      <c r="K90" s="525" t="s">
        <v>399</v>
      </c>
      <c r="L90" s="520"/>
    </row>
    <row r="91" spans="1:12" s="538" customFormat="1" ht="27.95" customHeight="1">
      <c r="B91" s="529">
        <v>12</v>
      </c>
      <c r="C91" s="547" t="s">
        <v>406</v>
      </c>
      <c r="D91" s="548">
        <f>+[6]คีย์ข้อมูล!C117</f>
        <v>0</v>
      </c>
      <c r="E91" s="548">
        <f>+[6]คีย์ข้อมูล!D117</f>
        <v>380244.03</v>
      </c>
      <c r="F91" s="548">
        <f>+[6]คีย์ข้อมูล!E117</f>
        <v>208000</v>
      </c>
      <c r="G91" s="531">
        <f t="shared" si="8"/>
        <v>588244.03</v>
      </c>
      <c r="H91" s="531">
        <f>+[6]คีย์ข้อมูล!G117</f>
        <v>479000</v>
      </c>
      <c r="I91" s="530">
        <f t="shared" si="7"/>
        <v>81.4287907010293</v>
      </c>
      <c r="J91" s="530">
        <f t="shared" si="9"/>
        <v>109244.03000000003</v>
      </c>
      <c r="K91" s="532" t="s">
        <v>407</v>
      </c>
      <c r="L91" s="529"/>
    </row>
    <row r="92" spans="1:12" s="514" customFormat="1" ht="27.95" customHeight="1">
      <c r="A92" s="538"/>
      <c r="B92" s="515">
        <v>13</v>
      </c>
      <c r="C92" s="543" t="s">
        <v>713</v>
      </c>
      <c r="D92" s="544">
        <f>+[6]คีย์ข้อมูล!C291</f>
        <v>0</v>
      </c>
      <c r="E92" s="544">
        <f>+[6]คีย์ข้อมูล!D291</f>
        <v>1584700</v>
      </c>
      <c r="F92" s="544">
        <f>+[6]คีย์ข้อมูล!E291</f>
        <v>1256100</v>
      </c>
      <c r="G92" s="518">
        <f t="shared" si="8"/>
        <v>2840800</v>
      </c>
      <c r="H92" s="516">
        <f>+[6]คีย์ข้อมูล!G291</f>
        <v>2341800</v>
      </c>
      <c r="I92" s="516">
        <f t="shared" si="7"/>
        <v>82.43452548577865</v>
      </c>
      <c r="J92" s="516">
        <f t="shared" si="9"/>
        <v>499000</v>
      </c>
      <c r="K92" s="519" t="s">
        <v>374</v>
      </c>
      <c r="L92" s="515"/>
    </row>
    <row r="93" spans="1:12" s="514" customFormat="1" ht="27.95" customHeight="1">
      <c r="A93" s="538"/>
      <c r="B93" s="520">
        <v>14</v>
      </c>
      <c r="C93" s="545" t="s">
        <v>375</v>
      </c>
      <c r="D93" s="546">
        <f>+[6]คีย์ข้อมูล!C251</f>
        <v>131000</v>
      </c>
      <c r="E93" s="546">
        <f>+[6]คีย์ข้อมูล!D251</f>
        <v>663061.18000000005</v>
      </c>
      <c r="F93" s="546">
        <f>+[6]คีย์ข้อมูล!E251</f>
        <v>507948</v>
      </c>
      <c r="G93" s="524">
        <f t="shared" si="8"/>
        <v>1302009.1800000002</v>
      </c>
      <c r="H93" s="522">
        <f>+[6]คีย์ข้อมูล!G251</f>
        <v>1121779.18</v>
      </c>
      <c r="I93" s="522">
        <f t="shared" si="7"/>
        <v>86.1575476756623</v>
      </c>
      <c r="J93" s="522">
        <f t="shared" si="9"/>
        <v>180230.00000000023</v>
      </c>
      <c r="K93" s="525" t="s">
        <v>374</v>
      </c>
      <c r="L93" s="549"/>
    </row>
    <row r="94" spans="1:12" s="514" customFormat="1" ht="27.95" customHeight="1">
      <c r="A94" s="538"/>
      <c r="B94" s="520">
        <v>15</v>
      </c>
      <c r="C94" s="545" t="s">
        <v>714</v>
      </c>
      <c r="D94" s="546">
        <f>+[6]คีย์ข้อมูล!C235</f>
        <v>82455</v>
      </c>
      <c r="E94" s="546">
        <f>+[6]คีย์ข้อมูล!D235</f>
        <v>0</v>
      </c>
      <c r="F94" s="546">
        <f>+[6]คีย์ข้อมูล!E235</f>
        <v>677145</v>
      </c>
      <c r="G94" s="524">
        <f t="shared" si="8"/>
        <v>759600</v>
      </c>
      <c r="H94" s="522">
        <f>+[6]คีย์ข้อมูล!G235</f>
        <v>677145</v>
      </c>
      <c r="I94" s="522">
        <f t="shared" si="7"/>
        <v>89.144944707740919</v>
      </c>
      <c r="J94" s="522">
        <f t="shared" si="9"/>
        <v>82455</v>
      </c>
      <c r="K94" s="525" t="s">
        <v>360</v>
      </c>
      <c r="L94" s="520"/>
    </row>
    <row r="95" spans="1:12" s="514" customFormat="1" ht="27.95" customHeight="1">
      <c r="A95" s="538"/>
      <c r="B95" s="520">
        <v>16</v>
      </c>
      <c r="C95" s="545" t="s">
        <v>380</v>
      </c>
      <c r="D95" s="546">
        <f>+[6]คีย์ข้อมูล!C224</f>
        <v>31841.360000000001</v>
      </c>
      <c r="E95" s="546">
        <f>+[6]คีย์ข้อมูล!D224</f>
        <v>250000</v>
      </c>
      <c r="F95" s="546">
        <f>+[6]คีย์ข้อมูล!E224</f>
        <v>2136558.64</v>
      </c>
      <c r="G95" s="524">
        <f t="shared" si="8"/>
        <v>2418400</v>
      </c>
      <c r="H95" s="522">
        <f>+[6]คีย์ข้อมูล!G224</f>
        <v>2157098.69</v>
      </c>
      <c r="I95" s="522">
        <f t="shared" si="7"/>
        <v>89.195281591134631</v>
      </c>
      <c r="J95" s="522">
        <f t="shared" si="9"/>
        <v>261301.31000000006</v>
      </c>
      <c r="K95" s="525" t="s">
        <v>381</v>
      </c>
      <c r="L95" s="520"/>
    </row>
    <row r="96" spans="1:12" s="538" customFormat="1" ht="27.95" customHeight="1">
      <c r="B96" s="520">
        <v>17</v>
      </c>
      <c r="C96" s="545" t="s">
        <v>513</v>
      </c>
      <c r="D96" s="546">
        <f>+[6]คีย์ข้อมูล!C357</f>
        <v>14162</v>
      </c>
      <c r="E96" s="546">
        <f>+[6]คีย์ข้อมูล!D357</f>
        <v>152000</v>
      </c>
      <c r="F96" s="546">
        <f>+[6]คีย์ข้อมูล!E357</f>
        <v>31038</v>
      </c>
      <c r="G96" s="524">
        <f t="shared" si="8"/>
        <v>197200</v>
      </c>
      <c r="H96" s="522">
        <f>+[6]คีย์ข้อมูล!G357</f>
        <v>183038</v>
      </c>
      <c r="I96" s="522">
        <f t="shared" si="7"/>
        <v>92.818458417849897</v>
      </c>
      <c r="J96" s="522">
        <f t="shared" si="9"/>
        <v>14162</v>
      </c>
      <c r="K96" s="525" t="s">
        <v>409</v>
      </c>
      <c r="L96" s="520"/>
    </row>
    <row r="97" spans="1:12" s="538" customFormat="1" ht="27.95" customHeight="1">
      <c r="B97" s="520">
        <v>18</v>
      </c>
      <c r="C97" s="545" t="s">
        <v>402</v>
      </c>
      <c r="D97" s="546">
        <f>+[6]คีย์ข้อมูล!C485</f>
        <v>0</v>
      </c>
      <c r="E97" s="546">
        <f>+[6]คีย์ข้อมูล!D485</f>
        <v>1080575.08</v>
      </c>
      <c r="F97" s="546">
        <f>+[6]คีย์ข้อมูล!E485</f>
        <v>2880700</v>
      </c>
      <c r="G97" s="524">
        <f t="shared" si="8"/>
        <v>3961275.08</v>
      </c>
      <c r="H97" s="522">
        <f>+[6]คีย์ข้อมูล!G485</f>
        <v>3753275.08</v>
      </c>
      <c r="I97" s="522">
        <f t="shared" si="7"/>
        <v>94.749165463156871</v>
      </c>
      <c r="J97" s="522">
        <f t="shared" si="9"/>
        <v>208000</v>
      </c>
      <c r="K97" s="525" t="s">
        <v>403</v>
      </c>
      <c r="L97" s="520"/>
    </row>
    <row r="98" spans="1:12" s="538" customFormat="1" ht="27.95" customHeight="1">
      <c r="B98" s="520">
        <v>19</v>
      </c>
      <c r="C98" s="545" t="s">
        <v>715</v>
      </c>
      <c r="D98" s="546">
        <f>+[6]คีย์ข้อมูล!C176</f>
        <v>83300</v>
      </c>
      <c r="E98" s="546">
        <f>+[6]คีย์ข้อมูล!D176</f>
        <v>1172605.98</v>
      </c>
      <c r="F98" s="546">
        <f>+[6]คีย์ข้อมูล!E176</f>
        <v>451670</v>
      </c>
      <c r="G98" s="524">
        <f t="shared" si="8"/>
        <v>1707575.98</v>
      </c>
      <c r="H98" s="522">
        <f>+[6]คีย์ข้อมูล!G176</f>
        <v>1624275.98</v>
      </c>
      <c r="I98" s="522">
        <f t="shared" si="7"/>
        <v>95.121739765863893</v>
      </c>
      <c r="J98" s="522">
        <f t="shared" si="9"/>
        <v>83300</v>
      </c>
      <c r="K98" s="525" t="s">
        <v>401</v>
      </c>
      <c r="L98" s="520"/>
    </row>
    <row r="99" spans="1:12" s="538" customFormat="1" ht="27.95" customHeight="1">
      <c r="A99" s="514"/>
      <c r="B99" s="520">
        <v>20</v>
      </c>
      <c r="C99" s="545" t="s">
        <v>514</v>
      </c>
      <c r="D99" s="546">
        <f>+[6]คีย์ข้อมูล!C241</f>
        <v>13883</v>
      </c>
      <c r="E99" s="546">
        <f>+[6]คีย์ข้อมูล!D241</f>
        <v>0</v>
      </c>
      <c r="F99" s="546">
        <f>+[6]คีย์ข้อมูล!E241</f>
        <v>331137</v>
      </c>
      <c r="G99" s="524">
        <f t="shared" si="8"/>
        <v>345020</v>
      </c>
      <c r="H99" s="522">
        <f>+[6]คีย์ข้อมูล!G241</f>
        <v>331137</v>
      </c>
      <c r="I99" s="522">
        <f t="shared" si="7"/>
        <v>95.97617529418585</v>
      </c>
      <c r="J99" s="522">
        <f t="shared" si="9"/>
        <v>13883</v>
      </c>
      <c r="K99" s="525" t="s">
        <v>368</v>
      </c>
      <c r="L99" s="520"/>
    </row>
    <row r="100" spans="1:12" s="538" customFormat="1" ht="27.95" customHeight="1">
      <c r="B100" s="520">
        <v>21</v>
      </c>
      <c r="C100" s="545" t="s">
        <v>716</v>
      </c>
      <c r="D100" s="546">
        <f>+[6]คีย์ข้อมูล!C419</f>
        <v>26206</v>
      </c>
      <c r="E100" s="546">
        <f>+[6]คีย์ข้อมูล!D419</f>
        <v>785000</v>
      </c>
      <c r="F100" s="546">
        <f>+[6]คีย์ข้อมูล!E419</f>
        <v>18994</v>
      </c>
      <c r="G100" s="524">
        <f t="shared" si="8"/>
        <v>830200</v>
      </c>
      <c r="H100" s="522">
        <f>+[6]คีย์ข้อมูล!G419</f>
        <v>803994</v>
      </c>
      <c r="I100" s="522">
        <f t="shared" si="7"/>
        <v>96.843411226210549</v>
      </c>
      <c r="J100" s="522">
        <f t="shared" si="9"/>
        <v>26206</v>
      </c>
      <c r="K100" s="525" t="s">
        <v>359</v>
      </c>
      <c r="L100" s="520"/>
    </row>
    <row r="101" spans="1:12" s="514" customFormat="1" ht="27.95" customHeight="1">
      <c r="B101" s="520">
        <v>22</v>
      </c>
      <c r="C101" s="545" t="s">
        <v>515</v>
      </c>
      <c r="D101" s="546">
        <f>+[6]คีย์ข้อมูล!C126</f>
        <v>12958</v>
      </c>
      <c r="E101" s="546">
        <f>+[6]คีย์ข้อมูล!D126</f>
        <v>500000</v>
      </c>
      <c r="F101" s="546">
        <f>+[6]คีย์ข้อมูล!E126</f>
        <v>77442</v>
      </c>
      <c r="G101" s="524">
        <f t="shared" si="8"/>
        <v>590400</v>
      </c>
      <c r="H101" s="522">
        <f>+[6]คีย์ข้อมูล!G126</f>
        <v>577442</v>
      </c>
      <c r="I101" s="522">
        <f t="shared" si="7"/>
        <v>97.805216802168019</v>
      </c>
      <c r="J101" s="522">
        <f t="shared" si="9"/>
        <v>12958</v>
      </c>
      <c r="K101" s="525" t="s">
        <v>374</v>
      </c>
      <c r="L101" s="520"/>
    </row>
    <row r="102" spans="1:12" s="538" customFormat="1" ht="27.95" customHeight="1">
      <c r="B102" s="520">
        <v>23</v>
      </c>
      <c r="C102" s="545" t="s">
        <v>717</v>
      </c>
      <c r="D102" s="546">
        <f>+[6]คีย์ข้อมูล!C413</f>
        <v>0</v>
      </c>
      <c r="E102" s="546">
        <f>+[6]คีย์ข้อมูล!D413</f>
        <v>0</v>
      </c>
      <c r="F102" s="546">
        <f>+[6]คีย์ข้อมูล!E413</f>
        <v>416760</v>
      </c>
      <c r="G102" s="524">
        <f t="shared" si="8"/>
        <v>416760</v>
      </c>
      <c r="H102" s="522">
        <f>+[6]คีย์ข้อมูล!G413</f>
        <v>410960</v>
      </c>
      <c r="I102" s="522">
        <f t="shared" si="7"/>
        <v>98.608311738170656</v>
      </c>
      <c r="J102" s="522">
        <f t="shared" si="9"/>
        <v>5800</v>
      </c>
      <c r="K102" s="525" t="s">
        <v>374</v>
      </c>
      <c r="L102" s="520"/>
    </row>
    <row r="103" spans="1:12" s="538" customFormat="1" ht="27.95" customHeight="1">
      <c r="B103" s="520">
        <v>24</v>
      </c>
      <c r="C103" s="545" t="s">
        <v>718</v>
      </c>
      <c r="D103" s="546">
        <f>+[6]คีย์ข้อมูล!C272</f>
        <v>3200</v>
      </c>
      <c r="E103" s="546">
        <f>+[6]คีย์ข้อมูล!D272</f>
        <v>0</v>
      </c>
      <c r="F103" s="546">
        <f>+[6]คีย์ข้อมูล!E272</f>
        <v>450800</v>
      </c>
      <c r="G103" s="524">
        <f t="shared" si="8"/>
        <v>454000</v>
      </c>
      <c r="H103" s="522">
        <f>+[6]คีย์ข้อมูล!G272</f>
        <v>450800</v>
      </c>
      <c r="I103" s="522">
        <f t="shared" si="7"/>
        <v>99.295154185022028</v>
      </c>
      <c r="J103" s="522">
        <f t="shared" si="9"/>
        <v>3200</v>
      </c>
      <c r="K103" s="525" t="s">
        <v>367</v>
      </c>
      <c r="L103" s="520"/>
    </row>
    <row r="104" spans="1:12" s="538" customFormat="1" ht="27.95" customHeight="1">
      <c r="A104" s="514"/>
      <c r="B104" s="520">
        <v>25</v>
      </c>
      <c r="C104" s="545" t="s">
        <v>719</v>
      </c>
      <c r="D104" s="546">
        <f>+[6]คีย์ข้อมูล!C168</f>
        <v>4587.59</v>
      </c>
      <c r="E104" s="546">
        <f>+[6]คีย์ข้อมูล!D168</f>
        <v>375000</v>
      </c>
      <c r="F104" s="546">
        <f>+[6]คีย์ข้อมูล!E168</f>
        <v>330212.41000000003</v>
      </c>
      <c r="G104" s="524">
        <f t="shared" si="8"/>
        <v>709800</v>
      </c>
      <c r="H104" s="522">
        <f>+[6]คีย์ข้อมูล!G168</f>
        <v>705212.41</v>
      </c>
      <c r="I104" s="522">
        <f t="shared" si="7"/>
        <v>99.353678500986192</v>
      </c>
      <c r="J104" s="522">
        <f t="shared" si="9"/>
        <v>4587.5899999999674</v>
      </c>
      <c r="K104" s="525" t="s">
        <v>408</v>
      </c>
      <c r="L104" s="520"/>
    </row>
    <row r="105" spans="1:12" s="538" customFormat="1" ht="27.95" customHeight="1">
      <c r="B105" s="520">
        <v>26</v>
      </c>
      <c r="C105" s="545" t="s">
        <v>720</v>
      </c>
      <c r="D105" s="546">
        <f>+[6]คีย์ข้อมูล!C317</f>
        <v>0</v>
      </c>
      <c r="E105" s="546">
        <f>+[6]คีย์ข้อมูล!D317</f>
        <v>811800</v>
      </c>
      <c r="F105" s="546">
        <f>+[6]คีย์ข้อมูล!E317</f>
        <v>780000</v>
      </c>
      <c r="G105" s="524">
        <f t="shared" si="8"/>
        <v>1591800</v>
      </c>
      <c r="H105" s="522">
        <f>+[6]คีย์ข้อมูล!G317</f>
        <v>1591800</v>
      </c>
      <c r="I105" s="522">
        <f t="shared" si="7"/>
        <v>100</v>
      </c>
      <c r="J105" s="522">
        <f t="shared" si="9"/>
        <v>0</v>
      </c>
      <c r="K105" s="525" t="s">
        <v>395</v>
      </c>
      <c r="L105" s="520"/>
    </row>
    <row r="106" spans="1:12" s="514" customFormat="1" ht="27.95" customHeight="1">
      <c r="B106" s="520">
        <v>27</v>
      </c>
      <c r="C106" s="545" t="s">
        <v>410</v>
      </c>
      <c r="D106" s="546">
        <f>+[6]คีย์ข้อมูล!C191</f>
        <v>0</v>
      </c>
      <c r="E106" s="546">
        <f>+[6]คีย์ข้อมูล!D191</f>
        <v>1334281.1100000001</v>
      </c>
      <c r="F106" s="546">
        <f>+[6]คีย์ข้อมูล!E191</f>
        <v>253200</v>
      </c>
      <c r="G106" s="524">
        <f t="shared" si="8"/>
        <v>1587481.11</v>
      </c>
      <c r="H106" s="522">
        <f>+[6]คีย์ข้อมูล!G191</f>
        <v>1587481.11</v>
      </c>
      <c r="I106" s="522">
        <f t="shared" si="7"/>
        <v>100</v>
      </c>
      <c r="J106" s="522">
        <f t="shared" si="9"/>
        <v>0</v>
      </c>
      <c r="K106" s="525" t="s">
        <v>411</v>
      </c>
      <c r="L106" s="520"/>
    </row>
    <row r="107" spans="1:12" s="538" customFormat="1" ht="27.95" customHeight="1">
      <c r="B107" s="520">
        <v>28</v>
      </c>
      <c r="C107" s="545" t="s">
        <v>361</v>
      </c>
      <c r="D107" s="546">
        <f>+[6]คีย์ข้อมูล!C164</f>
        <v>0</v>
      </c>
      <c r="E107" s="546">
        <f>+[6]คีย์ข้อมูล!D164</f>
        <v>694000</v>
      </c>
      <c r="F107" s="546">
        <f>+[6]คีย์ข้อมูล!E164</f>
        <v>0</v>
      </c>
      <c r="G107" s="524">
        <f t="shared" si="8"/>
        <v>694000</v>
      </c>
      <c r="H107" s="522">
        <f>+[6]คีย์ข้อมูล!G164</f>
        <v>694000</v>
      </c>
      <c r="I107" s="522">
        <f t="shared" si="7"/>
        <v>100</v>
      </c>
      <c r="J107" s="522">
        <f t="shared" si="9"/>
        <v>0</v>
      </c>
      <c r="K107" s="525" t="s">
        <v>362</v>
      </c>
      <c r="L107" s="520"/>
    </row>
    <row r="108" spans="1:12" s="538" customFormat="1" ht="27.95" customHeight="1">
      <c r="B108" s="520">
        <v>29</v>
      </c>
      <c r="C108" s="545" t="s">
        <v>365</v>
      </c>
      <c r="D108" s="546">
        <f>+[6]คีย์ข้อมูล!C310</f>
        <v>0</v>
      </c>
      <c r="E108" s="546">
        <f>+[6]คีย์ข้อมูล!D310</f>
        <v>465000</v>
      </c>
      <c r="F108" s="546">
        <f>+[6]คีย์ข้อมูล!E310</f>
        <v>0</v>
      </c>
      <c r="G108" s="524">
        <f t="shared" si="8"/>
        <v>465000</v>
      </c>
      <c r="H108" s="522">
        <f>+[6]คีย์ข้อมูล!G310</f>
        <v>465000</v>
      </c>
      <c r="I108" s="522">
        <f t="shared" si="7"/>
        <v>100</v>
      </c>
      <c r="J108" s="522">
        <f t="shared" si="9"/>
        <v>0</v>
      </c>
      <c r="K108" s="525" t="s">
        <v>366</v>
      </c>
      <c r="L108" s="520"/>
    </row>
    <row r="109" spans="1:12" s="538" customFormat="1" ht="27.95" customHeight="1">
      <c r="B109" s="520">
        <v>30</v>
      </c>
      <c r="C109" s="545" t="s">
        <v>376</v>
      </c>
      <c r="D109" s="546">
        <f>+[6]คีย์ข้อมูล!C475</f>
        <v>0</v>
      </c>
      <c r="E109" s="546">
        <f>+[6]คีย์ข้อมูล!D475</f>
        <v>862600</v>
      </c>
      <c r="F109" s="546">
        <f>+[6]คีย์ข้อมูล!E475</f>
        <v>102300</v>
      </c>
      <c r="G109" s="524">
        <f t="shared" si="8"/>
        <v>964900</v>
      </c>
      <c r="H109" s="522">
        <f>+[6]คีย์ข้อมูล!G475</f>
        <v>964900</v>
      </c>
      <c r="I109" s="522">
        <f t="shared" si="7"/>
        <v>100</v>
      </c>
      <c r="J109" s="522">
        <f t="shared" si="9"/>
        <v>0</v>
      </c>
      <c r="K109" s="525" t="s">
        <v>377</v>
      </c>
      <c r="L109" s="520"/>
    </row>
    <row r="110" spans="1:12" s="514" customFormat="1" ht="27.95" customHeight="1">
      <c r="A110" s="538"/>
      <c r="B110" s="520">
        <v>31</v>
      </c>
      <c r="C110" s="545" t="s">
        <v>382</v>
      </c>
      <c r="D110" s="546">
        <f>+[6]คีย์ข้อมูล!C402</f>
        <v>0</v>
      </c>
      <c r="E110" s="546">
        <f>+[6]คีย์ข้อมูล!D402</f>
        <v>562000</v>
      </c>
      <c r="F110" s="546">
        <f>+[6]คีย์ข้อมูล!E402</f>
        <v>2186289</v>
      </c>
      <c r="G110" s="524">
        <f t="shared" si="8"/>
        <v>2748289</v>
      </c>
      <c r="H110" s="522">
        <f>+[6]คีย์ข้อมูล!G402</f>
        <v>2748289</v>
      </c>
      <c r="I110" s="522">
        <f t="shared" si="7"/>
        <v>100</v>
      </c>
      <c r="J110" s="522">
        <f t="shared" si="9"/>
        <v>0</v>
      </c>
      <c r="K110" s="525" t="s">
        <v>383</v>
      </c>
      <c r="L110" s="520"/>
    </row>
    <row r="111" spans="1:12" s="538" customFormat="1" ht="27.95" customHeight="1">
      <c r="B111" s="520">
        <v>32</v>
      </c>
      <c r="C111" s="545" t="s">
        <v>392</v>
      </c>
      <c r="D111" s="546">
        <f>+[6]คีย์ข้อมูล!C451</f>
        <v>0</v>
      </c>
      <c r="E111" s="546">
        <f>+[6]คีย์ข้อมูล!D451</f>
        <v>28000</v>
      </c>
      <c r="F111" s="546">
        <f>+[6]คีย์ข้อมูล!E451</f>
        <v>747000</v>
      </c>
      <c r="G111" s="524">
        <f t="shared" si="8"/>
        <v>775000</v>
      </c>
      <c r="H111" s="522">
        <f>+[6]คีย์ข้อมูล!G451</f>
        <v>775000</v>
      </c>
      <c r="I111" s="522">
        <f t="shared" si="7"/>
        <v>100</v>
      </c>
      <c r="J111" s="522">
        <f t="shared" si="9"/>
        <v>0</v>
      </c>
      <c r="K111" s="525" t="s">
        <v>296</v>
      </c>
      <c r="L111" s="520"/>
    </row>
    <row r="112" spans="1:12" s="538" customFormat="1" ht="27.95" customHeight="1">
      <c r="B112" s="520">
        <v>33</v>
      </c>
      <c r="C112" s="545" t="s">
        <v>404</v>
      </c>
      <c r="D112" s="546">
        <f>+[6]คีย์ข้อมูล!C341</f>
        <v>0</v>
      </c>
      <c r="E112" s="546">
        <f>+[6]คีย์ข้อมูล!D341</f>
        <v>380460.4</v>
      </c>
      <c r="F112" s="546">
        <f>+[6]คีย์ข้อมูล!E341</f>
        <v>104000</v>
      </c>
      <c r="G112" s="524">
        <f t="shared" ref="G112:G138" si="10">SUM(D112:F112)</f>
        <v>484460.4</v>
      </c>
      <c r="H112" s="522">
        <f>+[6]คีย์ข้อมูล!G341</f>
        <v>484460.4</v>
      </c>
      <c r="I112" s="522">
        <f t="shared" si="7"/>
        <v>100</v>
      </c>
      <c r="J112" s="522">
        <f t="shared" si="9"/>
        <v>0</v>
      </c>
      <c r="K112" s="525" t="s">
        <v>405</v>
      </c>
      <c r="L112" s="520"/>
    </row>
    <row r="113" spans="1:12" s="538" customFormat="1" ht="27.95" customHeight="1">
      <c r="A113" s="514"/>
      <c r="B113" s="520">
        <v>34</v>
      </c>
      <c r="C113" s="545" t="s">
        <v>369</v>
      </c>
      <c r="D113" s="546">
        <f>+[6]คีย์ข้อมูล!C123</f>
        <v>0</v>
      </c>
      <c r="E113" s="546">
        <f>+[6]คีย์ข้อมูล!D123</f>
        <v>0</v>
      </c>
      <c r="F113" s="546">
        <f>+[6]คีย์ข้อมูล!E123</f>
        <v>104000</v>
      </c>
      <c r="G113" s="524">
        <f t="shared" si="10"/>
        <v>104000</v>
      </c>
      <c r="H113" s="522">
        <f>+[6]คีย์ข้อมูล!G123</f>
        <v>104000</v>
      </c>
      <c r="I113" s="522">
        <f t="shared" si="7"/>
        <v>100</v>
      </c>
      <c r="J113" s="522">
        <f t="shared" si="9"/>
        <v>0</v>
      </c>
      <c r="K113" s="525" t="s">
        <v>370</v>
      </c>
      <c r="L113" s="520"/>
    </row>
    <row r="114" spans="1:12" s="538" customFormat="1" ht="27.75" customHeight="1">
      <c r="A114" s="514"/>
      <c r="B114" s="520">
        <v>35</v>
      </c>
      <c r="C114" s="545" t="s">
        <v>412</v>
      </c>
      <c r="D114" s="546">
        <f>+[6]คีย์ข้อมูล!C285</f>
        <v>0</v>
      </c>
      <c r="E114" s="546">
        <f>+[6]คีย์ข้อมูล!D285</f>
        <v>398300</v>
      </c>
      <c r="F114" s="546">
        <f>+[6]คีย์ข้อมูล!E285</f>
        <v>418000</v>
      </c>
      <c r="G114" s="524">
        <f t="shared" si="10"/>
        <v>816300</v>
      </c>
      <c r="H114" s="522">
        <f>+[6]คีย์ข้อมูล!G285</f>
        <v>816300</v>
      </c>
      <c r="I114" s="522">
        <f t="shared" si="7"/>
        <v>100</v>
      </c>
      <c r="J114" s="522">
        <f t="shared" si="9"/>
        <v>0</v>
      </c>
      <c r="K114" s="525" t="s">
        <v>413</v>
      </c>
      <c r="L114" s="520"/>
    </row>
    <row r="115" spans="1:12" s="538" customFormat="1" ht="27.75" customHeight="1">
      <c r="B115" s="520">
        <v>36</v>
      </c>
      <c r="C115" s="545" t="s">
        <v>414</v>
      </c>
      <c r="D115" s="546">
        <f>+[6]คีย์ข้อมูล!C102</f>
        <v>0</v>
      </c>
      <c r="E115" s="546">
        <f>+[6]คีย์ข้อมูล!D102</f>
        <v>516500</v>
      </c>
      <c r="F115" s="546">
        <f>+[6]คีย์ข้อมูล!E102</f>
        <v>940000</v>
      </c>
      <c r="G115" s="524">
        <f t="shared" si="10"/>
        <v>1456500</v>
      </c>
      <c r="H115" s="522">
        <f>+[6]คีย์ข้อมูล!G102</f>
        <v>1456500</v>
      </c>
      <c r="I115" s="522">
        <f t="shared" si="7"/>
        <v>100</v>
      </c>
      <c r="J115" s="522">
        <f t="shared" si="9"/>
        <v>0</v>
      </c>
      <c r="K115" s="525" t="s">
        <v>415</v>
      </c>
      <c r="L115" s="520"/>
    </row>
    <row r="116" spans="1:12" s="538" customFormat="1" ht="27.75" customHeight="1">
      <c r="B116" s="520">
        <v>37</v>
      </c>
      <c r="C116" s="545" t="s">
        <v>416</v>
      </c>
      <c r="D116" s="546">
        <f>+[6]คีย์ข้อมูล!C95</f>
        <v>0</v>
      </c>
      <c r="E116" s="546">
        <f>+[6]คีย์ข้อมูล!D95</f>
        <v>874000</v>
      </c>
      <c r="F116" s="546">
        <f>+[6]คีย์ข้อมูล!E95</f>
        <v>0</v>
      </c>
      <c r="G116" s="524">
        <f t="shared" si="10"/>
        <v>874000</v>
      </c>
      <c r="H116" s="522">
        <f>+[6]คีย์ข้อมูล!G95</f>
        <v>874000</v>
      </c>
      <c r="I116" s="522">
        <f t="shared" si="7"/>
        <v>100</v>
      </c>
      <c r="J116" s="522">
        <f t="shared" si="9"/>
        <v>0</v>
      </c>
      <c r="K116" s="525" t="s">
        <v>417</v>
      </c>
      <c r="L116" s="520"/>
    </row>
    <row r="117" spans="1:12" s="538" customFormat="1" ht="27.75" customHeight="1">
      <c r="B117" s="520">
        <v>38</v>
      </c>
      <c r="C117" s="545" t="str">
        <f>+[6]คีย์ข้อมูล!B81</f>
        <v>จังหวัดนนทบุรี 4 รายการ</v>
      </c>
      <c r="D117" s="550">
        <f>+[6]คีย์ข้อมูล!C81</f>
        <v>0</v>
      </c>
      <c r="E117" s="550">
        <f>+[6]คีย์ข้อมูล!D81</f>
        <v>933600</v>
      </c>
      <c r="F117" s="550">
        <f>+[6]คีย์ข้อมูล!E81</f>
        <v>0</v>
      </c>
      <c r="G117" s="524">
        <f t="shared" si="10"/>
        <v>933600</v>
      </c>
      <c r="H117" s="550">
        <f>+[6]คีย์ข้อมูล!G81</f>
        <v>933600</v>
      </c>
      <c r="I117" s="522">
        <f t="shared" si="7"/>
        <v>100</v>
      </c>
      <c r="J117" s="522">
        <f t="shared" si="9"/>
        <v>0</v>
      </c>
      <c r="K117" s="525" t="s">
        <v>418</v>
      </c>
      <c r="L117" s="520"/>
    </row>
    <row r="118" spans="1:12" s="538" customFormat="1" ht="27.75" customHeight="1">
      <c r="B118" s="529">
        <v>39</v>
      </c>
      <c r="C118" s="547" t="s">
        <v>419</v>
      </c>
      <c r="D118" s="548">
        <f>+[6]คีย์ข้อมูล!C87</f>
        <v>0</v>
      </c>
      <c r="E118" s="548">
        <f>+[6]คีย์ข้อมูล!D87</f>
        <v>775000</v>
      </c>
      <c r="F118" s="548">
        <f>+[6]คีย์ข้อมูล!E87</f>
        <v>0</v>
      </c>
      <c r="G118" s="531">
        <f t="shared" si="10"/>
        <v>775000</v>
      </c>
      <c r="H118" s="530">
        <f>+[6]คีย์ข้อมูล!G87</f>
        <v>775000</v>
      </c>
      <c r="I118" s="530">
        <f t="shared" si="7"/>
        <v>100</v>
      </c>
      <c r="J118" s="530">
        <f t="shared" si="9"/>
        <v>0</v>
      </c>
      <c r="K118" s="532" t="s">
        <v>420</v>
      </c>
      <c r="L118" s="529"/>
    </row>
    <row r="119" spans="1:12" s="514" customFormat="1" ht="27.95" customHeight="1">
      <c r="A119" s="538"/>
      <c r="B119" s="515">
        <v>40</v>
      </c>
      <c r="C119" s="543" t="s">
        <v>378</v>
      </c>
      <c r="D119" s="544">
        <f>+[6]คีย์ข้อมูล!C323</f>
        <v>0</v>
      </c>
      <c r="E119" s="544">
        <f>+[6]คีย์ข้อมูล!D323</f>
        <v>934370.47</v>
      </c>
      <c r="F119" s="544">
        <f>+[6]คีย์ข้อมูล!E323</f>
        <v>227800</v>
      </c>
      <c r="G119" s="518">
        <f t="shared" si="10"/>
        <v>1162170.47</v>
      </c>
      <c r="H119" s="516">
        <f>+[6]คีย์ข้อมูล!G323</f>
        <v>1162170.47</v>
      </c>
      <c r="I119" s="516">
        <f t="shared" si="7"/>
        <v>100</v>
      </c>
      <c r="J119" s="516">
        <f t="shared" si="9"/>
        <v>0</v>
      </c>
      <c r="K119" s="519" t="s">
        <v>379</v>
      </c>
      <c r="L119" s="515"/>
    </row>
    <row r="120" spans="1:12" s="538" customFormat="1" ht="27.75" customHeight="1">
      <c r="B120" s="520">
        <v>41</v>
      </c>
      <c r="C120" s="545" t="s">
        <v>421</v>
      </c>
      <c r="D120" s="546">
        <f>+[6]คีย์ข้อมูล!C361</f>
        <v>0</v>
      </c>
      <c r="E120" s="546">
        <f>+[6]คีย์ข้อมูล!D361</f>
        <v>74900</v>
      </c>
      <c r="F120" s="546">
        <f>+[6]คีย์ข้อมูล!E361</f>
        <v>387800</v>
      </c>
      <c r="G120" s="524">
        <f t="shared" si="10"/>
        <v>462700</v>
      </c>
      <c r="H120" s="522">
        <f>+[6]คีย์ข้อมูล!G361</f>
        <v>462700</v>
      </c>
      <c r="I120" s="522">
        <f t="shared" si="7"/>
        <v>100</v>
      </c>
      <c r="J120" s="522">
        <f t="shared" si="9"/>
        <v>0</v>
      </c>
      <c r="K120" s="525" t="s">
        <v>422</v>
      </c>
      <c r="L120" s="520"/>
    </row>
    <row r="121" spans="1:12" s="538" customFormat="1" ht="27.75" customHeight="1">
      <c r="A121" s="514"/>
      <c r="B121" s="520">
        <v>42</v>
      </c>
      <c r="C121" s="545" t="s">
        <v>423</v>
      </c>
      <c r="D121" s="546">
        <f>+[6]คีย์ข้อมูล!C99</f>
        <v>0</v>
      </c>
      <c r="E121" s="546">
        <f>+[6]คีย์ข้อมูล!D99</f>
        <v>0</v>
      </c>
      <c r="F121" s="546">
        <f>+[6]คีย์ข้อมูล!E99</f>
        <v>252000</v>
      </c>
      <c r="G121" s="524">
        <f t="shared" si="10"/>
        <v>252000</v>
      </c>
      <c r="H121" s="522">
        <f>+[6]คีย์ข้อมูล!G99</f>
        <v>252000</v>
      </c>
      <c r="I121" s="522">
        <f t="shared" si="7"/>
        <v>100</v>
      </c>
      <c r="J121" s="522">
        <f t="shared" si="9"/>
        <v>0</v>
      </c>
      <c r="K121" s="525" t="s">
        <v>424</v>
      </c>
      <c r="L121" s="520"/>
    </row>
    <row r="122" spans="1:12" s="538" customFormat="1" ht="27.75" customHeight="1">
      <c r="B122" s="520">
        <v>43</v>
      </c>
      <c r="C122" s="545" t="s">
        <v>425</v>
      </c>
      <c r="D122" s="546">
        <f>+[6]คีย์ข้อมูล!C408</f>
        <v>0</v>
      </c>
      <c r="E122" s="546">
        <f>+[6]คีย์ข้อมูล!D408</f>
        <v>0</v>
      </c>
      <c r="F122" s="546">
        <f>+[6]คีย์ข้อมูล!E408</f>
        <v>656600</v>
      </c>
      <c r="G122" s="524">
        <f t="shared" si="10"/>
        <v>656600</v>
      </c>
      <c r="H122" s="522">
        <f>+[6]คีย์ข้อมูล!G408</f>
        <v>656600</v>
      </c>
      <c r="I122" s="522">
        <f t="shared" si="7"/>
        <v>100</v>
      </c>
      <c r="J122" s="522">
        <f t="shared" si="9"/>
        <v>0</v>
      </c>
      <c r="K122" s="525" t="s">
        <v>426</v>
      </c>
      <c r="L122" s="520"/>
    </row>
    <row r="123" spans="1:12" s="538" customFormat="1" ht="27.75" customHeight="1">
      <c r="B123" s="520">
        <v>44</v>
      </c>
      <c r="C123" s="545" t="s">
        <v>427</v>
      </c>
      <c r="D123" s="546">
        <f>+[6]คีย์ข้อมูล!C200</f>
        <v>0</v>
      </c>
      <c r="E123" s="546">
        <f>+[6]คีย์ข้อมูล!D200</f>
        <v>132500</v>
      </c>
      <c r="F123" s="546">
        <f>+[6]คีย์ข้อมูล!E200</f>
        <v>82200</v>
      </c>
      <c r="G123" s="524">
        <f t="shared" si="10"/>
        <v>214700</v>
      </c>
      <c r="H123" s="522">
        <f>+[6]คีย์ข้อมูล!G200</f>
        <v>214700</v>
      </c>
      <c r="I123" s="522">
        <f t="shared" si="7"/>
        <v>100</v>
      </c>
      <c r="J123" s="522">
        <f t="shared" si="9"/>
        <v>0</v>
      </c>
      <c r="K123" s="525" t="s">
        <v>377</v>
      </c>
      <c r="L123" s="520"/>
    </row>
    <row r="124" spans="1:12" s="538" customFormat="1" ht="27.75" customHeight="1">
      <c r="A124" s="514"/>
      <c r="B124" s="520">
        <v>45</v>
      </c>
      <c r="C124" s="545" t="s">
        <v>428</v>
      </c>
      <c r="D124" s="546">
        <f>+[6]คีย์ข้อมูล!C114</f>
        <v>0</v>
      </c>
      <c r="E124" s="546">
        <f>+[6]คีย์ข้อมูล!D114</f>
        <v>144798.66</v>
      </c>
      <c r="F124" s="546">
        <f>+[6]คีย์ข้อมูล!E114</f>
        <v>0</v>
      </c>
      <c r="G124" s="524">
        <f t="shared" si="10"/>
        <v>144798.66</v>
      </c>
      <c r="H124" s="522">
        <f>+[6]คีย์ข้อมูล!G114</f>
        <v>144798.66</v>
      </c>
      <c r="I124" s="522">
        <f t="shared" si="7"/>
        <v>100</v>
      </c>
      <c r="J124" s="522">
        <f t="shared" si="9"/>
        <v>0</v>
      </c>
      <c r="K124" s="525" t="s">
        <v>408</v>
      </c>
      <c r="L124" s="520"/>
    </row>
    <row r="125" spans="1:12" s="538" customFormat="1" ht="27.75" customHeight="1">
      <c r="B125" s="520">
        <v>46</v>
      </c>
      <c r="C125" s="545" t="s">
        <v>429</v>
      </c>
      <c r="D125" s="546">
        <f>+[6]คีย์ข้อมูล!C368</f>
        <v>0</v>
      </c>
      <c r="E125" s="546">
        <f>+[6]คีย์ข้อมูล!D368</f>
        <v>0</v>
      </c>
      <c r="F125" s="546">
        <f>+[6]คีย์ข้อมูล!E368</f>
        <v>362220</v>
      </c>
      <c r="G125" s="524">
        <f t="shared" si="10"/>
        <v>362220</v>
      </c>
      <c r="H125" s="522">
        <f>+[6]คีย์ข้อมูล!G368</f>
        <v>362220</v>
      </c>
      <c r="I125" s="522">
        <f t="shared" si="7"/>
        <v>100</v>
      </c>
      <c r="J125" s="522">
        <f t="shared" si="9"/>
        <v>0</v>
      </c>
      <c r="K125" s="525" t="s">
        <v>391</v>
      </c>
      <c r="L125" s="520"/>
    </row>
    <row r="126" spans="1:12" s="538" customFormat="1" ht="27.75" customHeight="1">
      <c r="B126" s="520">
        <v>47</v>
      </c>
      <c r="C126" s="545" t="s">
        <v>430</v>
      </c>
      <c r="D126" s="546">
        <f>+[6]คีย์ข้อมูล!C425</f>
        <v>0</v>
      </c>
      <c r="E126" s="546">
        <f>+[6]คีย์ข้อมูล!D425</f>
        <v>598159.35999999999</v>
      </c>
      <c r="F126" s="546">
        <f>+[6]คีย์ข้อมูล!E425</f>
        <v>371820</v>
      </c>
      <c r="G126" s="524">
        <f t="shared" si="10"/>
        <v>969979.36</v>
      </c>
      <c r="H126" s="522">
        <f>+[6]คีย์ข้อมูล!G425</f>
        <v>969979.36</v>
      </c>
      <c r="I126" s="522">
        <f t="shared" si="7"/>
        <v>100</v>
      </c>
      <c r="J126" s="522">
        <f t="shared" si="9"/>
        <v>0</v>
      </c>
      <c r="K126" s="525" t="s">
        <v>431</v>
      </c>
      <c r="L126" s="520"/>
    </row>
    <row r="127" spans="1:12" s="538" customFormat="1" ht="27.75" customHeight="1">
      <c r="B127" s="520">
        <v>48</v>
      </c>
      <c r="C127" s="545" t="s">
        <v>432</v>
      </c>
      <c r="D127" s="546">
        <f>+[6]คีย์ข้อมูล!C91</f>
        <v>0</v>
      </c>
      <c r="E127" s="546">
        <f>+[6]คีย์ข้อมูล!D91</f>
        <v>507000</v>
      </c>
      <c r="F127" s="546">
        <f>+[6]คีย์ข้อมูล!E91</f>
        <v>0</v>
      </c>
      <c r="G127" s="524">
        <f t="shared" si="10"/>
        <v>507000</v>
      </c>
      <c r="H127" s="524">
        <f>+[6]คีย์ข้อมูล!G91</f>
        <v>507000</v>
      </c>
      <c r="I127" s="522">
        <f t="shared" si="7"/>
        <v>100</v>
      </c>
      <c r="J127" s="522">
        <f t="shared" si="9"/>
        <v>0</v>
      </c>
      <c r="K127" s="525" t="s">
        <v>433</v>
      </c>
      <c r="L127" s="520"/>
    </row>
    <row r="128" spans="1:12" s="538" customFormat="1" ht="27.75" customHeight="1">
      <c r="A128" s="514"/>
      <c r="B128" s="520">
        <v>49</v>
      </c>
      <c r="C128" s="545" t="s">
        <v>434</v>
      </c>
      <c r="D128" s="546">
        <f>+[6]คีย์ข้อมูล!C107</f>
        <v>0</v>
      </c>
      <c r="E128" s="546">
        <f>+[6]คีย์ข้อมูล!D107</f>
        <v>575874.74</v>
      </c>
      <c r="F128" s="546">
        <f>+[6]คีย์ข้อมูล!E107</f>
        <v>0</v>
      </c>
      <c r="G128" s="524">
        <f t="shared" si="10"/>
        <v>575874.74</v>
      </c>
      <c r="H128" s="522">
        <f>+[6]คีย์ข้อมูล!G107</f>
        <v>575874.74</v>
      </c>
      <c r="I128" s="522">
        <f t="shared" si="7"/>
        <v>100</v>
      </c>
      <c r="J128" s="522">
        <f t="shared" si="9"/>
        <v>0</v>
      </c>
      <c r="K128" s="525" t="s">
        <v>435</v>
      </c>
      <c r="L128" s="520"/>
    </row>
    <row r="129" spans="1:12" s="538" customFormat="1" ht="27.75" customHeight="1">
      <c r="B129" s="520">
        <v>50</v>
      </c>
      <c r="C129" s="545" t="s">
        <v>436</v>
      </c>
      <c r="D129" s="546">
        <f>+[6]คีย์ข้อมูล!C111</f>
        <v>0</v>
      </c>
      <c r="E129" s="546">
        <f>+[6]คีย์ข้อมูล!D111</f>
        <v>0</v>
      </c>
      <c r="F129" s="546">
        <f>+[6]คีย์ข้อมูล!E111</f>
        <v>45200</v>
      </c>
      <c r="G129" s="524">
        <f t="shared" si="10"/>
        <v>45200</v>
      </c>
      <c r="H129" s="522">
        <f>+[6]คีย์ข้อมูล!G111</f>
        <v>45200</v>
      </c>
      <c r="I129" s="522">
        <f t="shared" si="7"/>
        <v>100</v>
      </c>
      <c r="J129" s="522">
        <f t="shared" si="9"/>
        <v>0</v>
      </c>
      <c r="K129" s="525" t="s">
        <v>418</v>
      </c>
      <c r="L129" s="520"/>
    </row>
    <row r="130" spans="1:12" s="538" customFormat="1" ht="27.75" customHeight="1">
      <c r="B130" s="520">
        <v>51</v>
      </c>
      <c r="C130" s="545" t="s">
        <v>437</v>
      </c>
      <c r="D130" s="546">
        <f>+[6]คีย์ข้อมูล!C148</f>
        <v>0</v>
      </c>
      <c r="E130" s="546">
        <f>+[6]คีย์ข้อมูล!D148</f>
        <v>810372.69</v>
      </c>
      <c r="F130" s="546">
        <f>+[6]คีย์ข้อมูล!E148</f>
        <v>0</v>
      </c>
      <c r="G130" s="524">
        <f t="shared" si="10"/>
        <v>810372.69</v>
      </c>
      <c r="H130" s="524">
        <f>+[6]คีย์ข้อมูล!G148</f>
        <v>810372.69</v>
      </c>
      <c r="I130" s="522">
        <f t="shared" si="7"/>
        <v>100</v>
      </c>
      <c r="J130" s="522">
        <f t="shared" si="9"/>
        <v>0</v>
      </c>
      <c r="K130" s="525" t="s">
        <v>438</v>
      </c>
      <c r="L130" s="520"/>
    </row>
    <row r="131" spans="1:12" s="538" customFormat="1" ht="27.75" customHeight="1">
      <c r="B131" s="520">
        <v>52</v>
      </c>
      <c r="C131" s="545" t="s">
        <v>439</v>
      </c>
      <c r="D131" s="546">
        <f>+[6]คีย์ข้อมูล!C213</f>
        <v>0</v>
      </c>
      <c r="E131" s="546">
        <f>+[6]คีย์ข้อมูล!D213</f>
        <v>996271.22</v>
      </c>
      <c r="F131" s="546">
        <f>+[6]คีย์ข้อมูล!E213</f>
        <v>8000</v>
      </c>
      <c r="G131" s="524">
        <f t="shared" si="10"/>
        <v>1004271.22</v>
      </c>
      <c r="H131" s="524">
        <f>+[6]คีย์ข้อมูล!G213</f>
        <v>1004271.22</v>
      </c>
      <c r="I131" s="522">
        <f t="shared" si="7"/>
        <v>100</v>
      </c>
      <c r="J131" s="522">
        <f t="shared" si="9"/>
        <v>0</v>
      </c>
      <c r="K131" s="525" t="s">
        <v>440</v>
      </c>
      <c r="L131" s="520"/>
    </row>
    <row r="132" spans="1:12" s="538" customFormat="1" ht="27.75" customHeight="1">
      <c r="B132" s="520">
        <v>53</v>
      </c>
      <c r="C132" s="545" t="s">
        <v>441</v>
      </c>
      <c r="D132" s="546">
        <f>+[6]คีย์ข้อมูล!C275</f>
        <v>0</v>
      </c>
      <c r="E132" s="546">
        <f>+[6]คีย์ข้อมูล!D275</f>
        <v>8000</v>
      </c>
      <c r="F132" s="546">
        <f>+[6]คีย์ข้อมูล!E275</f>
        <v>70500</v>
      </c>
      <c r="G132" s="524">
        <f t="shared" si="10"/>
        <v>78500</v>
      </c>
      <c r="H132" s="522">
        <f>+[6]คีย์ข้อมูล!G275</f>
        <v>78500</v>
      </c>
      <c r="I132" s="522">
        <f t="shared" si="7"/>
        <v>100</v>
      </c>
      <c r="J132" s="522">
        <f t="shared" si="9"/>
        <v>0</v>
      </c>
      <c r="K132" s="525" t="s">
        <v>407</v>
      </c>
      <c r="L132" s="520"/>
    </row>
    <row r="133" spans="1:12" s="538" customFormat="1" ht="27.75" customHeight="1">
      <c r="B133" s="520">
        <v>54</v>
      </c>
      <c r="C133" s="545" t="s">
        <v>442</v>
      </c>
      <c r="D133" s="546">
        <f>+[6]คีย์ข้อมูล!C279</f>
        <v>0</v>
      </c>
      <c r="E133" s="546">
        <f>+[6]คีย์ข้อมูล!D279</f>
        <v>500000</v>
      </c>
      <c r="F133" s="546">
        <f>+[6]คีย์ข้อมูล!E279</f>
        <v>564400</v>
      </c>
      <c r="G133" s="524">
        <f t="shared" si="10"/>
        <v>1064400</v>
      </c>
      <c r="H133" s="522">
        <f>+[6]คีย์ข้อมูล!G279</f>
        <v>1064400</v>
      </c>
      <c r="I133" s="522">
        <f t="shared" si="7"/>
        <v>100</v>
      </c>
      <c r="J133" s="522">
        <f t="shared" si="9"/>
        <v>0</v>
      </c>
      <c r="K133" s="525" t="s">
        <v>443</v>
      </c>
      <c r="L133" s="549"/>
    </row>
    <row r="134" spans="1:12" s="538" customFormat="1" ht="27.75" customHeight="1">
      <c r="B134" s="520">
        <v>55</v>
      </c>
      <c r="C134" s="545" t="s">
        <v>444</v>
      </c>
      <c r="D134" s="546">
        <f>+[6]คีย์ข้อมูล!C314</f>
        <v>0</v>
      </c>
      <c r="E134" s="546">
        <f>+[6]คีย์ข้อมูล!D314</f>
        <v>21000</v>
      </c>
      <c r="F134" s="546">
        <f>+[6]คีย์ข้อมูล!E314</f>
        <v>0</v>
      </c>
      <c r="G134" s="524">
        <f t="shared" si="10"/>
        <v>21000</v>
      </c>
      <c r="H134" s="522">
        <f>+[6]คีย์ข้อมูล!G314</f>
        <v>21000</v>
      </c>
      <c r="I134" s="522">
        <f t="shared" si="7"/>
        <v>100</v>
      </c>
      <c r="J134" s="522">
        <f t="shared" si="9"/>
        <v>0</v>
      </c>
      <c r="K134" s="525" t="s">
        <v>391</v>
      </c>
      <c r="L134" s="520"/>
    </row>
    <row r="135" spans="1:12" s="538" customFormat="1" ht="27.75" customHeight="1">
      <c r="B135" s="520">
        <v>56</v>
      </c>
      <c r="C135" s="545" t="s">
        <v>445</v>
      </c>
      <c r="D135" s="546">
        <f>+[6]คีย์ข้อมูล!C335</f>
        <v>0</v>
      </c>
      <c r="E135" s="546">
        <f>+[6]คีย์ข้อมูล!D335</f>
        <v>500000</v>
      </c>
      <c r="F135" s="546">
        <f>+[6]คีย์ข้อมูล!E335</f>
        <v>0</v>
      </c>
      <c r="G135" s="524">
        <f t="shared" si="10"/>
        <v>500000</v>
      </c>
      <c r="H135" s="522">
        <f>+[6]คีย์ข้อมูล!G335</f>
        <v>500000</v>
      </c>
      <c r="I135" s="522">
        <f t="shared" si="7"/>
        <v>100</v>
      </c>
      <c r="J135" s="522">
        <f t="shared" si="9"/>
        <v>0</v>
      </c>
      <c r="K135" s="525" t="s">
        <v>395</v>
      </c>
      <c r="L135" s="520"/>
    </row>
    <row r="136" spans="1:12" s="538" customFormat="1" ht="27.75" customHeight="1">
      <c r="B136" s="520">
        <v>57</v>
      </c>
      <c r="C136" s="545" t="s">
        <v>446</v>
      </c>
      <c r="D136" s="546">
        <f>+[6]คีย์ข้อมูล!C338</f>
        <v>0</v>
      </c>
      <c r="E136" s="546">
        <f>+[6]คีย์ข้อมูล!D338</f>
        <v>0</v>
      </c>
      <c r="F136" s="546">
        <f>+[6]คีย์ข้อมูล!E338</f>
        <v>195730</v>
      </c>
      <c r="G136" s="524">
        <f t="shared" si="10"/>
        <v>195730</v>
      </c>
      <c r="H136" s="522">
        <f>+[6]คีย์ข้อมูล!G338</f>
        <v>195730</v>
      </c>
      <c r="I136" s="522">
        <f t="shared" si="7"/>
        <v>100</v>
      </c>
      <c r="J136" s="522">
        <f t="shared" si="9"/>
        <v>0</v>
      </c>
      <c r="K136" s="525" t="s">
        <v>385</v>
      </c>
      <c r="L136" s="520"/>
    </row>
    <row r="137" spans="1:12" s="538" customFormat="1" ht="27.75" customHeight="1">
      <c r="B137" s="520">
        <v>58</v>
      </c>
      <c r="C137" s="545" t="s">
        <v>447</v>
      </c>
      <c r="D137" s="546">
        <f>+[6]คีย์ข้อมูล!C447</f>
        <v>0</v>
      </c>
      <c r="E137" s="546">
        <f>+[6]คีย์ข้อมูล!D447</f>
        <v>500000</v>
      </c>
      <c r="F137" s="546">
        <f>+[6]คีย์ข้อมูล!E447</f>
        <v>147780</v>
      </c>
      <c r="G137" s="524">
        <f t="shared" si="10"/>
        <v>647780</v>
      </c>
      <c r="H137" s="522">
        <f>+[6]คีย์ข้อมูล!G447</f>
        <v>647780</v>
      </c>
      <c r="I137" s="522">
        <f t="shared" si="7"/>
        <v>100</v>
      </c>
      <c r="J137" s="522">
        <f t="shared" si="9"/>
        <v>0</v>
      </c>
      <c r="K137" s="525" t="s">
        <v>433</v>
      </c>
      <c r="L137" s="520"/>
    </row>
    <row r="138" spans="1:12" s="538" customFormat="1" ht="28.5" customHeight="1">
      <c r="B138" s="520">
        <v>59</v>
      </c>
      <c r="C138" s="545" t="s">
        <v>448</v>
      </c>
      <c r="D138" s="546">
        <f>+[6]คีย์ข้อมูล!C482</f>
        <v>0</v>
      </c>
      <c r="E138" s="546">
        <f>+[6]คีย์ข้อมูล!D482</f>
        <v>400000</v>
      </c>
      <c r="F138" s="546">
        <f>+[6]คีย์ข้อมูล!E482</f>
        <v>0</v>
      </c>
      <c r="G138" s="524">
        <f t="shared" si="10"/>
        <v>400000</v>
      </c>
      <c r="H138" s="522">
        <f>+[6]คีย์ข้อมูล!G482</f>
        <v>400000</v>
      </c>
      <c r="I138" s="522">
        <f t="shared" si="7"/>
        <v>100</v>
      </c>
      <c r="J138" s="522">
        <f t="shared" si="9"/>
        <v>0</v>
      </c>
      <c r="K138" s="525" t="s">
        <v>449</v>
      </c>
      <c r="L138" s="520"/>
    </row>
    <row r="139" spans="1:12" s="514" customFormat="1" ht="27.75" customHeight="1">
      <c r="A139" s="538"/>
      <c r="B139" s="529"/>
      <c r="C139" s="534"/>
      <c r="D139" s="530"/>
      <c r="E139" s="531"/>
      <c r="F139" s="531"/>
      <c r="G139" s="530"/>
      <c r="H139" s="531"/>
      <c r="I139" s="530"/>
      <c r="J139" s="530"/>
      <c r="K139" s="532"/>
      <c r="L139" s="529"/>
    </row>
    <row r="140" spans="1:12" s="551" customFormat="1" ht="33" customHeight="1">
      <c r="B140" s="539">
        <v>3</v>
      </c>
      <c r="C140" s="539" t="s">
        <v>303</v>
      </c>
      <c r="D140" s="552">
        <f>SUM(D141:D146)</f>
        <v>0</v>
      </c>
      <c r="E140" s="552">
        <f t="shared" ref="E140:J140" si="11">SUM(E141:E146)</f>
        <v>574927</v>
      </c>
      <c r="F140" s="552">
        <f t="shared" si="11"/>
        <v>1394780</v>
      </c>
      <c r="G140" s="552">
        <f t="shared" si="11"/>
        <v>1969707</v>
      </c>
      <c r="H140" s="552">
        <f t="shared" si="11"/>
        <v>1969707</v>
      </c>
      <c r="I140" s="552">
        <f t="shared" ref="I140:I146" si="12">H140/G140*100</f>
        <v>100</v>
      </c>
      <c r="J140" s="552">
        <f t="shared" si="11"/>
        <v>0</v>
      </c>
      <c r="K140" s="539"/>
      <c r="L140" s="539"/>
    </row>
    <row r="141" spans="1:12" s="503" customFormat="1" ht="27.95" customHeight="1">
      <c r="B141" s="515">
        <v>1</v>
      </c>
      <c r="C141" s="553" t="s">
        <v>450</v>
      </c>
      <c r="D141" s="544">
        <f>+[6]คีย์ข้อมูล!C522</f>
        <v>0</v>
      </c>
      <c r="E141" s="544">
        <f>+[6]คีย์ข้อมูล!D522</f>
        <v>0</v>
      </c>
      <c r="F141" s="544">
        <f>+[6]คีย์ข้อมูล!E522</f>
        <v>219350</v>
      </c>
      <c r="G141" s="544">
        <f t="shared" ref="G141:G146" si="13">SUM(D141:F141)</f>
        <v>219350</v>
      </c>
      <c r="H141" s="544">
        <f>+[6]คีย์ข้อมูล!G522</f>
        <v>219350</v>
      </c>
      <c r="I141" s="544">
        <f t="shared" si="12"/>
        <v>100</v>
      </c>
      <c r="J141" s="544">
        <f t="shared" ref="J141:J146" si="14">+G141-H141</f>
        <v>0</v>
      </c>
      <c r="K141" s="519" t="s">
        <v>374</v>
      </c>
      <c r="L141" s="515"/>
    </row>
    <row r="142" spans="1:12" s="503" customFormat="1" ht="27.95" customHeight="1">
      <c r="B142" s="520">
        <v>2</v>
      </c>
      <c r="C142" s="526" t="s">
        <v>451</v>
      </c>
      <c r="D142" s="546">
        <f>+[6]คีย์ข้อมูล!C513</f>
        <v>0</v>
      </c>
      <c r="E142" s="546">
        <f>+[6]คีย์ข้อมูล!D513</f>
        <v>0</v>
      </c>
      <c r="F142" s="546">
        <f>+[6]คีย์ข้อมูล!E513</f>
        <v>715000</v>
      </c>
      <c r="G142" s="546">
        <f t="shared" si="13"/>
        <v>715000</v>
      </c>
      <c r="H142" s="546">
        <f>+[6]คีย์ข้อมูล!G513</f>
        <v>715000</v>
      </c>
      <c r="I142" s="546">
        <f t="shared" si="12"/>
        <v>100</v>
      </c>
      <c r="J142" s="546">
        <f t="shared" si="14"/>
        <v>0</v>
      </c>
      <c r="K142" s="525" t="s">
        <v>391</v>
      </c>
      <c r="L142" s="520"/>
    </row>
    <row r="143" spans="1:12" s="503" customFormat="1" ht="27.95" customHeight="1">
      <c r="B143" s="520">
        <v>3</v>
      </c>
      <c r="C143" s="526" t="s">
        <v>452</v>
      </c>
      <c r="D143" s="546">
        <f>+[6]คีย์ข้อมูล!C517</f>
        <v>0</v>
      </c>
      <c r="E143" s="546">
        <f>+[6]คีย์ข้อมูล!D517</f>
        <v>248500</v>
      </c>
      <c r="F143" s="546">
        <f>+[6]คีย์ข้อมูล!E517</f>
        <v>110500</v>
      </c>
      <c r="G143" s="546">
        <f t="shared" si="13"/>
        <v>359000</v>
      </c>
      <c r="H143" s="546">
        <f>+[6]คีย์ข้อมูล!G517</f>
        <v>359000</v>
      </c>
      <c r="I143" s="546">
        <f t="shared" si="12"/>
        <v>100</v>
      </c>
      <c r="J143" s="546">
        <f t="shared" si="14"/>
        <v>0</v>
      </c>
      <c r="K143" s="525" t="s">
        <v>415</v>
      </c>
      <c r="L143" s="520"/>
    </row>
    <row r="144" spans="1:12" s="503" customFormat="1" ht="27.95" customHeight="1">
      <c r="B144" s="520">
        <v>4</v>
      </c>
      <c r="C144" s="526" t="s">
        <v>453</v>
      </c>
      <c r="D144" s="546">
        <f>+[6]คีย์ข้อมูล!C501</f>
        <v>0</v>
      </c>
      <c r="E144" s="546">
        <f>+[6]คีย์ข้อมูล!D501</f>
        <v>0</v>
      </c>
      <c r="F144" s="546">
        <f>+[6]คีย์ข้อมูล!E501</f>
        <v>87500</v>
      </c>
      <c r="G144" s="546">
        <f t="shared" si="13"/>
        <v>87500</v>
      </c>
      <c r="H144" s="546">
        <f>+[6]คีย์ข้อมูล!G501</f>
        <v>87500</v>
      </c>
      <c r="I144" s="546">
        <f t="shared" si="12"/>
        <v>100</v>
      </c>
      <c r="J144" s="546">
        <f t="shared" si="14"/>
        <v>0</v>
      </c>
      <c r="K144" s="525" t="s">
        <v>424</v>
      </c>
      <c r="L144" s="520"/>
    </row>
    <row r="145" spans="1:12" s="503" customFormat="1" ht="27.95" customHeight="1">
      <c r="B145" s="520">
        <v>5</v>
      </c>
      <c r="C145" s="526" t="s">
        <v>454</v>
      </c>
      <c r="D145" s="546">
        <f>+[6]คีย์ข้อมูล!C504</f>
        <v>0</v>
      </c>
      <c r="E145" s="546">
        <f>+[6]คีย์ข้อมูล!D504</f>
        <v>120400</v>
      </c>
      <c r="F145" s="546">
        <f>+[6]คีย์ข้อมูล!E504</f>
        <v>66640</v>
      </c>
      <c r="G145" s="546">
        <f t="shared" si="13"/>
        <v>187040</v>
      </c>
      <c r="H145" s="546">
        <f>+[6]คีย์ข้อมูล!G504</f>
        <v>187040</v>
      </c>
      <c r="I145" s="546">
        <f t="shared" si="12"/>
        <v>100</v>
      </c>
      <c r="J145" s="546">
        <f t="shared" si="14"/>
        <v>0</v>
      </c>
      <c r="K145" s="525" t="s">
        <v>449</v>
      </c>
      <c r="L145" s="520"/>
    </row>
    <row r="146" spans="1:12" s="503" customFormat="1" ht="27.95" customHeight="1">
      <c r="B146" s="520">
        <v>6</v>
      </c>
      <c r="C146" s="526" t="s">
        <v>455</v>
      </c>
      <c r="D146" s="546">
        <f>+[6]คีย์ข้อมูล!C509</f>
        <v>0</v>
      </c>
      <c r="E146" s="546">
        <f>+[6]คีย์ข้อมูล!D509</f>
        <v>206027</v>
      </c>
      <c r="F146" s="546">
        <f>+[6]คีย์ข้อมูล!E509</f>
        <v>195790</v>
      </c>
      <c r="G146" s="546">
        <f t="shared" si="13"/>
        <v>401817</v>
      </c>
      <c r="H146" s="546">
        <f>+[6]คีย์ข้อมูล!G509</f>
        <v>401817</v>
      </c>
      <c r="I146" s="546">
        <f t="shared" si="12"/>
        <v>100</v>
      </c>
      <c r="J146" s="546">
        <f t="shared" si="14"/>
        <v>0</v>
      </c>
      <c r="K146" s="525" t="s">
        <v>438</v>
      </c>
      <c r="L146" s="520"/>
    </row>
    <row r="147" spans="1:12" s="503" customFormat="1" ht="27.95" customHeight="1">
      <c r="B147" s="529"/>
      <c r="C147" s="554"/>
      <c r="D147" s="548"/>
      <c r="E147" s="548"/>
      <c r="F147" s="548"/>
      <c r="G147" s="548"/>
      <c r="H147" s="548"/>
      <c r="I147" s="548"/>
      <c r="J147" s="548"/>
      <c r="K147" s="532"/>
      <c r="L147" s="529"/>
    </row>
    <row r="148" spans="1:12" s="551" customFormat="1" ht="33" customHeight="1">
      <c r="B148" s="539">
        <v>4</v>
      </c>
      <c r="C148" s="539" t="s">
        <v>456</v>
      </c>
      <c r="D148" s="552">
        <f>SUM(D149:D151)</f>
        <v>0</v>
      </c>
      <c r="E148" s="552">
        <f t="shared" ref="E148:J148" si="15">SUM(E149:E151)</f>
        <v>54258000</v>
      </c>
      <c r="F148" s="552">
        <f t="shared" si="15"/>
        <v>0</v>
      </c>
      <c r="G148" s="552">
        <f t="shared" si="15"/>
        <v>54258000</v>
      </c>
      <c r="H148" s="552">
        <f t="shared" si="15"/>
        <v>46730800</v>
      </c>
      <c r="I148" s="552">
        <f>H148/G148*100</f>
        <v>86.12702274318994</v>
      </c>
      <c r="J148" s="552">
        <f t="shared" si="15"/>
        <v>7527200</v>
      </c>
      <c r="K148" s="539"/>
      <c r="L148" s="539"/>
    </row>
    <row r="149" spans="1:12" s="503" customFormat="1" ht="81">
      <c r="B149" s="515">
        <v>1</v>
      </c>
      <c r="C149" s="553" t="s">
        <v>226</v>
      </c>
      <c r="D149" s="544">
        <f>+[6]คีย์ข้อมูล!C529</f>
        <v>0</v>
      </c>
      <c r="E149" s="544">
        <f>+[6]คีย์ข้อมูล!D529</f>
        <v>37636000</v>
      </c>
      <c r="F149" s="544">
        <f>+[6]คีย์ข้อมูล!E529</f>
        <v>0</v>
      </c>
      <c r="G149" s="544">
        <f>SUM(D149:F149)</f>
        <v>37636000</v>
      </c>
      <c r="H149" s="544">
        <f>+[6]คีย์ข้อมูล!G529</f>
        <v>30108800</v>
      </c>
      <c r="I149" s="544">
        <f>+H149*100/G149</f>
        <v>80</v>
      </c>
      <c r="J149" s="544">
        <f>+G149-H149</f>
        <v>7527200</v>
      </c>
      <c r="K149" s="515" t="s">
        <v>458</v>
      </c>
      <c r="L149" s="515" t="s">
        <v>196</v>
      </c>
    </row>
    <row r="150" spans="1:12" s="503" customFormat="1" ht="101.25">
      <c r="B150" s="555">
        <v>2</v>
      </c>
      <c r="C150" s="556" t="s">
        <v>225</v>
      </c>
      <c r="D150" s="557">
        <f>+[6]คีย์ข้อมูล!C530</f>
        <v>0</v>
      </c>
      <c r="E150" s="557">
        <f>+[6]คีย์ข้อมูล!D530</f>
        <v>980000</v>
      </c>
      <c r="F150" s="557">
        <f>+[6]คีย์ข้อมูล!E530</f>
        <v>0</v>
      </c>
      <c r="G150" s="546">
        <f>SUM(D150:F150)</f>
        <v>980000</v>
      </c>
      <c r="H150" s="557">
        <f>+[6]คีย์ข้อมูล!G530</f>
        <v>980000</v>
      </c>
      <c r="I150" s="546">
        <f>+H150*100/G150</f>
        <v>100</v>
      </c>
      <c r="J150" s="546">
        <f>+G150-H150</f>
        <v>0</v>
      </c>
      <c r="K150" s="555" t="s">
        <v>457</v>
      </c>
      <c r="L150" s="555" t="s">
        <v>54</v>
      </c>
    </row>
    <row r="151" spans="1:12" s="503" customFormat="1" ht="81">
      <c r="B151" s="520">
        <v>3</v>
      </c>
      <c r="C151" s="526" t="s">
        <v>224</v>
      </c>
      <c r="D151" s="546">
        <f>+[6]คีย์ข้อมูล!C528</f>
        <v>0</v>
      </c>
      <c r="E151" s="546">
        <f>+[6]คีย์ข้อมูล!D528</f>
        <v>15642000</v>
      </c>
      <c r="F151" s="546">
        <f>+[6]คีย์ข้อมูล!E528</f>
        <v>0</v>
      </c>
      <c r="G151" s="546">
        <f>SUM(D151:F151)</f>
        <v>15642000</v>
      </c>
      <c r="H151" s="546">
        <f>+[6]คีย์ข้อมูล!G528</f>
        <v>15642000</v>
      </c>
      <c r="I151" s="546">
        <f>+H151*100/G151</f>
        <v>100</v>
      </c>
      <c r="J151" s="546">
        <f>+G151-H151</f>
        <v>0</v>
      </c>
      <c r="K151" s="520" t="s">
        <v>418</v>
      </c>
      <c r="L151" s="520" t="s">
        <v>196</v>
      </c>
    </row>
    <row r="152" spans="1:12" s="503" customFormat="1" ht="33" customHeight="1">
      <c r="B152" s="529"/>
      <c r="C152" s="547"/>
      <c r="D152" s="548"/>
      <c r="E152" s="548"/>
      <c r="F152" s="548"/>
      <c r="G152" s="548"/>
      <c r="H152" s="548"/>
      <c r="I152" s="548"/>
      <c r="J152" s="548"/>
      <c r="K152" s="529"/>
      <c r="L152" s="529"/>
    </row>
    <row r="153" spans="1:12" s="507" customFormat="1" ht="33" customHeight="1">
      <c r="A153" s="514"/>
      <c r="C153" s="503"/>
      <c r="D153" s="558"/>
      <c r="E153" s="558"/>
      <c r="F153" s="559"/>
      <c r="G153" s="559"/>
      <c r="H153" s="559"/>
      <c r="I153" s="559"/>
      <c r="J153" s="559"/>
    </row>
    <row r="154" spans="1:12" s="507" customFormat="1" ht="33" customHeight="1">
      <c r="A154" s="514"/>
      <c r="C154" s="503"/>
      <c r="D154" s="558"/>
      <c r="E154" s="558"/>
      <c r="F154" s="559"/>
      <c r="G154" s="559"/>
      <c r="H154" s="559"/>
      <c r="I154" s="559"/>
      <c r="J154" s="559"/>
    </row>
    <row r="155" spans="1:12" s="507" customFormat="1" ht="33" customHeight="1">
      <c r="A155" s="514"/>
      <c r="C155" s="503"/>
      <c r="D155" s="558"/>
      <c r="E155" s="558"/>
      <c r="F155" s="559"/>
      <c r="G155" s="559"/>
      <c r="H155" s="559"/>
      <c r="I155" s="559"/>
      <c r="J155" s="559"/>
    </row>
    <row r="156" spans="1:12" s="507" customFormat="1" ht="33" customHeight="1">
      <c r="A156" s="514"/>
      <c r="C156" s="503"/>
      <c r="D156" s="558"/>
      <c r="E156" s="558"/>
      <c r="F156" s="559"/>
      <c r="G156" s="559"/>
      <c r="H156" s="559"/>
      <c r="I156" s="559"/>
      <c r="J156" s="559"/>
    </row>
    <row r="157" spans="1:12" s="507" customFormat="1" ht="33" customHeight="1">
      <c r="A157" s="514"/>
      <c r="C157" s="503"/>
      <c r="D157" s="558"/>
      <c r="E157" s="558"/>
      <c r="F157" s="559"/>
      <c r="G157" s="559"/>
      <c r="H157" s="559"/>
      <c r="I157" s="559"/>
      <c r="J157" s="559"/>
    </row>
    <row r="158" spans="1:12" s="507" customFormat="1" ht="33" customHeight="1">
      <c r="A158" s="514"/>
      <c r="C158" s="503"/>
      <c r="D158" s="558"/>
      <c r="E158" s="558"/>
      <c r="F158" s="559"/>
      <c r="G158" s="559"/>
      <c r="H158" s="559"/>
      <c r="I158" s="559"/>
      <c r="J158" s="559"/>
    </row>
    <row r="159" spans="1:12" s="507" customFormat="1" ht="33" customHeight="1">
      <c r="A159" s="514"/>
      <c r="C159" s="503"/>
      <c r="D159" s="558"/>
      <c r="E159" s="558"/>
      <c r="F159" s="559"/>
      <c r="G159" s="559"/>
      <c r="H159" s="559"/>
      <c r="I159" s="559"/>
      <c r="J159" s="559"/>
    </row>
    <row r="160" spans="1:12" s="507" customFormat="1" ht="33" customHeight="1">
      <c r="A160" s="514"/>
      <c r="C160" s="503"/>
      <c r="D160" s="558"/>
      <c r="E160" s="558"/>
      <c r="F160" s="559"/>
      <c r="G160" s="559"/>
      <c r="H160" s="559"/>
      <c r="I160" s="559"/>
      <c r="J160" s="559"/>
    </row>
    <row r="161" spans="1:12" s="507" customFormat="1" ht="33" customHeight="1">
      <c r="A161" s="514"/>
      <c r="C161" s="503"/>
      <c r="D161" s="558"/>
      <c r="E161" s="558"/>
      <c r="F161" s="559"/>
      <c r="G161" s="559"/>
      <c r="H161" s="559"/>
      <c r="I161" s="559"/>
      <c r="J161" s="559"/>
    </row>
    <row r="162" spans="1:12" s="507" customFormat="1" ht="33" customHeight="1">
      <c r="A162" s="514"/>
      <c r="C162" s="503"/>
      <c r="D162" s="558"/>
      <c r="E162" s="558"/>
      <c r="F162" s="559"/>
      <c r="G162" s="559"/>
      <c r="H162" s="559"/>
      <c r="I162" s="559"/>
      <c r="J162" s="559"/>
    </row>
    <row r="163" spans="1:12" s="507" customFormat="1" ht="33" customHeight="1">
      <c r="A163" s="514"/>
      <c r="C163" s="503"/>
      <c r="D163" s="558"/>
      <c r="E163" s="558"/>
      <c r="F163" s="559"/>
      <c r="G163" s="559"/>
      <c r="H163" s="559"/>
      <c r="I163" s="559"/>
      <c r="J163" s="559"/>
    </row>
    <row r="164" spans="1:12" s="507" customFormat="1" ht="33" customHeight="1">
      <c r="A164" s="514"/>
      <c r="C164" s="503"/>
      <c r="D164" s="558"/>
      <c r="E164" s="558"/>
      <c r="F164" s="559"/>
      <c r="G164" s="559"/>
      <c r="H164" s="559"/>
      <c r="I164" s="559"/>
      <c r="J164" s="559"/>
    </row>
    <row r="165" spans="1:12" s="507" customFormat="1" ht="33" customHeight="1">
      <c r="A165" s="514"/>
      <c r="C165" s="503"/>
      <c r="D165" s="558"/>
      <c r="E165" s="558"/>
      <c r="F165" s="559"/>
      <c r="G165" s="559"/>
      <c r="H165" s="559"/>
      <c r="I165" s="559"/>
      <c r="J165" s="559"/>
    </row>
    <row r="166" spans="1:12" s="559" customFormat="1" ht="33" customHeight="1">
      <c r="A166" s="514"/>
      <c r="B166" s="507"/>
      <c r="C166" s="503"/>
      <c r="D166" s="558"/>
      <c r="E166" s="558"/>
      <c r="K166" s="507"/>
      <c r="L166" s="507"/>
    </row>
    <row r="167" spans="1:12" s="559" customFormat="1" ht="33" customHeight="1">
      <c r="A167" s="514"/>
      <c r="B167" s="507"/>
      <c r="C167" s="503"/>
      <c r="D167" s="558"/>
      <c r="E167" s="558"/>
      <c r="K167" s="507"/>
      <c r="L167" s="507"/>
    </row>
    <row r="168" spans="1:12" s="560" customFormat="1" ht="33" customHeight="1">
      <c r="A168" s="528"/>
      <c r="B168" s="507"/>
      <c r="C168" s="503"/>
      <c r="D168" s="558"/>
      <c r="E168" s="558"/>
      <c r="K168" s="507"/>
      <c r="L168" s="561"/>
    </row>
    <row r="169" spans="1:12" s="560" customFormat="1" ht="33" customHeight="1">
      <c r="A169" s="528"/>
      <c r="B169" s="507"/>
      <c r="C169" s="503"/>
      <c r="D169" s="558"/>
      <c r="E169" s="558"/>
      <c r="K169" s="507"/>
      <c r="L169" s="561"/>
    </row>
    <row r="170" spans="1:12" s="560" customFormat="1" ht="33" customHeight="1">
      <c r="A170" s="528"/>
      <c r="B170" s="507"/>
      <c r="C170" s="503"/>
      <c r="D170" s="558"/>
      <c r="E170" s="558"/>
      <c r="K170" s="507"/>
      <c r="L170" s="561"/>
    </row>
    <row r="171" spans="1:12" s="560" customFormat="1" ht="33" customHeight="1">
      <c r="A171" s="528"/>
      <c r="B171" s="507"/>
      <c r="C171" s="503"/>
      <c r="D171" s="558"/>
      <c r="E171" s="558"/>
      <c r="K171" s="507"/>
      <c r="L171" s="561"/>
    </row>
    <row r="172" spans="1:12" s="560" customFormat="1" ht="33" customHeight="1">
      <c r="A172" s="528"/>
      <c r="B172" s="507"/>
      <c r="C172" s="503"/>
      <c r="D172" s="558"/>
      <c r="E172" s="558"/>
      <c r="K172" s="507"/>
      <c r="L172" s="561"/>
    </row>
    <row r="173" spans="1:12" s="560" customFormat="1" ht="33" customHeight="1">
      <c r="A173" s="528"/>
      <c r="B173" s="507"/>
      <c r="C173" s="503"/>
      <c r="D173" s="558"/>
      <c r="E173" s="558"/>
      <c r="K173" s="507"/>
      <c r="L173" s="561"/>
    </row>
    <row r="174" spans="1:12" s="560" customFormat="1" ht="33" customHeight="1">
      <c r="A174" s="528"/>
      <c r="B174" s="507"/>
      <c r="C174" s="503"/>
      <c r="D174" s="558"/>
      <c r="E174" s="558"/>
      <c r="K174" s="507"/>
      <c r="L174" s="561"/>
    </row>
    <row r="175" spans="1:12" s="560" customFormat="1" ht="33" customHeight="1">
      <c r="A175" s="528"/>
      <c r="B175" s="507"/>
      <c r="C175" s="503"/>
      <c r="D175" s="558"/>
      <c r="E175" s="558"/>
      <c r="K175" s="507"/>
      <c r="L175" s="561"/>
    </row>
    <row r="176" spans="1:12" s="560" customFormat="1" ht="33" customHeight="1">
      <c r="A176" s="528"/>
      <c r="B176" s="507"/>
      <c r="C176" s="503"/>
      <c r="D176" s="558"/>
      <c r="E176" s="558"/>
      <c r="K176" s="507"/>
      <c r="L176" s="561"/>
    </row>
    <row r="177" spans="1:12" s="560" customFormat="1" ht="33" customHeight="1">
      <c r="A177" s="528"/>
      <c r="B177" s="507"/>
      <c r="C177" s="503"/>
      <c r="D177" s="558"/>
      <c r="E177" s="558"/>
      <c r="K177" s="507"/>
      <c r="L177" s="561"/>
    </row>
    <row r="178" spans="1:12" s="560" customFormat="1" ht="33" customHeight="1">
      <c r="A178" s="528"/>
      <c r="B178" s="507"/>
      <c r="C178" s="503"/>
      <c r="D178" s="558"/>
      <c r="E178" s="558"/>
      <c r="K178" s="507"/>
      <c r="L178" s="561"/>
    </row>
    <row r="179" spans="1:12" s="560" customFormat="1" ht="33" customHeight="1">
      <c r="A179" s="528"/>
      <c r="B179" s="507"/>
      <c r="C179" s="503"/>
      <c r="D179" s="558"/>
      <c r="E179" s="558"/>
      <c r="K179" s="507"/>
      <c r="L179" s="561"/>
    </row>
    <row r="180" spans="1:12" s="560" customFormat="1" ht="33" customHeight="1">
      <c r="A180" s="528"/>
      <c r="B180" s="507"/>
      <c r="C180" s="503"/>
      <c r="D180" s="558"/>
      <c r="E180" s="558"/>
      <c r="K180" s="507"/>
      <c r="L180" s="561"/>
    </row>
    <row r="181" spans="1:12" s="560" customFormat="1" ht="33" customHeight="1">
      <c r="A181" s="528"/>
      <c r="B181" s="507"/>
      <c r="C181" s="503"/>
      <c r="D181" s="558"/>
      <c r="E181" s="558"/>
      <c r="K181" s="507"/>
      <c r="L181" s="561"/>
    </row>
    <row r="182" spans="1:12" s="528" customFormat="1" ht="33" customHeight="1">
      <c r="B182" s="507"/>
      <c r="C182" s="503"/>
      <c r="D182" s="558"/>
      <c r="E182" s="558"/>
      <c r="F182" s="560"/>
      <c r="G182" s="560"/>
      <c r="H182" s="560"/>
      <c r="I182" s="560"/>
      <c r="J182" s="560"/>
      <c r="K182" s="507"/>
      <c r="L182" s="561"/>
    </row>
    <row r="183" spans="1:12" s="528" customFormat="1" ht="33" customHeight="1">
      <c r="B183" s="507"/>
      <c r="C183" s="503"/>
      <c r="D183" s="558"/>
      <c r="E183" s="558"/>
      <c r="F183" s="560"/>
      <c r="G183" s="560"/>
      <c r="H183" s="560"/>
      <c r="I183" s="560"/>
      <c r="J183" s="560"/>
      <c r="K183" s="507"/>
      <c r="L183" s="561"/>
    </row>
    <row r="184" spans="1:12" s="528" customFormat="1" ht="33" customHeight="1">
      <c r="B184" s="507"/>
      <c r="C184" s="503"/>
      <c r="D184" s="558"/>
      <c r="E184" s="558"/>
      <c r="F184" s="560"/>
      <c r="G184" s="560"/>
      <c r="H184" s="560"/>
      <c r="I184" s="560"/>
      <c r="J184" s="560"/>
      <c r="K184" s="507"/>
      <c r="L184" s="561"/>
    </row>
    <row r="185" spans="1:12" s="528" customFormat="1" ht="33" customHeight="1">
      <c r="B185" s="507"/>
      <c r="C185" s="503"/>
      <c r="D185" s="558"/>
      <c r="E185" s="558"/>
      <c r="F185" s="560"/>
      <c r="G185" s="560"/>
      <c r="H185" s="560"/>
      <c r="I185" s="560"/>
      <c r="J185" s="560"/>
      <c r="K185" s="507"/>
      <c r="L185" s="561"/>
    </row>
    <row r="186" spans="1:12" s="528" customFormat="1" ht="33" customHeight="1">
      <c r="B186" s="507"/>
      <c r="C186" s="503"/>
      <c r="D186" s="558"/>
      <c r="E186" s="558"/>
      <c r="F186" s="560"/>
      <c r="G186" s="560"/>
      <c r="H186" s="560"/>
      <c r="I186" s="560"/>
      <c r="J186" s="560"/>
      <c r="K186" s="507"/>
      <c r="L186" s="561"/>
    </row>
    <row r="187" spans="1:12" s="528" customFormat="1" ht="33" customHeight="1">
      <c r="B187" s="507"/>
      <c r="C187" s="503"/>
      <c r="D187" s="558"/>
      <c r="E187" s="558"/>
      <c r="F187" s="560"/>
      <c r="G187" s="560"/>
      <c r="H187" s="560"/>
      <c r="I187" s="560"/>
      <c r="J187" s="560"/>
      <c r="K187" s="507"/>
      <c r="L187" s="561"/>
    </row>
    <row r="188" spans="1:12" s="528" customFormat="1" ht="33" customHeight="1">
      <c r="B188" s="507"/>
      <c r="C188" s="503"/>
      <c r="D188" s="558"/>
      <c r="E188" s="558"/>
      <c r="F188" s="560"/>
      <c r="G188" s="560"/>
      <c r="H188" s="560"/>
      <c r="I188" s="560"/>
      <c r="J188" s="560"/>
      <c r="K188" s="507"/>
      <c r="L188" s="561"/>
    </row>
    <row r="189" spans="1:12" s="528" customFormat="1" ht="33" customHeight="1">
      <c r="B189" s="507"/>
      <c r="C189" s="503"/>
      <c r="D189" s="558"/>
      <c r="E189" s="558"/>
      <c r="F189" s="560"/>
      <c r="G189" s="560"/>
      <c r="H189" s="560"/>
      <c r="I189" s="560"/>
      <c r="J189" s="560"/>
      <c r="K189" s="507"/>
      <c r="L189" s="561"/>
    </row>
    <row r="190" spans="1:12" s="528" customFormat="1" ht="33" customHeight="1">
      <c r="B190" s="507"/>
      <c r="C190" s="503"/>
      <c r="D190" s="558"/>
      <c r="E190" s="558"/>
      <c r="F190" s="560"/>
      <c r="G190" s="560"/>
      <c r="H190" s="560"/>
      <c r="I190" s="560"/>
      <c r="J190" s="560"/>
      <c r="K190" s="507"/>
      <c r="L190" s="561"/>
    </row>
    <row r="191" spans="1:12" s="528" customFormat="1" ht="33" customHeight="1">
      <c r="B191" s="507"/>
      <c r="C191" s="503"/>
      <c r="D191" s="558"/>
      <c r="E191" s="558"/>
      <c r="F191" s="560"/>
      <c r="G191" s="560"/>
      <c r="H191" s="560"/>
      <c r="I191" s="560"/>
      <c r="J191" s="560"/>
      <c r="K191" s="507"/>
      <c r="L191" s="561"/>
    </row>
    <row r="192" spans="1:12" s="528" customFormat="1" ht="33" customHeight="1">
      <c r="B192" s="507"/>
      <c r="C192" s="503"/>
      <c r="D192" s="558"/>
      <c r="E192" s="558"/>
      <c r="F192" s="562"/>
      <c r="G192" s="562"/>
      <c r="H192" s="562"/>
      <c r="I192" s="562"/>
      <c r="J192" s="562"/>
      <c r="K192" s="507"/>
      <c r="L192" s="561"/>
    </row>
    <row r="193" spans="2:12" s="528" customFormat="1" ht="33" customHeight="1">
      <c r="B193" s="507"/>
      <c r="C193" s="503"/>
      <c r="D193" s="558"/>
      <c r="E193" s="558"/>
      <c r="F193" s="562"/>
      <c r="G193" s="562"/>
      <c r="H193" s="562"/>
      <c r="I193" s="562"/>
      <c r="J193" s="562"/>
      <c r="K193" s="507"/>
      <c r="L193" s="561"/>
    </row>
    <row r="194" spans="2:12" s="528" customFormat="1" ht="33" customHeight="1">
      <c r="B194" s="507"/>
      <c r="C194" s="503"/>
      <c r="D194" s="558"/>
      <c r="E194" s="558"/>
      <c r="F194" s="562"/>
      <c r="G194" s="562"/>
      <c r="H194" s="562"/>
      <c r="I194" s="562"/>
      <c r="J194" s="562"/>
      <c r="K194" s="507"/>
      <c r="L194" s="561"/>
    </row>
    <row r="195" spans="2:12" ht="33" customHeight="1">
      <c r="D195" s="565"/>
      <c r="E195" s="565"/>
      <c r="F195" s="100"/>
      <c r="G195" s="100"/>
      <c r="H195" s="100"/>
      <c r="I195" s="100"/>
      <c r="J195" s="100"/>
    </row>
    <row r="196" spans="2:12" ht="33" customHeight="1">
      <c r="D196" s="565"/>
      <c r="E196" s="565"/>
      <c r="F196" s="100"/>
      <c r="G196" s="100"/>
      <c r="H196" s="100"/>
      <c r="I196" s="100"/>
      <c r="J196" s="100"/>
    </row>
    <row r="197" spans="2:12" ht="33" customHeight="1">
      <c r="D197" s="565"/>
      <c r="E197" s="565"/>
      <c r="F197" s="100"/>
      <c r="G197" s="100"/>
      <c r="H197" s="100"/>
      <c r="I197" s="100"/>
      <c r="J197" s="100"/>
    </row>
    <row r="198" spans="2:12" ht="33" customHeight="1">
      <c r="D198" s="565"/>
      <c r="E198" s="565"/>
      <c r="F198" s="100"/>
      <c r="G198" s="100"/>
      <c r="H198" s="100"/>
      <c r="I198" s="100"/>
      <c r="J198" s="100"/>
    </row>
    <row r="199" spans="2:12" ht="33" customHeight="1">
      <c r="D199" s="565"/>
      <c r="E199" s="565"/>
      <c r="F199" s="100"/>
      <c r="G199" s="100"/>
      <c r="H199" s="100"/>
      <c r="I199" s="100"/>
      <c r="J199" s="100"/>
    </row>
    <row r="200" spans="2:12" ht="33" customHeight="1">
      <c r="D200" s="565"/>
      <c r="E200" s="565"/>
      <c r="F200" s="100"/>
      <c r="G200" s="100"/>
      <c r="H200" s="100"/>
      <c r="I200" s="100"/>
      <c r="J200" s="100"/>
    </row>
    <row r="201" spans="2:12" ht="33" customHeight="1">
      <c r="D201" s="565"/>
      <c r="E201" s="565"/>
      <c r="F201" s="100"/>
      <c r="G201" s="100"/>
      <c r="H201" s="100"/>
      <c r="I201" s="100"/>
      <c r="J201" s="100"/>
    </row>
    <row r="202" spans="2:12" ht="33" customHeight="1">
      <c r="D202" s="565"/>
      <c r="E202" s="565"/>
      <c r="F202" s="100"/>
      <c r="G202" s="100"/>
      <c r="H202" s="100"/>
      <c r="I202" s="100"/>
      <c r="J202" s="100"/>
    </row>
    <row r="203" spans="2:12" ht="33" customHeight="1">
      <c r="D203" s="565"/>
      <c r="E203" s="565"/>
      <c r="F203" s="100"/>
      <c r="G203" s="100"/>
      <c r="H203" s="100"/>
      <c r="I203" s="100"/>
      <c r="J203" s="100"/>
    </row>
    <row r="204" spans="2:12" ht="33" customHeight="1">
      <c r="D204" s="565"/>
      <c r="E204" s="565"/>
      <c r="F204" s="100"/>
      <c r="G204" s="100"/>
      <c r="H204" s="100"/>
      <c r="I204" s="100"/>
      <c r="J204" s="100"/>
    </row>
    <row r="205" spans="2:12" ht="33" customHeight="1">
      <c r="D205" s="565"/>
      <c r="E205" s="565"/>
      <c r="F205" s="100"/>
      <c r="G205" s="100"/>
      <c r="H205" s="100"/>
      <c r="I205" s="100"/>
      <c r="J205" s="100"/>
    </row>
    <row r="206" spans="2:12" ht="33" customHeight="1">
      <c r="D206" s="565"/>
      <c r="E206" s="565"/>
      <c r="F206" s="100"/>
      <c r="G206" s="100"/>
      <c r="H206" s="100"/>
      <c r="I206" s="100"/>
      <c r="J206" s="100"/>
    </row>
    <row r="207" spans="2:12" ht="33" customHeight="1">
      <c r="D207" s="565"/>
      <c r="E207" s="565"/>
      <c r="F207" s="100"/>
      <c r="G207" s="100"/>
      <c r="H207" s="100"/>
      <c r="I207" s="100"/>
      <c r="J207" s="100"/>
    </row>
    <row r="208" spans="2:12" ht="33" customHeight="1">
      <c r="D208" s="565"/>
      <c r="E208" s="565"/>
      <c r="F208" s="100"/>
      <c r="G208" s="100"/>
      <c r="H208" s="100"/>
      <c r="I208" s="100"/>
      <c r="J208" s="100"/>
    </row>
    <row r="209" spans="4:10" ht="33" customHeight="1">
      <c r="D209" s="565"/>
      <c r="E209" s="565"/>
      <c r="F209" s="100"/>
      <c r="G209" s="100"/>
      <c r="H209" s="100"/>
      <c r="I209" s="100"/>
      <c r="J209" s="100"/>
    </row>
    <row r="210" spans="4:10" ht="33" customHeight="1">
      <c r="D210" s="565"/>
      <c r="E210" s="565"/>
      <c r="F210" s="100"/>
      <c r="G210" s="100"/>
      <c r="H210" s="100"/>
      <c r="I210" s="100"/>
      <c r="J210" s="100"/>
    </row>
    <row r="211" spans="4:10" ht="33" customHeight="1">
      <c r="D211" s="565"/>
      <c r="E211" s="565"/>
      <c r="F211" s="100"/>
      <c r="G211" s="100"/>
      <c r="H211" s="100"/>
      <c r="I211" s="100"/>
      <c r="J211" s="100"/>
    </row>
    <row r="212" spans="4:10" ht="33" customHeight="1">
      <c r="D212" s="565"/>
      <c r="E212" s="565"/>
      <c r="F212" s="100"/>
      <c r="G212" s="100"/>
      <c r="H212" s="100"/>
      <c r="I212" s="100"/>
      <c r="J212" s="100"/>
    </row>
    <row r="213" spans="4:10" ht="33" customHeight="1">
      <c r="D213" s="565"/>
      <c r="E213" s="565"/>
      <c r="F213" s="100"/>
      <c r="G213" s="100"/>
      <c r="H213" s="100"/>
      <c r="I213" s="100"/>
      <c r="J213" s="100"/>
    </row>
    <row r="214" spans="4:10" ht="33" customHeight="1">
      <c r="D214" s="565"/>
      <c r="E214" s="565"/>
      <c r="F214" s="100"/>
      <c r="G214" s="100"/>
      <c r="H214" s="100"/>
      <c r="I214" s="100"/>
      <c r="J214" s="100"/>
    </row>
    <row r="215" spans="4:10" ht="33" customHeight="1">
      <c r="D215" s="565"/>
      <c r="E215" s="565"/>
      <c r="F215" s="100"/>
      <c r="G215" s="100"/>
      <c r="H215" s="100"/>
      <c r="I215" s="100"/>
      <c r="J215" s="100"/>
    </row>
    <row r="216" spans="4:10" ht="33" customHeight="1">
      <c r="D216" s="565"/>
      <c r="E216" s="565"/>
      <c r="F216" s="100"/>
      <c r="G216" s="100"/>
      <c r="H216" s="100"/>
      <c r="I216" s="100"/>
      <c r="J216" s="100"/>
    </row>
    <row r="217" spans="4:10" ht="33" customHeight="1">
      <c r="D217" s="565"/>
      <c r="E217" s="565"/>
      <c r="F217" s="100"/>
      <c r="G217" s="100"/>
      <c r="H217" s="100"/>
      <c r="I217" s="100"/>
      <c r="J217" s="100"/>
    </row>
    <row r="218" spans="4:10" ht="33" customHeight="1">
      <c r="D218" s="565"/>
      <c r="E218" s="565"/>
      <c r="F218" s="100"/>
      <c r="G218" s="100"/>
      <c r="H218" s="100"/>
      <c r="I218" s="100"/>
      <c r="J218" s="100"/>
    </row>
    <row r="219" spans="4:10" ht="33" customHeight="1">
      <c r="D219" s="565"/>
      <c r="E219" s="565"/>
      <c r="F219" s="100"/>
      <c r="G219" s="100"/>
      <c r="H219" s="100"/>
      <c r="I219" s="100"/>
      <c r="J219" s="100"/>
    </row>
    <row r="220" spans="4:10" ht="33" customHeight="1">
      <c r="D220" s="565"/>
      <c r="E220" s="565"/>
      <c r="F220" s="100"/>
      <c r="G220" s="100"/>
      <c r="H220" s="100"/>
      <c r="I220" s="100"/>
      <c r="J220" s="100"/>
    </row>
    <row r="221" spans="4:10" ht="33" customHeight="1">
      <c r="D221" s="565"/>
      <c r="E221" s="565"/>
      <c r="F221" s="100"/>
      <c r="G221" s="100"/>
      <c r="H221" s="100"/>
      <c r="I221" s="100"/>
      <c r="J221" s="100"/>
    </row>
    <row r="222" spans="4:10" ht="33" customHeight="1">
      <c r="D222" s="565"/>
      <c r="E222" s="565"/>
      <c r="F222" s="100"/>
      <c r="G222" s="100"/>
      <c r="H222" s="100"/>
      <c r="I222" s="100"/>
      <c r="J222" s="100"/>
    </row>
    <row r="223" spans="4:10" ht="33" customHeight="1">
      <c r="D223" s="565"/>
      <c r="E223" s="565"/>
      <c r="F223" s="100"/>
      <c r="G223" s="100"/>
      <c r="H223" s="100"/>
      <c r="I223" s="100"/>
      <c r="J223" s="100"/>
    </row>
    <row r="224" spans="4:10" ht="33" customHeight="1">
      <c r="D224" s="565"/>
      <c r="E224" s="565"/>
      <c r="F224" s="100"/>
      <c r="G224" s="100"/>
      <c r="H224" s="100"/>
      <c r="I224" s="100"/>
      <c r="J224" s="100"/>
    </row>
    <row r="225" spans="4:10" ht="33" customHeight="1">
      <c r="D225" s="565"/>
      <c r="E225" s="565"/>
      <c r="F225" s="100"/>
      <c r="G225" s="100"/>
      <c r="H225" s="100"/>
      <c r="I225" s="100"/>
      <c r="J225" s="100"/>
    </row>
    <row r="226" spans="4:10" ht="33" customHeight="1">
      <c r="D226" s="565"/>
      <c r="E226" s="565"/>
      <c r="F226" s="100"/>
      <c r="G226" s="100"/>
      <c r="H226" s="100"/>
      <c r="I226" s="100"/>
      <c r="J226" s="100"/>
    </row>
    <row r="227" spans="4:10" ht="33" customHeight="1">
      <c r="D227" s="565"/>
      <c r="E227" s="565"/>
      <c r="F227" s="100"/>
      <c r="G227" s="100"/>
      <c r="H227" s="100"/>
      <c r="I227" s="100"/>
      <c r="J227" s="100"/>
    </row>
    <row r="228" spans="4:10" ht="33" customHeight="1">
      <c r="D228" s="565"/>
      <c r="E228" s="565"/>
      <c r="F228" s="100"/>
      <c r="G228" s="100"/>
      <c r="H228" s="100"/>
      <c r="I228" s="100"/>
      <c r="J228" s="100"/>
    </row>
    <row r="229" spans="4:10" ht="33" customHeight="1">
      <c r="D229" s="565"/>
      <c r="E229" s="565"/>
      <c r="F229" s="100"/>
      <c r="G229" s="100"/>
      <c r="H229" s="100"/>
      <c r="I229" s="100"/>
      <c r="J229" s="100"/>
    </row>
    <row r="230" spans="4:10" ht="33" customHeight="1">
      <c r="D230" s="565"/>
      <c r="E230" s="565"/>
      <c r="F230" s="100"/>
      <c r="G230" s="100"/>
      <c r="H230" s="100"/>
      <c r="I230" s="100"/>
      <c r="J230" s="100"/>
    </row>
    <row r="231" spans="4:10" ht="33" customHeight="1">
      <c r="D231" s="565"/>
      <c r="E231" s="565"/>
      <c r="F231" s="100"/>
      <c r="G231" s="100"/>
      <c r="H231" s="100"/>
      <c r="I231" s="100"/>
      <c r="J231" s="100"/>
    </row>
    <row r="232" spans="4:10" ht="33" customHeight="1">
      <c r="D232" s="565"/>
      <c r="E232" s="565"/>
      <c r="F232" s="100"/>
      <c r="G232" s="100"/>
      <c r="H232" s="100"/>
      <c r="I232" s="100"/>
      <c r="J232" s="100"/>
    </row>
    <row r="233" spans="4:10" ht="33" customHeight="1">
      <c r="D233" s="565"/>
      <c r="E233" s="565"/>
      <c r="F233" s="100"/>
      <c r="G233" s="100"/>
      <c r="H233" s="100"/>
      <c r="I233" s="100"/>
      <c r="J233" s="100"/>
    </row>
    <row r="234" spans="4:10" ht="33" customHeight="1">
      <c r="D234" s="565"/>
      <c r="E234" s="565"/>
      <c r="F234" s="100"/>
      <c r="G234" s="100"/>
      <c r="H234" s="100"/>
      <c r="I234" s="100"/>
      <c r="J234" s="100"/>
    </row>
    <row r="235" spans="4:10" ht="33" customHeight="1">
      <c r="D235" s="565"/>
      <c r="E235" s="565"/>
      <c r="F235" s="100"/>
      <c r="G235" s="100"/>
      <c r="H235" s="100"/>
      <c r="I235" s="100"/>
      <c r="J235" s="100"/>
    </row>
    <row r="236" spans="4:10" ht="33" customHeight="1">
      <c r="D236" s="565"/>
      <c r="E236" s="565"/>
      <c r="F236" s="100"/>
      <c r="G236" s="100"/>
      <c r="H236" s="100"/>
      <c r="I236" s="100"/>
      <c r="J236" s="100"/>
    </row>
    <row r="237" spans="4:10" ht="33" customHeight="1">
      <c r="D237" s="565"/>
      <c r="E237" s="565"/>
      <c r="F237" s="100"/>
      <c r="G237" s="100"/>
      <c r="H237" s="100"/>
      <c r="I237" s="100"/>
      <c r="J237" s="100"/>
    </row>
    <row r="238" spans="4:10" ht="33" customHeight="1">
      <c r="D238" s="565"/>
      <c r="E238" s="565"/>
      <c r="F238" s="100"/>
      <c r="G238" s="100"/>
      <c r="H238" s="100"/>
      <c r="I238" s="100"/>
      <c r="J238" s="100"/>
    </row>
    <row r="239" spans="4:10" ht="33" customHeight="1">
      <c r="D239" s="565"/>
      <c r="E239" s="565"/>
      <c r="F239" s="100"/>
      <c r="G239" s="100"/>
      <c r="H239" s="100"/>
      <c r="I239" s="100"/>
      <c r="J239" s="100"/>
    </row>
    <row r="240" spans="4:10" ht="33" customHeight="1">
      <c r="D240" s="565"/>
      <c r="E240" s="565"/>
      <c r="F240" s="100"/>
      <c r="G240" s="100"/>
      <c r="H240" s="100"/>
      <c r="I240" s="100"/>
      <c r="J240" s="100"/>
    </row>
    <row r="241" spans="4:10" ht="33" customHeight="1">
      <c r="D241" s="565"/>
      <c r="E241" s="565"/>
      <c r="F241" s="100"/>
      <c r="G241" s="100"/>
      <c r="H241" s="100"/>
      <c r="I241" s="100"/>
      <c r="J241" s="100"/>
    </row>
    <row r="242" spans="4:10" ht="33" customHeight="1">
      <c r="D242" s="565"/>
      <c r="E242" s="565"/>
      <c r="F242" s="100"/>
      <c r="G242" s="100"/>
      <c r="H242" s="100"/>
      <c r="I242" s="100"/>
      <c r="J242" s="100"/>
    </row>
    <row r="243" spans="4:10" ht="33" customHeight="1">
      <c r="D243" s="565"/>
      <c r="E243" s="565"/>
      <c r="F243" s="100"/>
      <c r="G243" s="100"/>
      <c r="H243" s="100"/>
      <c r="I243" s="100"/>
      <c r="J243" s="100"/>
    </row>
    <row r="244" spans="4:10" ht="33" customHeight="1">
      <c r="D244" s="565"/>
      <c r="E244" s="565"/>
      <c r="F244" s="100"/>
      <c r="G244" s="100"/>
      <c r="H244" s="100"/>
      <c r="I244" s="100"/>
      <c r="J244" s="100"/>
    </row>
    <row r="245" spans="4:10" ht="33" customHeight="1">
      <c r="D245" s="565"/>
      <c r="E245" s="565"/>
      <c r="F245" s="100"/>
      <c r="G245" s="100"/>
      <c r="H245" s="100"/>
      <c r="I245" s="100"/>
      <c r="J245" s="100"/>
    </row>
    <row r="246" spans="4:10" ht="33" customHeight="1">
      <c r="D246" s="565"/>
      <c r="E246" s="565"/>
      <c r="F246" s="100"/>
      <c r="G246" s="100"/>
      <c r="H246" s="100"/>
      <c r="I246" s="100"/>
      <c r="J246" s="100"/>
    </row>
    <row r="247" spans="4:10" ht="33" customHeight="1">
      <c r="D247" s="565"/>
      <c r="E247" s="565"/>
      <c r="F247" s="100"/>
      <c r="G247" s="100"/>
      <c r="H247" s="100"/>
      <c r="I247" s="100"/>
      <c r="J247" s="100"/>
    </row>
    <row r="248" spans="4:10" ht="33" customHeight="1">
      <c r="D248" s="565"/>
      <c r="E248" s="565"/>
      <c r="F248" s="100"/>
      <c r="G248" s="100"/>
      <c r="H248" s="100"/>
      <c r="I248" s="100"/>
      <c r="J248" s="100"/>
    </row>
    <row r="249" spans="4:10" ht="33" customHeight="1">
      <c r="D249" s="565"/>
      <c r="E249" s="565"/>
      <c r="F249" s="100"/>
      <c r="G249" s="100"/>
      <c r="H249" s="100"/>
      <c r="I249" s="100"/>
      <c r="J249" s="100"/>
    </row>
    <row r="250" spans="4:10" ht="33" customHeight="1">
      <c r="D250" s="565"/>
      <c r="E250" s="565"/>
      <c r="F250" s="100"/>
      <c r="G250" s="100"/>
      <c r="H250" s="100"/>
      <c r="I250" s="100"/>
      <c r="J250" s="100"/>
    </row>
    <row r="251" spans="4:10" ht="33" customHeight="1">
      <c r="D251" s="565"/>
      <c r="E251" s="565"/>
      <c r="F251" s="100"/>
      <c r="G251" s="100"/>
      <c r="H251" s="100"/>
      <c r="I251" s="100"/>
      <c r="J251" s="100"/>
    </row>
    <row r="252" spans="4:10" ht="33" customHeight="1">
      <c r="D252" s="565"/>
      <c r="E252" s="565"/>
      <c r="F252" s="100"/>
      <c r="G252" s="100"/>
      <c r="H252" s="100"/>
      <c r="I252" s="100"/>
      <c r="J252" s="100"/>
    </row>
    <row r="253" spans="4:10" ht="33" customHeight="1">
      <c r="D253" s="565"/>
      <c r="E253" s="565"/>
      <c r="F253" s="100"/>
      <c r="G253" s="100"/>
      <c r="H253" s="100"/>
      <c r="I253" s="100"/>
      <c r="J253" s="100"/>
    </row>
    <row r="254" spans="4:10" ht="33" customHeight="1">
      <c r="D254" s="565"/>
      <c r="E254" s="565"/>
      <c r="F254" s="100"/>
      <c r="G254" s="100"/>
      <c r="H254" s="100"/>
      <c r="I254" s="100"/>
      <c r="J254" s="100"/>
    </row>
    <row r="255" spans="4:10" ht="33" customHeight="1">
      <c r="D255" s="565"/>
      <c r="E255" s="565"/>
      <c r="F255" s="100"/>
      <c r="G255" s="100"/>
      <c r="H255" s="100"/>
      <c r="I255" s="100"/>
      <c r="J255" s="100"/>
    </row>
    <row r="256" spans="4:10" ht="33" customHeight="1">
      <c r="D256" s="565"/>
      <c r="E256" s="565"/>
      <c r="F256" s="100"/>
      <c r="G256" s="100"/>
      <c r="H256" s="100"/>
      <c r="I256" s="100"/>
      <c r="J256" s="100"/>
    </row>
    <row r="257" spans="4:10" ht="33" customHeight="1">
      <c r="D257" s="565"/>
      <c r="E257" s="565"/>
      <c r="F257" s="100"/>
      <c r="G257" s="100"/>
      <c r="H257" s="100"/>
      <c r="I257" s="100"/>
      <c r="J257" s="100"/>
    </row>
    <row r="258" spans="4:10" ht="33" customHeight="1">
      <c r="D258" s="565"/>
      <c r="E258" s="565"/>
      <c r="F258" s="100"/>
      <c r="G258" s="100"/>
      <c r="H258" s="100"/>
      <c r="I258" s="100"/>
      <c r="J258" s="100"/>
    </row>
    <row r="259" spans="4:10" ht="33" customHeight="1">
      <c r="D259" s="565"/>
      <c r="E259" s="565"/>
      <c r="F259" s="100"/>
      <c r="G259" s="100"/>
      <c r="H259" s="100"/>
      <c r="I259" s="100"/>
      <c r="J259" s="100"/>
    </row>
    <row r="260" spans="4:10" ht="33" customHeight="1">
      <c r="D260" s="565"/>
      <c r="E260" s="565"/>
      <c r="F260" s="100"/>
      <c r="G260" s="100"/>
      <c r="H260" s="100"/>
      <c r="I260" s="100"/>
      <c r="J260" s="100"/>
    </row>
    <row r="261" spans="4:10" ht="33" customHeight="1">
      <c r="D261" s="565"/>
      <c r="E261" s="565"/>
      <c r="F261" s="100"/>
      <c r="G261" s="100"/>
      <c r="H261" s="100"/>
      <c r="I261" s="100"/>
      <c r="J261" s="100"/>
    </row>
    <row r="262" spans="4:10" ht="33" customHeight="1">
      <c r="D262" s="565"/>
      <c r="E262" s="565"/>
      <c r="F262" s="100"/>
      <c r="G262" s="100"/>
      <c r="H262" s="100"/>
      <c r="I262" s="100"/>
      <c r="J262" s="100"/>
    </row>
    <row r="263" spans="4:10" ht="33" customHeight="1">
      <c r="D263" s="565"/>
      <c r="E263" s="565"/>
      <c r="F263" s="100"/>
      <c r="G263" s="100"/>
      <c r="H263" s="100"/>
      <c r="I263" s="100"/>
      <c r="J263" s="100"/>
    </row>
    <row r="264" spans="4:10" ht="33" customHeight="1">
      <c r="D264" s="565"/>
      <c r="E264" s="565"/>
      <c r="F264" s="100"/>
      <c r="G264" s="100"/>
      <c r="H264" s="100"/>
      <c r="I264" s="100"/>
      <c r="J264" s="100"/>
    </row>
    <row r="265" spans="4:10" ht="33" customHeight="1">
      <c r="D265" s="565"/>
      <c r="E265" s="565"/>
      <c r="F265" s="100"/>
      <c r="G265" s="100"/>
      <c r="H265" s="100"/>
      <c r="I265" s="100"/>
      <c r="J265" s="100"/>
    </row>
    <row r="266" spans="4:10" ht="33" customHeight="1">
      <c r="D266" s="565"/>
      <c r="E266" s="565"/>
      <c r="F266" s="100"/>
      <c r="G266" s="100"/>
      <c r="H266" s="100"/>
      <c r="I266" s="100"/>
      <c r="J266" s="100"/>
    </row>
    <row r="267" spans="4:10" ht="33" customHeight="1">
      <c r="D267" s="565"/>
      <c r="E267" s="565"/>
      <c r="F267" s="100"/>
      <c r="G267" s="100"/>
      <c r="H267" s="100"/>
      <c r="I267" s="100"/>
      <c r="J267" s="100"/>
    </row>
    <row r="268" spans="4:10" ht="33" customHeight="1">
      <c r="D268" s="565"/>
      <c r="E268" s="565"/>
      <c r="F268" s="100"/>
      <c r="G268" s="100"/>
      <c r="H268" s="100"/>
      <c r="I268" s="100"/>
      <c r="J268" s="100"/>
    </row>
    <row r="269" spans="4:10" ht="33" customHeight="1">
      <c r="D269" s="565"/>
      <c r="E269" s="565"/>
      <c r="F269" s="100"/>
      <c r="G269" s="100"/>
      <c r="H269" s="100"/>
      <c r="I269" s="100"/>
      <c r="J269" s="100"/>
    </row>
    <row r="270" spans="4:10" ht="33" customHeight="1">
      <c r="D270" s="565"/>
      <c r="E270" s="565"/>
      <c r="F270" s="100"/>
      <c r="G270" s="100"/>
      <c r="H270" s="100"/>
      <c r="I270" s="100"/>
      <c r="J270" s="100"/>
    </row>
    <row r="271" spans="4:10" ht="33" customHeight="1">
      <c r="D271" s="565"/>
      <c r="E271" s="565"/>
      <c r="F271" s="100"/>
      <c r="G271" s="100"/>
      <c r="H271" s="100"/>
      <c r="I271" s="100"/>
      <c r="J271" s="100"/>
    </row>
    <row r="272" spans="4:10" ht="33" customHeight="1">
      <c r="D272" s="565"/>
      <c r="E272" s="565"/>
      <c r="F272" s="100"/>
      <c r="G272" s="100"/>
      <c r="H272" s="100"/>
      <c r="I272" s="100"/>
      <c r="J272" s="100"/>
    </row>
    <row r="273" spans="4:10" ht="33" customHeight="1">
      <c r="D273" s="565"/>
      <c r="E273" s="565"/>
      <c r="F273" s="100"/>
      <c r="G273" s="100"/>
      <c r="H273" s="100"/>
      <c r="I273" s="100"/>
      <c r="J273" s="100"/>
    </row>
    <row r="274" spans="4:10" ht="33" customHeight="1">
      <c r="D274" s="565"/>
      <c r="E274" s="565"/>
      <c r="F274" s="100"/>
      <c r="G274" s="100"/>
      <c r="H274" s="100"/>
      <c r="I274" s="100"/>
      <c r="J274" s="100"/>
    </row>
    <row r="275" spans="4:10" ht="33" customHeight="1">
      <c r="D275" s="565"/>
      <c r="E275" s="565"/>
      <c r="F275" s="100"/>
      <c r="G275" s="100"/>
      <c r="H275" s="100"/>
      <c r="I275" s="100"/>
      <c r="J275" s="100"/>
    </row>
    <row r="276" spans="4:10" ht="33" customHeight="1">
      <c r="D276" s="565"/>
      <c r="E276" s="565"/>
      <c r="F276" s="100"/>
      <c r="G276" s="100"/>
      <c r="H276" s="100"/>
      <c r="I276" s="100"/>
      <c r="J276" s="100"/>
    </row>
    <row r="277" spans="4:10" ht="33" customHeight="1">
      <c r="D277" s="565"/>
      <c r="E277" s="565"/>
      <c r="F277" s="100"/>
      <c r="G277" s="100"/>
      <c r="H277" s="100"/>
      <c r="I277" s="100"/>
      <c r="J277" s="100"/>
    </row>
    <row r="278" spans="4:10" ht="33" customHeight="1">
      <c r="D278" s="565"/>
      <c r="E278" s="565"/>
      <c r="F278" s="100"/>
      <c r="G278" s="100"/>
      <c r="H278" s="100"/>
      <c r="I278" s="100"/>
      <c r="J278" s="100"/>
    </row>
    <row r="279" spans="4:10" ht="33" customHeight="1">
      <c r="D279" s="565"/>
      <c r="E279" s="565"/>
      <c r="F279" s="100"/>
      <c r="G279" s="100"/>
      <c r="H279" s="100"/>
      <c r="I279" s="100"/>
      <c r="J279" s="100"/>
    </row>
    <row r="280" spans="4:10" ht="33" customHeight="1">
      <c r="D280" s="565"/>
      <c r="E280" s="565"/>
      <c r="F280" s="100"/>
      <c r="G280" s="100"/>
      <c r="H280" s="100"/>
      <c r="I280" s="100"/>
      <c r="J280" s="100"/>
    </row>
    <row r="281" spans="4:10" ht="33" customHeight="1">
      <c r="D281" s="565"/>
      <c r="E281" s="565"/>
      <c r="F281" s="100"/>
      <c r="G281" s="100"/>
      <c r="H281" s="100"/>
      <c r="I281" s="100"/>
      <c r="J281" s="100"/>
    </row>
    <row r="282" spans="4:10" ht="33" customHeight="1">
      <c r="D282" s="565"/>
      <c r="E282" s="565"/>
      <c r="F282" s="100"/>
      <c r="G282" s="100"/>
      <c r="H282" s="100"/>
      <c r="I282" s="100"/>
      <c r="J282" s="100"/>
    </row>
    <row r="283" spans="4:10" ht="33" customHeight="1">
      <c r="D283" s="565"/>
      <c r="E283" s="565"/>
      <c r="F283" s="100"/>
      <c r="G283" s="100"/>
      <c r="H283" s="100"/>
      <c r="I283" s="100"/>
      <c r="J283" s="100"/>
    </row>
    <row r="284" spans="4:10" ht="33" customHeight="1">
      <c r="D284" s="565"/>
      <c r="E284" s="565"/>
      <c r="F284" s="100"/>
      <c r="G284" s="100"/>
      <c r="H284" s="100"/>
      <c r="I284" s="100"/>
      <c r="J284" s="100"/>
    </row>
    <row r="285" spans="4:10" ht="33" customHeight="1">
      <c r="D285" s="565"/>
      <c r="E285" s="565"/>
      <c r="F285" s="100"/>
      <c r="G285" s="100"/>
      <c r="H285" s="100"/>
      <c r="I285" s="100"/>
      <c r="J285" s="100"/>
    </row>
    <row r="286" spans="4:10" ht="33" customHeight="1">
      <c r="D286" s="565"/>
      <c r="E286" s="565"/>
      <c r="F286" s="100"/>
      <c r="G286" s="100"/>
      <c r="H286" s="100"/>
      <c r="I286" s="100"/>
      <c r="J286" s="100"/>
    </row>
    <row r="287" spans="4:10" ht="33" customHeight="1">
      <c r="D287" s="565"/>
      <c r="E287" s="565"/>
      <c r="F287" s="100"/>
      <c r="G287" s="100"/>
      <c r="H287" s="100"/>
      <c r="I287" s="100"/>
      <c r="J287" s="100"/>
    </row>
    <row r="288" spans="4:10" ht="33" customHeight="1">
      <c r="D288" s="565"/>
      <c r="E288" s="565"/>
      <c r="F288" s="100"/>
      <c r="G288" s="100"/>
      <c r="H288" s="100"/>
      <c r="I288" s="100"/>
      <c r="J288" s="100"/>
    </row>
    <row r="289" spans="4:10" ht="33" customHeight="1">
      <c r="D289" s="565"/>
      <c r="E289" s="565"/>
      <c r="F289" s="100"/>
      <c r="G289" s="100"/>
      <c r="H289" s="100"/>
      <c r="I289" s="100"/>
      <c r="J289" s="100"/>
    </row>
    <row r="290" spans="4:10" ht="33" customHeight="1">
      <c r="D290" s="565"/>
      <c r="E290" s="565"/>
      <c r="F290" s="100"/>
      <c r="G290" s="100"/>
      <c r="H290" s="100"/>
      <c r="I290" s="100"/>
      <c r="J290" s="100"/>
    </row>
    <row r="291" spans="4:10" ht="33" customHeight="1">
      <c r="D291" s="565"/>
      <c r="E291" s="565"/>
      <c r="F291" s="100"/>
      <c r="G291" s="100"/>
      <c r="H291" s="100"/>
      <c r="I291" s="100"/>
      <c r="J291" s="100"/>
    </row>
    <row r="292" spans="4:10" ht="33" customHeight="1">
      <c r="D292" s="565"/>
      <c r="E292" s="565"/>
      <c r="F292" s="100"/>
      <c r="G292" s="100"/>
      <c r="H292" s="100"/>
      <c r="I292" s="100"/>
      <c r="J292" s="100"/>
    </row>
    <row r="293" spans="4:10" ht="33" customHeight="1">
      <c r="D293" s="565"/>
      <c r="E293" s="565"/>
      <c r="F293" s="100"/>
      <c r="G293" s="100"/>
      <c r="H293" s="100"/>
      <c r="I293" s="100"/>
      <c r="J293" s="100"/>
    </row>
    <row r="294" spans="4:10" ht="33" customHeight="1">
      <c r="D294" s="565"/>
      <c r="E294" s="565"/>
      <c r="F294" s="100"/>
      <c r="G294" s="100"/>
      <c r="H294" s="100"/>
      <c r="I294" s="100"/>
      <c r="J294" s="100"/>
    </row>
    <row r="295" spans="4:10" ht="33" customHeight="1">
      <c r="D295" s="565"/>
      <c r="E295" s="565"/>
      <c r="F295" s="100"/>
      <c r="G295" s="100"/>
      <c r="H295" s="100"/>
      <c r="I295" s="100"/>
      <c r="J295" s="100"/>
    </row>
    <row r="296" spans="4:10" ht="33" customHeight="1">
      <c r="D296" s="565"/>
      <c r="E296" s="565"/>
      <c r="F296" s="100"/>
      <c r="G296" s="100"/>
      <c r="H296" s="100"/>
      <c r="I296" s="100"/>
      <c r="J296" s="100"/>
    </row>
    <row r="297" spans="4:10" ht="33" customHeight="1">
      <c r="D297" s="565"/>
      <c r="E297" s="565"/>
      <c r="F297" s="100"/>
      <c r="G297" s="100"/>
      <c r="H297" s="100"/>
      <c r="I297" s="100"/>
      <c r="J297" s="100"/>
    </row>
    <row r="298" spans="4:10" ht="33" customHeight="1">
      <c r="D298" s="565"/>
      <c r="E298" s="565"/>
      <c r="F298" s="100"/>
      <c r="G298" s="100"/>
      <c r="H298" s="100"/>
      <c r="I298" s="100"/>
      <c r="J298" s="100"/>
    </row>
    <row r="299" spans="4:10" ht="33" customHeight="1">
      <c r="D299" s="565"/>
      <c r="E299" s="565"/>
      <c r="F299" s="100"/>
      <c r="G299" s="100"/>
      <c r="H299" s="100"/>
      <c r="I299" s="100"/>
      <c r="J299" s="100"/>
    </row>
    <row r="300" spans="4:10" ht="33" customHeight="1">
      <c r="D300" s="565"/>
      <c r="E300" s="565"/>
      <c r="F300" s="100"/>
      <c r="G300" s="100"/>
      <c r="H300" s="100"/>
      <c r="I300" s="100"/>
      <c r="J300" s="100"/>
    </row>
    <row r="301" spans="4:10" ht="33" customHeight="1">
      <c r="D301" s="565"/>
      <c r="E301" s="565"/>
      <c r="F301" s="100"/>
      <c r="G301" s="100"/>
      <c r="H301" s="100"/>
      <c r="I301" s="100"/>
      <c r="J301" s="100"/>
    </row>
    <row r="302" spans="4:10" ht="33" customHeight="1">
      <c r="D302" s="565"/>
      <c r="E302" s="565"/>
      <c r="F302" s="100"/>
      <c r="G302" s="100"/>
      <c r="H302" s="100"/>
      <c r="I302" s="100"/>
      <c r="J302" s="100"/>
    </row>
    <row r="303" spans="4:10" ht="33" customHeight="1">
      <c r="D303" s="565"/>
      <c r="E303" s="565"/>
      <c r="F303" s="100"/>
      <c r="G303" s="100"/>
      <c r="H303" s="100"/>
      <c r="I303" s="100"/>
      <c r="J303" s="100"/>
    </row>
    <row r="304" spans="4:10" ht="33" customHeight="1">
      <c r="D304" s="565"/>
      <c r="E304" s="565"/>
      <c r="F304" s="100"/>
      <c r="G304" s="100"/>
      <c r="H304" s="100"/>
      <c r="I304" s="100"/>
      <c r="J304" s="100"/>
    </row>
    <row r="305" spans="4:10" ht="33" customHeight="1">
      <c r="D305" s="565"/>
      <c r="E305" s="565"/>
      <c r="F305" s="100"/>
      <c r="G305" s="100"/>
      <c r="H305" s="100"/>
      <c r="I305" s="100"/>
      <c r="J305" s="100"/>
    </row>
    <row r="306" spans="4:10" ht="33" customHeight="1">
      <c r="D306" s="565"/>
      <c r="E306" s="565"/>
      <c r="F306" s="100"/>
      <c r="G306" s="100"/>
      <c r="H306" s="100"/>
      <c r="I306" s="100"/>
      <c r="J306" s="100"/>
    </row>
    <row r="307" spans="4:10" ht="33" customHeight="1">
      <c r="D307" s="565"/>
      <c r="E307" s="565"/>
      <c r="F307" s="100"/>
      <c r="G307" s="100"/>
      <c r="H307" s="100"/>
      <c r="I307" s="100"/>
      <c r="J307" s="100"/>
    </row>
    <row r="308" spans="4:10" ht="33" customHeight="1">
      <c r="D308" s="565"/>
      <c r="E308" s="565"/>
      <c r="F308" s="100"/>
      <c r="G308" s="100"/>
      <c r="H308" s="100"/>
      <c r="I308" s="100"/>
      <c r="J308" s="100"/>
    </row>
    <row r="309" spans="4:10" ht="33" customHeight="1">
      <c r="D309" s="565"/>
      <c r="E309" s="565"/>
      <c r="F309" s="100"/>
      <c r="G309" s="100"/>
      <c r="H309" s="100"/>
      <c r="I309" s="100"/>
      <c r="J309" s="100"/>
    </row>
    <row r="310" spans="4:10" ht="33" customHeight="1">
      <c r="D310" s="565"/>
      <c r="E310" s="565"/>
      <c r="F310" s="100"/>
      <c r="G310" s="100"/>
      <c r="H310" s="100"/>
      <c r="I310" s="100"/>
      <c r="J310" s="100"/>
    </row>
    <row r="311" spans="4:10" ht="33" customHeight="1">
      <c r="D311" s="565"/>
      <c r="E311" s="565"/>
      <c r="F311" s="100"/>
      <c r="G311" s="100"/>
      <c r="H311" s="100"/>
      <c r="I311" s="100"/>
      <c r="J311" s="100"/>
    </row>
    <row r="312" spans="4:10" ht="33" customHeight="1">
      <c r="D312" s="565"/>
      <c r="E312" s="565"/>
      <c r="F312" s="100"/>
      <c r="G312" s="100"/>
      <c r="H312" s="100"/>
      <c r="I312" s="100"/>
      <c r="J312" s="100"/>
    </row>
    <row r="313" spans="4:10" ht="33" customHeight="1">
      <c r="D313" s="565"/>
      <c r="E313" s="565"/>
      <c r="F313" s="100"/>
      <c r="G313" s="100"/>
      <c r="H313" s="100"/>
      <c r="I313" s="100"/>
      <c r="J313" s="100"/>
    </row>
    <row r="314" spans="4:10" ht="33" customHeight="1">
      <c r="D314" s="565"/>
      <c r="E314" s="565"/>
      <c r="F314" s="100"/>
      <c r="G314" s="100"/>
      <c r="H314" s="100"/>
      <c r="I314" s="100"/>
      <c r="J314" s="100"/>
    </row>
    <row r="315" spans="4:10" ht="33" customHeight="1">
      <c r="D315" s="565"/>
      <c r="E315" s="565"/>
      <c r="F315" s="100"/>
      <c r="G315" s="100"/>
      <c r="H315" s="100"/>
      <c r="I315" s="100"/>
      <c r="J315" s="100"/>
    </row>
    <row r="316" spans="4:10" ht="33" customHeight="1">
      <c r="D316" s="565"/>
      <c r="E316" s="565"/>
      <c r="F316" s="100"/>
      <c r="G316" s="100"/>
      <c r="H316" s="100"/>
      <c r="I316" s="100"/>
      <c r="J316" s="100"/>
    </row>
    <row r="317" spans="4:10" ht="33" customHeight="1">
      <c r="D317" s="565"/>
      <c r="E317" s="565"/>
      <c r="F317" s="100"/>
      <c r="G317" s="100"/>
      <c r="H317" s="100"/>
      <c r="I317" s="100"/>
      <c r="J317" s="100"/>
    </row>
    <row r="318" spans="4:10" ht="33" customHeight="1">
      <c r="D318" s="565"/>
      <c r="E318" s="565"/>
      <c r="F318" s="100"/>
      <c r="G318" s="100"/>
      <c r="H318" s="100"/>
      <c r="I318" s="100"/>
      <c r="J318" s="100"/>
    </row>
    <row r="319" spans="4:10" ht="33" customHeight="1">
      <c r="D319" s="565"/>
      <c r="E319" s="565"/>
      <c r="F319" s="100"/>
      <c r="G319" s="100"/>
      <c r="H319" s="100"/>
      <c r="I319" s="100"/>
      <c r="J319" s="100"/>
    </row>
    <row r="320" spans="4:10" ht="33" customHeight="1">
      <c r="D320" s="565"/>
      <c r="E320" s="565"/>
      <c r="F320" s="100"/>
      <c r="G320" s="100"/>
      <c r="H320" s="100"/>
      <c r="I320" s="100"/>
      <c r="J320" s="100"/>
    </row>
    <row r="321" spans="4:10" ht="33" customHeight="1">
      <c r="D321" s="565"/>
      <c r="E321" s="565"/>
      <c r="F321" s="100"/>
      <c r="G321" s="100"/>
      <c r="H321" s="100"/>
      <c r="I321" s="100"/>
      <c r="J321" s="100"/>
    </row>
    <row r="322" spans="4:10" ht="33" customHeight="1">
      <c r="D322" s="565"/>
      <c r="E322" s="565"/>
      <c r="F322" s="100"/>
      <c r="G322" s="100"/>
      <c r="H322" s="100"/>
      <c r="I322" s="100"/>
      <c r="J322" s="100"/>
    </row>
    <row r="323" spans="4:10" ht="33" customHeight="1">
      <c r="D323" s="565"/>
      <c r="E323" s="565"/>
      <c r="F323" s="100"/>
      <c r="G323" s="100"/>
      <c r="H323" s="100"/>
      <c r="I323" s="100"/>
      <c r="J323" s="100"/>
    </row>
    <row r="324" spans="4:10" ht="33" customHeight="1">
      <c r="D324" s="565"/>
      <c r="E324" s="565"/>
      <c r="F324" s="100"/>
      <c r="G324" s="100"/>
      <c r="H324" s="100"/>
      <c r="I324" s="100"/>
      <c r="J324" s="100"/>
    </row>
    <row r="325" spans="4:10" ht="33" customHeight="1">
      <c r="D325" s="565"/>
      <c r="E325" s="565"/>
      <c r="F325" s="100"/>
      <c r="G325" s="100"/>
      <c r="H325" s="100"/>
      <c r="I325" s="100"/>
      <c r="J325" s="100"/>
    </row>
    <row r="326" spans="4:10" ht="33" customHeight="1">
      <c r="D326" s="565"/>
      <c r="E326" s="565"/>
      <c r="F326" s="100"/>
      <c r="G326" s="100"/>
      <c r="H326" s="100"/>
      <c r="I326" s="100"/>
      <c r="J326" s="100"/>
    </row>
    <row r="327" spans="4:10" ht="33" customHeight="1">
      <c r="D327" s="565"/>
      <c r="E327" s="565"/>
      <c r="F327" s="100"/>
      <c r="G327" s="100"/>
      <c r="H327" s="100"/>
      <c r="I327" s="100"/>
      <c r="J327" s="100"/>
    </row>
    <row r="328" spans="4:10" ht="33" customHeight="1">
      <c r="D328" s="565"/>
      <c r="E328" s="565"/>
      <c r="F328" s="100"/>
      <c r="G328" s="100"/>
      <c r="H328" s="100"/>
      <c r="I328" s="100"/>
      <c r="J328" s="100"/>
    </row>
    <row r="329" spans="4:10" ht="33" customHeight="1">
      <c r="D329" s="565"/>
      <c r="E329" s="565"/>
      <c r="F329" s="100"/>
      <c r="G329" s="100"/>
      <c r="H329" s="100"/>
      <c r="I329" s="100"/>
      <c r="J329" s="100"/>
    </row>
    <row r="330" spans="4:10" ht="33" customHeight="1">
      <c r="D330" s="565"/>
      <c r="E330" s="565"/>
      <c r="F330" s="100"/>
      <c r="G330" s="100"/>
      <c r="H330" s="100"/>
      <c r="I330" s="100"/>
      <c r="J330" s="100"/>
    </row>
    <row r="331" spans="4:10" ht="33" customHeight="1">
      <c r="D331" s="565"/>
      <c r="E331" s="565"/>
      <c r="F331" s="100"/>
      <c r="G331" s="100"/>
      <c r="H331" s="100"/>
      <c r="I331" s="100"/>
      <c r="J331" s="100"/>
    </row>
    <row r="332" spans="4:10" ht="33" customHeight="1">
      <c r="D332" s="565"/>
      <c r="E332" s="565"/>
      <c r="F332" s="100"/>
      <c r="G332" s="100"/>
      <c r="H332" s="100"/>
      <c r="I332" s="100"/>
      <c r="J332" s="100"/>
    </row>
    <row r="333" spans="4:10" ht="33" customHeight="1">
      <c r="D333" s="565"/>
      <c r="E333" s="565"/>
      <c r="F333" s="100"/>
      <c r="G333" s="100"/>
      <c r="H333" s="100"/>
      <c r="I333" s="100"/>
      <c r="J333" s="100"/>
    </row>
    <row r="334" spans="4:10" ht="33" customHeight="1">
      <c r="D334" s="565"/>
      <c r="E334" s="565"/>
      <c r="F334" s="100"/>
      <c r="G334" s="100"/>
      <c r="H334" s="100"/>
      <c r="I334" s="100"/>
      <c r="J334" s="100"/>
    </row>
    <row r="335" spans="4:10" ht="33" customHeight="1">
      <c r="D335" s="565"/>
      <c r="E335" s="565"/>
      <c r="F335" s="100"/>
      <c r="G335" s="100"/>
      <c r="H335" s="100"/>
      <c r="I335" s="100"/>
      <c r="J335" s="100"/>
    </row>
    <row r="336" spans="4:10" ht="33" customHeight="1">
      <c r="D336" s="565"/>
      <c r="E336" s="565"/>
      <c r="F336" s="100"/>
      <c r="G336" s="100"/>
      <c r="H336" s="100"/>
      <c r="I336" s="100"/>
      <c r="J336" s="100"/>
    </row>
    <row r="337" spans="4:10" ht="33" customHeight="1">
      <c r="D337" s="565"/>
      <c r="E337" s="565"/>
      <c r="F337" s="100"/>
      <c r="G337" s="100"/>
      <c r="H337" s="100"/>
      <c r="I337" s="100"/>
      <c r="J337" s="100"/>
    </row>
    <row r="338" spans="4:10" ht="33" customHeight="1">
      <c r="D338" s="565"/>
      <c r="E338" s="565"/>
      <c r="F338" s="100"/>
      <c r="G338" s="100"/>
      <c r="H338" s="100"/>
      <c r="I338" s="100"/>
      <c r="J338" s="100"/>
    </row>
    <row r="339" spans="4:10" ht="33" customHeight="1">
      <c r="D339" s="565"/>
      <c r="E339" s="565"/>
      <c r="F339" s="100"/>
      <c r="G339" s="100"/>
      <c r="H339" s="100"/>
      <c r="I339" s="100"/>
      <c r="J339" s="100"/>
    </row>
    <row r="340" spans="4:10" ht="33" customHeight="1">
      <c r="D340" s="565"/>
      <c r="E340" s="565"/>
      <c r="F340" s="100"/>
      <c r="G340" s="100"/>
      <c r="H340" s="100"/>
      <c r="I340" s="100"/>
      <c r="J340" s="100"/>
    </row>
    <row r="341" spans="4:10" ht="33" customHeight="1">
      <c r="D341" s="565"/>
      <c r="E341" s="565"/>
      <c r="F341" s="100"/>
      <c r="G341" s="100"/>
      <c r="H341" s="100"/>
      <c r="I341" s="100"/>
      <c r="J341" s="100"/>
    </row>
    <row r="342" spans="4:10" ht="33" customHeight="1">
      <c r="D342" s="565"/>
      <c r="E342" s="565"/>
      <c r="F342" s="100"/>
      <c r="G342" s="100"/>
      <c r="H342" s="100"/>
      <c r="I342" s="100"/>
      <c r="J342" s="100"/>
    </row>
    <row r="343" spans="4:10" ht="33" customHeight="1">
      <c r="D343" s="565"/>
      <c r="E343" s="565"/>
      <c r="F343" s="100"/>
      <c r="G343" s="100"/>
      <c r="H343" s="100"/>
      <c r="I343" s="100"/>
      <c r="J343" s="100"/>
    </row>
    <row r="344" spans="4:10" ht="33" customHeight="1">
      <c r="D344" s="565"/>
      <c r="E344" s="565"/>
      <c r="F344" s="100"/>
      <c r="G344" s="100"/>
      <c r="H344" s="100"/>
      <c r="I344" s="100"/>
      <c r="J344" s="100"/>
    </row>
    <row r="345" spans="4:10" ht="33" customHeight="1">
      <c r="D345" s="565"/>
      <c r="E345" s="565"/>
      <c r="F345" s="100"/>
      <c r="G345" s="100"/>
      <c r="H345" s="100"/>
      <c r="I345" s="100"/>
      <c r="J345" s="100"/>
    </row>
    <row r="346" spans="4:10" ht="33" customHeight="1">
      <c r="D346" s="565"/>
      <c r="E346" s="565"/>
      <c r="F346" s="100"/>
      <c r="G346" s="100"/>
      <c r="H346" s="100"/>
      <c r="I346" s="100"/>
      <c r="J346" s="100"/>
    </row>
    <row r="347" spans="4:10" ht="33" customHeight="1">
      <c r="D347" s="565"/>
      <c r="E347" s="565"/>
      <c r="F347" s="100"/>
      <c r="G347" s="100"/>
      <c r="H347" s="100"/>
      <c r="I347" s="100"/>
      <c r="J347" s="100"/>
    </row>
    <row r="348" spans="4:10" ht="33" customHeight="1">
      <c r="D348" s="565"/>
      <c r="E348" s="565"/>
      <c r="F348" s="100"/>
      <c r="G348" s="100"/>
      <c r="H348" s="100"/>
      <c r="I348" s="100"/>
      <c r="J348" s="100"/>
    </row>
    <row r="349" spans="4:10" ht="33" customHeight="1">
      <c r="D349" s="565"/>
      <c r="E349" s="565"/>
      <c r="F349" s="100"/>
      <c r="G349" s="100"/>
      <c r="H349" s="100"/>
      <c r="I349" s="100"/>
      <c r="J349" s="100"/>
    </row>
    <row r="350" spans="4:10" ht="33" customHeight="1">
      <c r="D350" s="565"/>
      <c r="E350" s="565"/>
      <c r="F350" s="100"/>
      <c r="G350" s="100"/>
      <c r="H350" s="100"/>
      <c r="I350" s="100"/>
      <c r="J350" s="100"/>
    </row>
    <row r="351" spans="4:10" ht="33" customHeight="1">
      <c r="D351" s="565"/>
      <c r="E351" s="565"/>
      <c r="F351" s="100"/>
      <c r="G351" s="100"/>
      <c r="H351" s="100"/>
      <c r="I351" s="100"/>
      <c r="J351" s="100"/>
    </row>
    <row r="352" spans="4:10" ht="33" customHeight="1">
      <c r="D352" s="565"/>
      <c r="E352" s="565"/>
      <c r="F352" s="100"/>
      <c r="G352" s="100"/>
      <c r="H352" s="100"/>
      <c r="I352" s="100"/>
      <c r="J352" s="100"/>
    </row>
    <row r="353" spans="4:10" ht="33" customHeight="1">
      <c r="D353" s="565"/>
      <c r="E353" s="565"/>
      <c r="F353" s="100"/>
      <c r="G353" s="100"/>
      <c r="H353" s="100"/>
      <c r="I353" s="100"/>
      <c r="J353" s="100"/>
    </row>
    <row r="354" spans="4:10" ht="33" customHeight="1">
      <c r="D354" s="565"/>
      <c r="E354" s="565"/>
      <c r="F354" s="100"/>
      <c r="G354" s="100"/>
      <c r="H354" s="100"/>
      <c r="I354" s="100"/>
      <c r="J354" s="100"/>
    </row>
    <row r="355" spans="4:10" ht="33" customHeight="1">
      <c r="D355" s="565"/>
      <c r="E355" s="565"/>
      <c r="F355" s="100"/>
      <c r="G355" s="100"/>
      <c r="H355" s="100"/>
      <c r="I355" s="100"/>
      <c r="J355" s="100"/>
    </row>
    <row r="356" spans="4:10" ht="33" customHeight="1">
      <c r="D356" s="565"/>
      <c r="E356" s="565"/>
      <c r="F356" s="100"/>
      <c r="G356" s="100"/>
      <c r="H356" s="100"/>
      <c r="I356" s="100"/>
      <c r="J356" s="100"/>
    </row>
    <row r="357" spans="4:10" ht="33" customHeight="1">
      <c r="D357" s="565"/>
      <c r="E357" s="565"/>
      <c r="F357" s="100"/>
      <c r="G357" s="100"/>
      <c r="H357" s="100"/>
      <c r="I357" s="100"/>
      <c r="J357" s="100"/>
    </row>
    <row r="358" spans="4:10" ht="33" customHeight="1">
      <c r="D358" s="565"/>
      <c r="E358" s="565"/>
      <c r="F358" s="100"/>
      <c r="G358" s="100"/>
      <c r="H358" s="100"/>
      <c r="I358" s="100"/>
      <c r="J358" s="100"/>
    </row>
    <row r="359" spans="4:10" ht="33" customHeight="1">
      <c r="D359" s="565"/>
      <c r="E359" s="565"/>
      <c r="F359" s="100"/>
      <c r="G359" s="100"/>
      <c r="H359" s="100"/>
      <c r="I359" s="100"/>
      <c r="J359" s="100"/>
    </row>
    <row r="360" spans="4:10" ht="33" customHeight="1">
      <c r="D360" s="565"/>
      <c r="E360" s="565"/>
      <c r="F360" s="100"/>
      <c r="G360" s="100"/>
      <c r="H360" s="100"/>
      <c r="I360" s="100"/>
      <c r="J360" s="100"/>
    </row>
    <row r="361" spans="4:10" ht="33" customHeight="1">
      <c r="D361" s="565"/>
      <c r="E361" s="565"/>
      <c r="F361" s="100"/>
      <c r="G361" s="100"/>
      <c r="H361" s="100"/>
      <c r="I361" s="100"/>
      <c r="J361" s="100"/>
    </row>
    <row r="362" spans="4:10" ht="33" customHeight="1">
      <c r="D362" s="565"/>
      <c r="E362" s="565"/>
      <c r="F362" s="100"/>
      <c r="G362" s="100"/>
      <c r="H362" s="100"/>
      <c r="I362" s="100"/>
      <c r="J362" s="100"/>
    </row>
    <row r="363" spans="4:10" ht="33" customHeight="1">
      <c r="D363" s="565"/>
      <c r="E363" s="565"/>
      <c r="F363" s="100"/>
      <c r="G363" s="100"/>
      <c r="H363" s="100"/>
      <c r="I363" s="100"/>
      <c r="J363" s="100"/>
    </row>
    <row r="364" spans="4:10" ht="33" customHeight="1">
      <c r="D364" s="565"/>
      <c r="E364" s="565"/>
      <c r="F364" s="100"/>
      <c r="G364" s="100"/>
      <c r="H364" s="100"/>
      <c r="I364" s="100"/>
      <c r="J364" s="100"/>
    </row>
    <row r="365" spans="4:10" ht="33" customHeight="1">
      <c r="D365" s="565"/>
      <c r="E365" s="565"/>
      <c r="F365" s="100"/>
      <c r="G365" s="100"/>
      <c r="H365" s="100"/>
      <c r="I365" s="100"/>
      <c r="J365" s="100"/>
    </row>
    <row r="366" spans="4:10" ht="33" customHeight="1">
      <c r="D366" s="565"/>
      <c r="E366" s="565"/>
      <c r="F366" s="100"/>
      <c r="G366" s="100"/>
      <c r="H366" s="100"/>
      <c r="I366" s="100"/>
      <c r="J366" s="100"/>
    </row>
    <row r="367" spans="4:10" ht="33" customHeight="1">
      <c r="D367" s="565"/>
      <c r="E367" s="565"/>
      <c r="F367" s="100"/>
      <c r="G367" s="100"/>
      <c r="H367" s="100"/>
      <c r="I367" s="100"/>
      <c r="J367" s="100"/>
    </row>
    <row r="368" spans="4:10" ht="33" customHeight="1">
      <c r="D368" s="565"/>
      <c r="E368" s="565"/>
      <c r="F368" s="100"/>
      <c r="G368" s="100"/>
      <c r="H368" s="100"/>
      <c r="I368" s="100"/>
      <c r="J368" s="100"/>
    </row>
    <row r="369" spans="4:10" ht="33" customHeight="1">
      <c r="D369" s="565"/>
      <c r="E369" s="565"/>
      <c r="F369" s="100"/>
      <c r="G369" s="100"/>
      <c r="H369" s="100"/>
      <c r="I369" s="100"/>
      <c r="J369" s="100"/>
    </row>
    <row r="370" spans="4:10" ht="33" customHeight="1">
      <c r="D370" s="565"/>
      <c r="E370" s="565"/>
      <c r="F370" s="100"/>
      <c r="G370" s="100"/>
      <c r="H370" s="100"/>
      <c r="I370" s="100"/>
      <c r="J370" s="100"/>
    </row>
    <row r="371" spans="4:10" ht="33" customHeight="1">
      <c r="D371" s="565"/>
      <c r="E371" s="565"/>
      <c r="F371" s="100"/>
      <c r="G371" s="100"/>
      <c r="H371" s="100"/>
      <c r="I371" s="100"/>
      <c r="J371" s="100"/>
    </row>
    <row r="372" spans="4:10" ht="33" customHeight="1">
      <c r="D372" s="565"/>
      <c r="E372" s="565"/>
      <c r="F372" s="100"/>
      <c r="G372" s="100"/>
      <c r="H372" s="100"/>
      <c r="I372" s="100"/>
      <c r="J372" s="100"/>
    </row>
    <row r="373" spans="4:10" ht="33" customHeight="1">
      <c r="D373" s="565"/>
      <c r="E373" s="565"/>
      <c r="F373" s="100"/>
      <c r="G373" s="100"/>
      <c r="H373" s="100"/>
      <c r="I373" s="100"/>
      <c r="J373" s="100"/>
    </row>
    <row r="374" spans="4:10" ht="33" customHeight="1">
      <c r="D374" s="565"/>
      <c r="E374" s="565"/>
      <c r="F374" s="100"/>
      <c r="G374" s="100"/>
      <c r="H374" s="100"/>
      <c r="I374" s="100"/>
      <c r="J374" s="100"/>
    </row>
    <row r="375" spans="4:10" ht="33" customHeight="1">
      <c r="D375" s="565"/>
      <c r="E375" s="565"/>
      <c r="F375" s="100"/>
      <c r="G375" s="100"/>
      <c r="H375" s="100"/>
      <c r="I375" s="100"/>
      <c r="J375" s="100"/>
    </row>
    <row r="376" spans="4:10" ht="33" customHeight="1">
      <c r="D376" s="565"/>
      <c r="E376" s="565"/>
      <c r="F376" s="100"/>
      <c r="G376" s="100"/>
      <c r="H376" s="100"/>
      <c r="I376" s="100"/>
      <c r="J376" s="100"/>
    </row>
    <row r="377" spans="4:10" ht="33" customHeight="1">
      <c r="D377" s="565"/>
      <c r="E377" s="565"/>
      <c r="F377" s="100"/>
      <c r="G377" s="100"/>
      <c r="H377" s="100"/>
      <c r="I377" s="100"/>
      <c r="J377" s="100"/>
    </row>
    <row r="378" spans="4:10" ht="33" customHeight="1">
      <c r="D378" s="565"/>
      <c r="E378" s="565"/>
      <c r="F378" s="100"/>
      <c r="G378" s="100"/>
      <c r="H378" s="100"/>
      <c r="I378" s="100"/>
      <c r="J378" s="100"/>
    </row>
    <row r="379" spans="4:10" ht="33" customHeight="1">
      <c r="D379" s="565"/>
      <c r="E379" s="565"/>
      <c r="F379" s="100"/>
      <c r="G379" s="100"/>
      <c r="H379" s="100"/>
      <c r="I379" s="100"/>
      <c r="J379" s="100"/>
    </row>
    <row r="380" spans="4:10" ht="33" customHeight="1">
      <c r="D380" s="565"/>
      <c r="E380" s="565"/>
      <c r="F380" s="100"/>
      <c r="G380" s="100"/>
      <c r="H380" s="100"/>
      <c r="I380" s="100"/>
      <c r="J380" s="100"/>
    </row>
    <row r="381" spans="4:10" ht="33" customHeight="1">
      <c r="D381" s="565"/>
      <c r="E381" s="565"/>
      <c r="F381" s="100"/>
      <c r="G381" s="100"/>
      <c r="H381" s="100"/>
      <c r="I381" s="100"/>
      <c r="J381" s="100"/>
    </row>
    <row r="382" spans="4:10" ht="33" customHeight="1">
      <c r="D382" s="565"/>
      <c r="E382" s="565"/>
      <c r="F382" s="100"/>
      <c r="G382" s="100"/>
      <c r="H382" s="100"/>
      <c r="I382" s="100"/>
      <c r="J382" s="100"/>
    </row>
    <row r="383" spans="4:10" ht="33" customHeight="1">
      <c r="D383" s="565"/>
      <c r="E383" s="565"/>
      <c r="F383" s="100"/>
      <c r="G383" s="100"/>
      <c r="H383" s="100"/>
      <c r="I383" s="100"/>
      <c r="J383" s="100"/>
    </row>
    <row r="384" spans="4:10" ht="33" customHeight="1">
      <c r="D384" s="565"/>
      <c r="E384" s="565"/>
      <c r="F384" s="100"/>
      <c r="G384" s="100"/>
      <c r="H384" s="100"/>
      <c r="I384" s="100"/>
      <c r="J384" s="100"/>
    </row>
    <row r="385" spans="4:10" ht="33" customHeight="1">
      <c r="D385" s="565"/>
      <c r="E385" s="565"/>
      <c r="F385" s="100"/>
      <c r="G385" s="100"/>
      <c r="H385" s="100"/>
      <c r="I385" s="100"/>
      <c r="J385" s="100"/>
    </row>
    <row r="386" spans="4:10" ht="33" customHeight="1">
      <c r="D386" s="565"/>
      <c r="E386" s="565"/>
      <c r="F386" s="100"/>
      <c r="G386" s="100"/>
      <c r="H386" s="100"/>
      <c r="I386" s="100"/>
      <c r="J386" s="100"/>
    </row>
    <row r="387" spans="4:10" ht="33" customHeight="1">
      <c r="D387" s="565"/>
      <c r="E387" s="565"/>
      <c r="F387" s="100"/>
      <c r="G387" s="100"/>
      <c r="H387" s="100"/>
      <c r="I387" s="100"/>
      <c r="J387" s="100"/>
    </row>
    <row r="388" spans="4:10" ht="33" customHeight="1">
      <c r="D388" s="565"/>
      <c r="E388" s="565"/>
      <c r="F388" s="100"/>
      <c r="G388" s="100"/>
      <c r="H388" s="100"/>
      <c r="I388" s="100"/>
      <c r="J388" s="100"/>
    </row>
    <row r="389" spans="4:10" ht="33" customHeight="1">
      <c r="D389" s="565"/>
      <c r="E389" s="565"/>
      <c r="F389" s="100"/>
      <c r="G389" s="100"/>
      <c r="H389" s="100"/>
      <c r="I389" s="100"/>
      <c r="J389" s="100"/>
    </row>
    <row r="390" spans="4:10" ht="33" customHeight="1">
      <c r="D390" s="565"/>
      <c r="E390" s="565"/>
      <c r="F390" s="100"/>
      <c r="G390" s="100"/>
      <c r="H390" s="100"/>
      <c r="I390" s="100"/>
      <c r="J390" s="100"/>
    </row>
    <row r="391" spans="4:10" ht="33" customHeight="1">
      <c r="D391" s="565"/>
      <c r="E391" s="565"/>
      <c r="F391" s="100"/>
      <c r="G391" s="100"/>
      <c r="H391" s="100"/>
      <c r="I391" s="100"/>
      <c r="J391" s="100"/>
    </row>
    <row r="392" spans="4:10" ht="33" customHeight="1">
      <c r="D392" s="565"/>
      <c r="E392" s="565"/>
      <c r="F392" s="100"/>
      <c r="G392" s="100"/>
      <c r="H392" s="100"/>
      <c r="I392" s="100"/>
      <c r="J392" s="100"/>
    </row>
    <row r="393" spans="4:10" ht="33" customHeight="1">
      <c r="D393" s="565"/>
      <c r="E393" s="565"/>
      <c r="F393" s="100"/>
      <c r="G393" s="100"/>
      <c r="H393" s="100"/>
      <c r="I393" s="100"/>
      <c r="J393" s="100"/>
    </row>
    <row r="394" spans="4:10" ht="33" customHeight="1">
      <c r="D394" s="565"/>
      <c r="E394" s="565"/>
      <c r="F394" s="100"/>
      <c r="G394" s="100"/>
      <c r="H394" s="100"/>
      <c r="I394" s="100"/>
      <c r="J394" s="100"/>
    </row>
    <row r="395" spans="4:10" ht="33" customHeight="1">
      <c r="D395" s="565"/>
      <c r="E395" s="565"/>
      <c r="F395" s="100"/>
      <c r="G395" s="100"/>
      <c r="H395" s="100"/>
      <c r="I395" s="100"/>
      <c r="J395" s="100"/>
    </row>
    <row r="396" spans="4:10" ht="33" customHeight="1">
      <c r="D396" s="565"/>
      <c r="E396" s="565"/>
      <c r="F396" s="100"/>
      <c r="G396" s="100"/>
      <c r="H396" s="100"/>
      <c r="I396" s="100"/>
      <c r="J396" s="100"/>
    </row>
    <row r="397" spans="4:10" ht="33" customHeight="1">
      <c r="D397" s="565"/>
      <c r="E397" s="565"/>
      <c r="F397" s="100"/>
      <c r="G397" s="100"/>
      <c r="H397" s="100"/>
      <c r="I397" s="100"/>
      <c r="J397" s="100"/>
    </row>
    <row r="398" spans="4:10" ht="33" customHeight="1">
      <c r="D398" s="565"/>
      <c r="E398" s="565"/>
      <c r="F398" s="100"/>
      <c r="G398" s="100"/>
      <c r="H398" s="100"/>
      <c r="I398" s="100"/>
      <c r="J398" s="100"/>
    </row>
    <row r="399" spans="4:10" ht="33" customHeight="1">
      <c r="D399" s="565"/>
      <c r="E399" s="565"/>
      <c r="F399" s="100"/>
      <c r="G399" s="100"/>
      <c r="H399" s="100"/>
      <c r="I399" s="100"/>
      <c r="J399" s="100"/>
    </row>
    <row r="400" spans="4:10" ht="33" customHeight="1">
      <c r="D400" s="565"/>
      <c r="E400" s="565"/>
      <c r="F400" s="100"/>
      <c r="G400" s="100"/>
      <c r="H400" s="100"/>
      <c r="I400" s="100"/>
      <c r="J400" s="100"/>
    </row>
    <row r="401" spans="4:10" ht="33" customHeight="1">
      <c r="D401" s="565"/>
      <c r="E401" s="565"/>
      <c r="F401" s="100"/>
      <c r="G401" s="100"/>
      <c r="H401" s="100"/>
      <c r="I401" s="100"/>
      <c r="J401" s="100"/>
    </row>
    <row r="402" spans="4:10" ht="33" customHeight="1">
      <c r="D402" s="565"/>
      <c r="E402" s="565"/>
      <c r="F402" s="100"/>
      <c r="G402" s="100"/>
      <c r="H402" s="100"/>
      <c r="I402" s="100"/>
      <c r="J402" s="100"/>
    </row>
    <row r="403" spans="4:10" ht="33" customHeight="1">
      <c r="D403" s="565"/>
      <c r="E403" s="565"/>
      <c r="F403" s="100"/>
      <c r="G403" s="100"/>
      <c r="H403" s="100"/>
      <c r="I403" s="100"/>
      <c r="J403" s="100"/>
    </row>
    <row r="404" spans="4:10" ht="33" customHeight="1">
      <c r="D404" s="565"/>
      <c r="E404" s="565"/>
      <c r="F404" s="100"/>
      <c r="G404" s="100"/>
      <c r="H404" s="100"/>
      <c r="I404" s="100"/>
      <c r="J404" s="100"/>
    </row>
    <row r="405" spans="4:10" ht="33" customHeight="1">
      <c r="D405" s="565"/>
      <c r="E405" s="565"/>
      <c r="F405" s="100"/>
      <c r="G405" s="100"/>
      <c r="H405" s="100"/>
      <c r="I405" s="100"/>
      <c r="J405" s="100"/>
    </row>
    <row r="406" spans="4:10" ht="33" customHeight="1">
      <c r="D406" s="565"/>
      <c r="E406" s="565"/>
      <c r="F406" s="100"/>
      <c r="G406" s="100"/>
      <c r="H406" s="100"/>
      <c r="I406" s="100"/>
      <c r="J406" s="100"/>
    </row>
    <row r="407" spans="4:10" ht="33" customHeight="1">
      <c r="D407" s="565"/>
      <c r="E407" s="565"/>
      <c r="F407" s="100"/>
      <c r="G407" s="100"/>
      <c r="H407" s="100"/>
      <c r="I407" s="100"/>
      <c r="J407" s="100"/>
    </row>
    <row r="408" spans="4:10" ht="33" customHeight="1">
      <c r="D408" s="565"/>
      <c r="E408" s="565"/>
      <c r="F408" s="100"/>
      <c r="G408" s="100"/>
      <c r="H408" s="100"/>
      <c r="I408" s="100"/>
      <c r="J408" s="100"/>
    </row>
    <row r="409" spans="4:10" ht="33" customHeight="1">
      <c r="D409" s="565"/>
      <c r="E409" s="565"/>
      <c r="F409" s="100"/>
      <c r="G409" s="100"/>
      <c r="H409" s="100"/>
      <c r="I409" s="100"/>
      <c r="J409" s="100"/>
    </row>
    <row r="410" spans="4:10" ht="33" customHeight="1">
      <c r="D410" s="565"/>
      <c r="E410" s="565"/>
      <c r="F410" s="100"/>
      <c r="G410" s="100"/>
      <c r="H410" s="100"/>
      <c r="I410" s="100"/>
      <c r="J410" s="100"/>
    </row>
    <row r="411" spans="4:10" ht="33" customHeight="1">
      <c r="D411" s="565"/>
      <c r="E411" s="565"/>
      <c r="F411" s="100"/>
      <c r="G411" s="100"/>
      <c r="H411" s="100"/>
      <c r="I411" s="100"/>
      <c r="J411" s="100"/>
    </row>
    <row r="412" spans="4:10" ht="33" customHeight="1">
      <c r="D412" s="565"/>
      <c r="E412" s="565"/>
      <c r="F412" s="100"/>
      <c r="G412" s="100"/>
      <c r="H412" s="100"/>
      <c r="I412" s="100"/>
      <c r="J412" s="100"/>
    </row>
    <row r="413" spans="4:10" ht="33" customHeight="1">
      <c r="D413" s="565"/>
      <c r="E413" s="565"/>
      <c r="F413" s="100"/>
      <c r="G413" s="100"/>
      <c r="H413" s="100"/>
      <c r="I413" s="100"/>
      <c r="J413" s="100"/>
    </row>
    <row r="414" spans="4:10" ht="33" customHeight="1">
      <c r="D414" s="565"/>
      <c r="E414" s="565"/>
      <c r="F414" s="100"/>
      <c r="G414" s="100"/>
      <c r="H414" s="100"/>
      <c r="I414" s="100"/>
      <c r="J414" s="100"/>
    </row>
    <row r="415" spans="4:10" ht="33" customHeight="1">
      <c r="D415" s="565"/>
      <c r="E415" s="565"/>
      <c r="F415" s="100"/>
      <c r="G415" s="100"/>
      <c r="H415" s="100"/>
      <c r="I415" s="100"/>
      <c r="J415" s="100"/>
    </row>
    <row r="416" spans="4:10" ht="33" customHeight="1">
      <c r="D416" s="565"/>
      <c r="E416" s="565"/>
      <c r="F416" s="100"/>
      <c r="G416" s="100"/>
      <c r="H416" s="100"/>
      <c r="I416" s="100"/>
      <c r="J416" s="100"/>
    </row>
    <row r="417" spans="4:10" ht="33" customHeight="1">
      <c r="D417" s="565"/>
      <c r="E417" s="565"/>
      <c r="F417" s="100"/>
      <c r="G417" s="100"/>
      <c r="H417" s="100"/>
      <c r="I417" s="100"/>
      <c r="J417" s="100"/>
    </row>
    <row r="418" spans="4:10" ht="33" customHeight="1">
      <c r="D418" s="565"/>
      <c r="E418" s="565"/>
      <c r="F418" s="100"/>
      <c r="G418" s="100"/>
      <c r="H418" s="100"/>
      <c r="I418" s="100"/>
      <c r="J418" s="100"/>
    </row>
    <row r="419" spans="4:10" ht="33" customHeight="1">
      <c r="D419" s="565"/>
      <c r="E419" s="565"/>
      <c r="F419" s="100"/>
      <c r="G419" s="100"/>
      <c r="H419" s="100"/>
      <c r="I419" s="100"/>
      <c r="J419" s="100"/>
    </row>
    <row r="420" spans="4:10" ht="33" customHeight="1">
      <c r="D420" s="565"/>
      <c r="E420" s="565"/>
      <c r="F420" s="100"/>
      <c r="G420" s="100"/>
      <c r="H420" s="100"/>
      <c r="I420" s="100"/>
      <c r="J420" s="100"/>
    </row>
    <row r="421" spans="4:10" ht="33" customHeight="1">
      <c r="D421" s="565"/>
      <c r="E421" s="565"/>
      <c r="F421" s="100"/>
      <c r="G421" s="100"/>
      <c r="H421" s="100"/>
      <c r="I421" s="100"/>
      <c r="J421" s="100"/>
    </row>
    <row r="422" spans="4:10" ht="33" customHeight="1">
      <c r="D422" s="565"/>
      <c r="E422" s="565"/>
      <c r="F422" s="100"/>
      <c r="G422" s="100"/>
      <c r="H422" s="100"/>
      <c r="I422" s="100"/>
      <c r="J422" s="100"/>
    </row>
    <row r="423" spans="4:10" ht="33" customHeight="1">
      <c r="D423" s="565"/>
      <c r="E423" s="565"/>
      <c r="F423" s="100"/>
      <c r="G423" s="100"/>
      <c r="H423" s="100"/>
      <c r="I423" s="100"/>
      <c r="J423" s="100"/>
    </row>
  </sheetData>
  <mergeCells count="13">
    <mergeCell ref="H4:H5"/>
    <mergeCell ref="I4:I5"/>
    <mergeCell ref="B1:L1"/>
    <mergeCell ref="B2:L2"/>
    <mergeCell ref="B3:L3"/>
    <mergeCell ref="J4:J5"/>
    <mergeCell ref="K4:K5"/>
    <mergeCell ref="L4:L5"/>
    <mergeCell ref="B4:B5"/>
    <mergeCell ref="C4:C5"/>
    <mergeCell ref="D4:D5"/>
    <mergeCell ref="E4:F4"/>
    <mergeCell ref="G4:G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7"/>
  <dimension ref="A1:J17"/>
  <sheetViews>
    <sheetView zoomScaleNormal="100" workbookViewId="0">
      <selection activeCell="K11" sqref="K11"/>
    </sheetView>
  </sheetViews>
  <sheetFormatPr defaultRowHeight="18"/>
  <cols>
    <col min="1" max="1" width="9.28515625" style="151" bestFit="1" customWidth="1"/>
    <col min="2" max="3" width="9.28515625" style="19" bestFit="1" customWidth="1"/>
    <col min="4" max="4" width="15.5703125" style="22" hidden="1" customWidth="1"/>
    <col min="5" max="5" width="46.5703125" style="22" customWidth="1"/>
    <col min="6" max="6" width="20.7109375" style="23" customWidth="1"/>
    <col min="7" max="7" width="20.28515625" style="23" customWidth="1"/>
    <col min="8" max="8" width="10.42578125" style="22" customWidth="1"/>
    <col min="9" max="256" width="9.140625" style="6"/>
    <col min="257" max="259" width="9.28515625" style="6" bestFit="1" customWidth="1"/>
    <col min="260" max="260" width="11" style="6" bestFit="1" customWidth="1"/>
    <col min="261" max="261" width="35.7109375" style="6" bestFit="1" customWidth="1"/>
    <col min="262" max="262" width="23.85546875" style="6" bestFit="1" customWidth="1"/>
    <col min="263" max="263" width="20.5703125" style="6" bestFit="1" customWidth="1"/>
    <col min="264" max="512" width="9.140625" style="6"/>
    <col min="513" max="515" width="9.28515625" style="6" bestFit="1" customWidth="1"/>
    <col min="516" max="516" width="11" style="6" bestFit="1" customWidth="1"/>
    <col min="517" max="517" width="35.7109375" style="6" bestFit="1" customWidth="1"/>
    <col min="518" max="518" width="23.85546875" style="6" bestFit="1" customWidth="1"/>
    <col min="519" max="519" width="20.5703125" style="6" bestFit="1" customWidth="1"/>
    <col min="520" max="768" width="9.140625" style="6"/>
    <col min="769" max="771" width="9.28515625" style="6" bestFit="1" customWidth="1"/>
    <col min="772" max="772" width="11" style="6" bestFit="1" customWidth="1"/>
    <col min="773" max="773" width="35.7109375" style="6" bestFit="1" customWidth="1"/>
    <col min="774" max="774" width="23.85546875" style="6" bestFit="1" customWidth="1"/>
    <col min="775" max="775" width="20.5703125" style="6" bestFit="1" customWidth="1"/>
    <col min="776" max="1024" width="9.140625" style="6"/>
    <col min="1025" max="1027" width="9.28515625" style="6" bestFit="1" customWidth="1"/>
    <col min="1028" max="1028" width="11" style="6" bestFit="1" customWidth="1"/>
    <col min="1029" max="1029" width="35.7109375" style="6" bestFit="1" customWidth="1"/>
    <col min="1030" max="1030" width="23.85546875" style="6" bestFit="1" customWidth="1"/>
    <col min="1031" max="1031" width="20.5703125" style="6" bestFit="1" customWidth="1"/>
    <col min="1032" max="1280" width="9.140625" style="6"/>
    <col min="1281" max="1283" width="9.28515625" style="6" bestFit="1" customWidth="1"/>
    <col min="1284" max="1284" width="11" style="6" bestFit="1" customWidth="1"/>
    <col min="1285" max="1285" width="35.7109375" style="6" bestFit="1" customWidth="1"/>
    <col min="1286" max="1286" width="23.85546875" style="6" bestFit="1" customWidth="1"/>
    <col min="1287" max="1287" width="20.5703125" style="6" bestFit="1" customWidth="1"/>
    <col min="1288" max="1536" width="9.140625" style="6"/>
    <col min="1537" max="1539" width="9.28515625" style="6" bestFit="1" customWidth="1"/>
    <col min="1540" max="1540" width="11" style="6" bestFit="1" customWidth="1"/>
    <col min="1541" max="1541" width="35.7109375" style="6" bestFit="1" customWidth="1"/>
    <col min="1542" max="1542" width="23.85546875" style="6" bestFit="1" customWidth="1"/>
    <col min="1543" max="1543" width="20.5703125" style="6" bestFit="1" customWidth="1"/>
    <col min="1544" max="1792" width="9.140625" style="6"/>
    <col min="1793" max="1795" width="9.28515625" style="6" bestFit="1" customWidth="1"/>
    <col min="1796" max="1796" width="11" style="6" bestFit="1" customWidth="1"/>
    <col min="1797" max="1797" width="35.7109375" style="6" bestFit="1" customWidth="1"/>
    <col min="1798" max="1798" width="23.85546875" style="6" bestFit="1" customWidth="1"/>
    <col min="1799" max="1799" width="20.5703125" style="6" bestFit="1" customWidth="1"/>
    <col min="1800" max="2048" width="9.140625" style="6"/>
    <col min="2049" max="2051" width="9.28515625" style="6" bestFit="1" customWidth="1"/>
    <col min="2052" max="2052" width="11" style="6" bestFit="1" customWidth="1"/>
    <col min="2053" max="2053" width="35.7109375" style="6" bestFit="1" customWidth="1"/>
    <col min="2054" max="2054" width="23.85546875" style="6" bestFit="1" customWidth="1"/>
    <col min="2055" max="2055" width="20.5703125" style="6" bestFit="1" customWidth="1"/>
    <col min="2056" max="2304" width="9.140625" style="6"/>
    <col min="2305" max="2307" width="9.28515625" style="6" bestFit="1" customWidth="1"/>
    <col min="2308" max="2308" width="11" style="6" bestFit="1" customWidth="1"/>
    <col min="2309" max="2309" width="35.7109375" style="6" bestFit="1" customWidth="1"/>
    <col min="2310" max="2310" width="23.85546875" style="6" bestFit="1" customWidth="1"/>
    <col min="2311" max="2311" width="20.5703125" style="6" bestFit="1" customWidth="1"/>
    <col min="2312" max="2560" width="9.140625" style="6"/>
    <col min="2561" max="2563" width="9.28515625" style="6" bestFit="1" customWidth="1"/>
    <col min="2564" max="2564" width="11" style="6" bestFit="1" customWidth="1"/>
    <col min="2565" max="2565" width="35.7109375" style="6" bestFit="1" customWidth="1"/>
    <col min="2566" max="2566" width="23.85546875" style="6" bestFit="1" customWidth="1"/>
    <col min="2567" max="2567" width="20.5703125" style="6" bestFit="1" customWidth="1"/>
    <col min="2568" max="2816" width="9.140625" style="6"/>
    <col min="2817" max="2819" width="9.28515625" style="6" bestFit="1" customWidth="1"/>
    <col min="2820" max="2820" width="11" style="6" bestFit="1" customWidth="1"/>
    <col min="2821" max="2821" width="35.7109375" style="6" bestFit="1" customWidth="1"/>
    <col min="2822" max="2822" width="23.85546875" style="6" bestFit="1" customWidth="1"/>
    <col min="2823" max="2823" width="20.5703125" style="6" bestFit="1" customWidth="1"/>
    <col min="2824" max="3072" width="9.140625" style="6"/>
    <col min="3073" max="3075" width="9.28515625" style="6" bestFit="1" customWidth="1"/>
    <col min="3076" max="3076" width="11" style="6" bestFit="1" customWidth="1"/>
    <col min="3077" max="3077" width="35.7109375" style="6" bestFit="1" customWidth="1"/>
    <col min="3078" max="3078" width="23.85546875" style="6" bestFit="1" customWidth="1"/>
    <col min="3079" max="3079" width="20.5703125" style="6" bestFit="1" customWidth="1"/>
    <col min="3080" max="3328" width="9.140625" style="6"/>
    <col min="3329" max="3331" width="9.28515625" style="6" bestFit="1" customWidth="1"/>
    <col min="3332" max="3332" width="11" style="6" bestFit="1" customWidth="1"/>
    <col min="3333" max="3333" width="35.7109375" style="6" bestFit="1" customWidth="1"/>
    <col min="3334" max="3334" width="23.85546875" style="6" bestFit="1" customWidth="1"/>
    <col min="3335" max="3335" width="20.5703125" style="6" bestFit="1" customWidth="1"/>
    <col min="3336" max="3584" width="9.140625" style="6"/>
    <col min="3585" max="3587" width="9.28515625" style="6" bestFit="1" customWidth="1"/>
    <col min="3588" max="3588" width="11" style="6" bestFit="1" customWidth="1"/>
    <col min="3589" max="3589" width="35.7109375" style="6" bestFit="1" customWidth="1"/>
    <col min="3590" max="3590" width="23.85546875" style="6" bestFit="1" customWidth="1"/>
    <col min="3591" max="3591" width="20.5703125" style="6" bestFit="1" customWidth="1"/>
    <col min="3592" max="3840" width="9.140625" style="6"/>
    <col min="3841" max="3843" width="9.28515625" style="6" bestFit="1" customWidth="1"/>
    <col min="3844" max="3844" width="11" style="6" bestFit="1" customWidth="1"/>
    <col min="3845" max="3845" width="35.7109375" style="6" bestFit="1" customWidth="1"/>
    <col min="3846" max="3846" width="23.85546875" style="6" bestFit="1" customWidth="1"/>
    <col min="3847" max="3847" width="20.5703125" style="6" bestFit="1" customWidth="1"/>
    <col min="3848" max="4096" width="9.140625" style="6"/>
    <col min="4097" max="4099" width="9.28515625" style="6" bestFit="1" customWidth="1"/>
    <col min="4100" max="4100" width="11" style="6" bestFit="1" customWidth="1"/>
    <col min="4101" max="4101" width="35.7109375" style="6" bestFit="1" customWidth="1"/>
    <col min="4102" max="4102" width="23.85546875" style="6" bestFit="1" customWidth="1"/>
    <col min="4103" max="4103" width="20.5703125" style="6" bestFit="1" customWidth="1"/>
    <col min="4104" max="4352" width="9.140625" style="6"/>
    <col min="4353" max="4355" width="9.28515625" style="6" bestFit="1" customWidth="1"/>
    <col min="4356" max="4356" width="11" style="6" bestFit="1" customWidth="1"/>
    <col min="4357" max="4357" width="35.7109375" style="6" bestFit="1" customWidth="1"/>
    <col min="4358" max="4358" width="23.85546875" style="6" bestFit="1" customWidth="1"/>
    <col min="4359" max="4359" width="20.5703125" style="6" bestFit="1" customWidth="1"/>
    <col min="4360" max="4608" width="9.140625" style="6"/>
    <col min="4609" max="4611" width="9.28515625" style="6" bestFit="1" customWidth="1"/>
    <col min="4612" max="4612" width="11" style="6" bestFit="1" customWidth="1"/>
    <col min="4613" max="4613" width="35.7109375" style="6" bestFit="1" customWidth="1"/>
    <col min="4614" max="4614" width="23.85546875" style="6" bestFit="1" customWidth="1"/>
    <col min="4615" max="4615" width="20.5703125" style="6" bestFit="1" customWidth="1"/>
    <col min="4616" max="4864" width="9.140625" style="6"/>
    <col min="4865" max="4867" width="9.28515625" style="6" bestFit="1" customWidth="1"/>
    <col min="4868" max="4868" width="11" style="6" bestFit="1" customWidth="1"/>
    <col min="4869" max="4869" width="35.7109375" style="6" bestFit="1" customWidth="1"/>
    <col min="4870" max="4870" width="23.85546875" style="6" bestFit="1" customWidth="1"/>
    <col min="4871" max="4871" width="20.5703125" style="6" bestFit="1" customWidth="1"/>
    <col min="4872" max="5120" width="9.140625" style="6"/>
    <col min="5121" max="5123" width="9.28515625" style="6" bestFit="1" customWidth="1"/>
    <col min="5124" max="5124" width="11" style="6" bestFit="1" customWidth="1"/>
    <col min="5125" max="5125" width="35.7109375" style="6" bestFit="1" customWidth="1"/>
    <col min="5126" max="5126" width="23.85546875" style="6" bestFit="1" customWidth="1"/>
    <col min="5127" max="5127" width="20.5703125" style="6" bestFit="1" customWidth="1"/>
    <col min="5128" max="5376" width="9.140625" style="6"/>
    <col min="5377" max="5379" width="9.28515625" style="6" bestFit="1" customWidth="1"/>
    <col min="5380" max="5380" width="11" style="6" bestFit="1" customWidth="1"/>
    <col min="5381" max="5381" width="35.7109375" style="6" bestFit="1" customWidth="1"/>
    <col min="5382" max="5382" width="23.85546875" style="6" bestFit="1" customWidth="1"/>
    <col min="5383" max="5383" width="20.5703125" style="6" bestFit="1" customWidth="1"/>
    <col min="5384" max="5632" width="9.140625" style="6"/>
    <col min="5633" max="5635" width="9.28515625" style="6" bestFit="1" customWidth="1"/>
    <col min="5636" max="5636" width="11" style="6" bestFit="1" customWidth="1"/>
    <col min="5637" max="5637" width="35.7109375" style="6" bestFit="1" customWidth="1"/>
    <col min="5638" max="5638" width="23.85546875" style="6" bestFit="1" customWidth="1"/>
    <col min="5639" max="5639" width="20.5703125" style="6" bestFit="1" customWidth="1"/>
    <col min="5640" max="5888" width="9.140625" style="6"/>
    <col min="5889" max="5891" width="9.28515625" style="6" bestFit="1" customWidth="1"/>
    <col min="5892" max="5892" width="11" style="6" bestFit="1" customWidth="1"/>
    <col min="5893" max="5893" width="35.7109375" style="6" bestFit="1" customWidth="1"/>
    <col min="5894" max="5894" width="23.85546875" style="6" bestFit="1" customWidth="1"/>
    <col min="5895" max="5895" width="20.5703125" style="6" bestFit="1" customWidth="1"/>
    <col min="5896" max="6144" width="9.140625" style="6"/>
    <col min="6145" max="6147" width="9.28515625" style="6" bestFit="1" customWidth="1"/>
    <col min="6148" max="6148" width="11" style="6" bestFit="1" customWidth="1"/>
    <col min="6149" max="6149" width="35.7109375" style="6" bestFit="1" customWidth="1"/>
    <col min="6150" max="6150" width="23.85546875" style="6" bestFit="1" customWidth="1"/>
    <col min="6151" max="6151" width="20.5703125" style="6" bestFit="1" customWidth="1"/>
    <col min="6152" max="6400" width="9.140625" style="6"/>
    <col min="6401" max="6403" width="9.28515625" style="6" bestFit="1" customWidth="1"/>
    <col min="6404" max="6404" width="11" style="6" bestFit="1" customWidth="1"/>
    <col min="6405" max="6405" width="35.7109375" style="6" bestFit="1" customWidth="1"/>
    <col min="6406" max="6406" width="23.85546875" style="6" bestFit="1" customWidth="1"/>
    <col min="6407" max="6407" width="20.5703125" style="6" bestFit="1" customWidth="1"/>
    <col min="6408" max="6656" width="9.140625" style="6"/>
    <col min="6657" max="6659" width="9.28515625" style="6" bestFit="1" customWidth="1"/>
    <col min="6660" max="6660" width="11" style="6" bestFit="1" customWidth="1"/>
    <col min="6661" max="6661" width="35.7109375" style="6" bestFit="1" customWidth="1"/>
    <col min="6662" max="6662" width="23.85546875" style="6" bestFit="1" customWidth="1"/>
    <col min="6663" max="6663" width="20.5703125" style="6" bestFit="1" customWidth="1"/>
    <col min="6664" max="6912" width="9.140625" style="6"/>
    <col min="6913" max="6915" width="9.28515625" style="6" bestFit="1" customWidth="1"/>
    <col min="6916" max="6916" width="11" style="6" bestFit="1" customWidth="1"/>
    <col min="6917" max="6917" width="35.7109375" style="6" bestFit="1" customWidth="1"/>
    <col min="6918" max="6918" width="23.85546875" style="6" bestFit="1" customWidth="1"/>
    <col min="6919" max="6919" width="20.5703125" style="6" bestFit="1" customWidth="1"/>
    <col min="6920" max="7168" width="9.140625" style="6"/>
    <col min="7169" max="7171" width="9.28515625" style="6" bestFit="1" customWidth="1"/>
    <col min="7172" max="7172" width="11" style="6" bestFit="1" customWidth="1"/>
    <col min="7173" max="7173" width="35.7109375" style="6" bestFit="1" customWidth="1"/>
    <col min="7174" max="7174" width="23.85546875" style="6" bestFit="1" customWidth="1"/>
    <col min="7175" max="7175" width="20.5703125" style="6" bestFit="1" customWidth="1"/>
    <col min="7176" max="7424" width="9.140625" style="6"/>
    <col min="7425" max="7427" width="9.28515625" style="6" bestFit="1" customWidth="1"/>
    <col min="7428" max="7428" width="11" style="6" bestFit="1" customWidth="1"/>
    <col min="7429" max="7429" width="35.7109375" style="6" bestFit="1" customWidth="1"/>
    <col min="7430" max="7430" width="23.85546875" style="6" bestFit="1" customWidth="1"/>
    <col min="7431" max="7431" width="20.5703125" style="6" bestFit="1" customWidth="1"/>
    <col min="7432" max="7680" width="9.140625" style="6"/>
    <col min="7681" max="7683" width="9.28515625" style="6" bestFit="1" customWidth="1"/>
    <col min="7684" max="7684" width="11" style="6" bestFit="1" customWidth="1"/>
    <col min="7685" max="7685" width="35.7109375" style="6" bestFit="1" customWidth="1"/>
    <col min="7686" max="7686" width="23.85546875" style="6" bestFit="1" customWidth="1"/>
    <col min="7687" max="7687" width="20.5703125" style="6" bestFit="1" customWidth="1"/>
    <col min="7688" max="7936" width="9.140625" style="6"/>
    <col min="7937" max="7939" width="9.28515625" style="6" bestFit="1" customWidth="1"/>
    <col min="7940" max="7940" width="11" style="6" bestFit="1" customWidth="1"/>
    <col min="7941" max="7941" width="35.7109375" style="6" bestFit="1" customWidth="1"/>
    <col min="7942" max="7942" width="23.85546875" style="6" bestFit="1" customWidth="1"/>
    <col min="7943" max="7943" width="20.5703125" style="6" bestFit="1" customWidth="1"/>
    <col min="7944" max="8192" width="9.140625" style="6"/>
    <col min="8193" max="8195" width="9.28515625" style="6" bestFit="1" customWidth="1"/>
    <col min="8196" max="8196" width="11" style="6" bestFit="1" customWidth="1"/>
    <col min="8197" max="8197" width="35.7109375" style="6" bestFit="1" customWidth="1"/>
    <col min="8198" max="8198" width="23.85546875" style="6" bestFit="1" customWidth="1"/>
    <col min="8199" max="8199" width="20.5703125" style="6" bestFit="1" customWidth="1"/>
    <col min="8200" max="8448" width="9.140625" style="6"/>
    <col min="8449" max="8451" width="9.28515625" style="6" bestFit="1" customWidth="1"/>
    <col min="8452" max="8452" width="11" style="6" bestFit="1" customWidth="1"/>
    <col min="8453" max="8453" width="35.7109375" style="6" bestFit="1" customWidth="1"/>
    <col min="8454" max="8454" width="23.85546875" style="6" bestFit="1" customWidth="1"/>
    <col min="8455" max="8455" width="20.5703125" style="6" bestFit="1" customWidth="1"/>
    <col min="8456" max="8704" width="9.140625" style="6"/>
    <col min="8705" max="8707" width="9.28515625" style="6" bestFit="1" customWidth="1"/>
    <col min="8708" max="8708" width="11" style="6" bestFit="1" customWidth="1"/>
    <col min="8709" max="8709" width="35.7109375" style="6" bestFit="1" customWidth="1"/>
    <col min="8710" max="8710" width="23.85546875" style="6" bestFit="1" customWidth="1"/>
    <col min="8711" max="8711" width="20.5703125" style="6" bestFit="1" customWidth="1"/>
    <col min="8712" max="8960" width="9.140625" style="6"/>
    <col min="8961" max="8963" width="9.28515625" style="6" bestFit="1" customWidth="1"/>
    <col min="8964" max="8964" width="11" style="6" bestFit="1" customWidth="1"/>
    <col min="8965" max="8965" width="35.7109375" style="6" bestFit="1" customWidth="1"/>
    <col min="8966" max="8966" width="23.85546875" style="6" bestFit="1" customWidth="1"/>
    <col min="8967" max="8967" width="20.5703125" style="6" bestFit="1" customWidth="1"/>
    <col min="8968" max="9216" width="9.140625" style="6"/>
    <col min="9217" max="9219" width="9.28515625" style="6" bestFit="1" customWidth="1"/>
    <col min="9220" max="9220" width="11" style="6" bestFit="1" customWidth="1"/>
    <col min="9221" max="9221" width="35.7109375" style="6" bestFit="1" customWidth="1"/>
    <col min="9222" max="9222" width="23.85546875" style="6" bestFit="1" customWidth="1"/>
    <col min="9223" max="9223" width="20.5703125" style="6" bestFit="1" customWidth="1"/>
    <col min="9224" max="9472" width="9.140625" style="6"/>
    <col min="9473" max="9475" width="9.28515625" style="6" bestFit="1" customWidth="1"/>
    <col min="9476" max="9476" width="11" style="6" bestFit="1" customWidth="1"/>
    <col min="9477" max="9477" width="35.7109375" style="6" bestFit="1" customWidth="1"/>
    <col min="9478" max="9478" width="23.85546875" style="6" bestFit="1" customWidth="1"/>
    <col min="9479" max="9479" width="20.5703125" style="6" bestFit="1" customWidth="1"/>
    <col min="9480" max="9728" width="9.140625" style="6"/>
    <col min="9729" max="9731" width="9.28515625" style="6" bestFit="1" customWidth="1"/>
    <col min="9732" max="9732" width="11" style="6" bestFit="1" customWidth="1"/>
    <col min="9733" max="9733" width="35.7109375" style="6" bestFit="1" customWidth="1"/>
    <col min="9734" max="9734" width="23.85546875" style="6" bestFit="1" customWidth="1"/>
    <col min="9735" max="9735" width="20.5703125" style="6" bestFit="1" customWidth="1"/>
    <col min="9736" max="9984" width="9.140625" style="6"/>
    <col min="9985" max="9987" width="9.28515625" style="6" bestFit="1" customWidth="1"/>
    <col min="9988" max="9988" width="11" style="6" bestFit="1" customWidth="1"/>
    <col min="9989" max="9989" width="35.7109375" style="6" bestFit="1" customWidth="1"/>
    <col min="9990" max="9990" width="23.85546875" style="6" bestFit="1" customWidth="1"/>
    <col min="9991" max="9991" width="20.5703125" style="6" bestFit="1" customWidth="1"/>
    <col min="9992" max="10240" width="9.140625" style="6"/>
    <col min="10241" max="10243" width="9.28515625" style="6" bestFit="1" customWidth="1"/>
    <col min="10244" max="10244" width="11" style="6" bestFit="1" customWidth="1"/>
    <col min="10245" max="10245" width="35.7109375" style="6" bestFit="1" customWidth="1"/>
    <col min="10246" max="10246" width="23.85546875" style="6" bestFit="1" customWidth="1"/>
    <col min="10247" max="10247" width="20.5703125" style="6" bestFit="1" customWidth="1"/>
    <col min="10248" max="10496" width="9.140625" style="6"/>
    <col min="10497" max="10499" width="9.28515625" style="6" bestFit="1" customWidth="1"/>
    <col min="10500" max="10500" width="11" style="6" bestFit="1" customWidth="1"/>
    <col min="10501" max="10501" width="35.7109375" style="6" bestFit="1" customWidth="1"/>
    <col min="10502" max="10502" width="23.85546875" style="6" bestFit="1" customWidth="1"/>
    <col min="10503" max="10503" width="20.5703125" style="6" bestFit="1" customWidth="1"/>
    <col min="10504" max="10752" width="9.140625" style="6"/>
    <col min="10753" max="10755" width="9.28515625" style="6" bestFit="1" customWidth="1"/>
    <col min="10756" max="10756" width="11" style="6" bestFit="1" customWidth="1"/>
    <col min="10757" max="10757" width="35.7109375" style="6" bestFit="1" customWidth="1"/>
    <col min="10758" max="10758" width="23.85546875" style="6" bestFit="1" customWidth="1"/>
    <col min="10759" max="10759" width="20.5703125" style="6" bestFit="1" customWidth="1"/>
    <col min="10760" max="11008" width="9.140625" style="6"/>
    <col min="11009" max="11011" width="9.28515625" style="6" bestFit="1" customWidth="1"/>
    <col min="11012" max="11012" width="11" style="6" bestFit="1" customWidth="1"/>
    <col min="11013" max="11013" width="35.7109375" style="6" bestFit="1" customWidth="1"/>
    <col min="11014" max="11014" width="23.85546875" style="6" bestFit="1" customWidth="1"/>
    <col min="11015" max="11015" width="20.5703125" style="6" bestFit="1" customWidth="1"/>
    <col min="11016" max="11264" width="9.140625" style="6"/>
    <col min="11265" max="11267" width="9.28515625" style="6" bestFit="1" customWidth="1"/>
    <col min="11268" max="11268" width="11" style="6" bestFit="1" customWidth="1"/>
    <col min="11269" max="11269" width="35.7109375" style="6" bestFit="1" customWidth="1"/>
    <col min="11270" max="11270" width="23.85546875" style="6" bestFit="1" customWidth="1"/>
    <col min="11271" max="11271" width="20.5703125" style="6" bestFit="1" customWidth="1"/>
    <col min="11272" max="11520" width="9.140625" style="6"/>
    <col min="11521" max="11523" width="9.28515625" style="6" bestFit="1" customWidth="1"/>
    <col min="11524" max="11524" width="11" style="6" bestFit="1" customWidth="1"/>
    <col min="11525" max="11525" width="35.7109375" style="6" bestFit="1" customWidth="1"/>
    <col min="11526" max="11526" width="23.85546875" style="6" bestFit="1" customWidth="1"/>
    <col min="11527" max="11527" width="20.5703125" style="6" bestFit="1" customWidth="1"/>
    <col min="11528" max="11776" width="9.140625" style="6"/>
    <col min="11777" max="11779" width="9.28515625" style="6" bestFit="1" customWidth="1"/>
    <col min="11780" max="11780" width="11" style="6" bestFit="1" customWidth="1"/>
    <col min="11781" max="11781" width="35.7109375" style="6" bestFit="1" customWidth="1"/>
    <col min="11782" max="11782" width="23.85546875" style="6" bestFit="1" customWidth="1"/>
    <col min="11783" max="11783" width="20.5703125" style="6" bestFit="1" customWidth="1"/>
    <col min="11784" max="12032" width="9.140625" style="6"/>
    <col min="12033" max="12035" width="9.28515625" style="6" bestFit="1" customWidth="1"/>
    <col min="12036" max="12036" width="11" style="6" bestFit="1" customWidth="1"/>
    <col min="12037" max="12037" width="35.7109375" style="6" bestFit="1" customWidth="1"/>
    <col min="12038" max="12038" width="23.85546875" style="6" bestFit="1" customWidth="1"/>
    <col min="12039" max="12039" width="20.5703125" style="6" bestFit="1" customWidth="1"/>
    <col min="12040" max="12288" width="9.140625" style="6"/>
    <col min="12289" max="12291" width="9.28515625" style="6" bestFit="1" customWidth="1"/>
    <col min="12292" max="12292" width="11" style="6" bestFit="1" customWidth="1"/>
    <col min="12293" max="12293" width="35.7109375" style="6" bestFit="1" customWidth="1"/>
    <col min="12294" max="12294" width="23.85546875" style="6" bestFit="1" customWidth="1"/>
    <col min="12295" max="12295" width="20.5703125" style="6" bestFit="1" customWidth="1"/>
    <col min="12296" max="12544" width="9.140625" style="6"/>
    <col min="12545" max="12547" width="9.28515625" style="6" bestFit="1" customWidth="1"/>
    <col min="12548" max="12548" width="11" style="6" bestFit="1" customWidth="1"/>
    <col min="12549" max="12549" width="35.7109375" style="6" bestFit="1" customWidth="1"/>
    <col min="12550" max="12550" width="23.85546875" style="6" bestFit="1" customWidth="1"/>
    <col min="12551" max="12551" width="20.5703125" style="6" bestFit="1" customWidth="1"/>
    <col min="12552" max="12800" width="9.140625" style="6"/>
    <col min="12801" max="12803" width="9.28515625" style="6" bestFit="1" customWidth="1"/>
    <col min="12804" max="12804" width="11" style="6" bestFit="1" customWidth="1"/>
    <col min="12805" max="12805" width="35.7109375" style="6" bestFit="1" customWidth="1"/>
    <col min="12806" max="12806" width="23.85546875" style="6" bestFit="1" customWidth="1"/>
    <col min="12807" max="12807" width="20.5703125" style="6" bestFit="1" customWidth="1"/>
    <col min="12808" max="13056" width="9.140625" style="6"/>
    <col min="13057" max="13059" width="9.28515625" style="6" bestFit="1" customWidth="1"/>
    <col min="13060" max="13060" width="11" style="6" bestFit="1" customWidth="1"/>
    <col min="13061" max="13061" width="35.7109375" style="6" bestFit="1" customWidth="1"/>
    <col min="13062" max="13062" width="23.85546875" style="6" bestFit="1" customWidth="1"/>
    <col min="13063" max="13063" width="20.5703125" style="6" bestFit="1" customWidth="1"/>
    <col min="13064" max="13312" width="9.140625" style="6"/>
    <col min="13313" max="13315" width="9.28515625" style="6" bestFit="1" customWidth="1"/>
    <col min="13316" max="13316" width="11" style="6" bestFit="1" customWidth="1"/>
    <col min="13317" max="13317" width="35.7109375" style="6" bestFit="1" customWidth="1"/>
    <col min="13318" max="13318" width="23.85546875" style="6" bestFit="1" customWidth="1"/>
    <col min="13319" max="13319" width="20.5703125" style="6" bestFit="1" customWidth="1"/>
    <col min="13320" max="13568" width="9.140625" style="6"/>
    <col min="13569" max="13571" width="9.28515625" style="6" bestFit="1" customWidth="1"/>
    <col min="13572" max="13572" width="11" style="6" bestFit="1" customWidth="1"/>
    <col min="13573" max="13573" width="35.7109375" style="6" bestFit="1" customWidth="1"/>
    <col min="13574" max="13574" width="23.85546875" style="6" bestFit="1" customWidth="1"/>
    <col min="13575" max="13575" width="20.5703125" style="6" bestFit="1" customWidth="1"/>
    <col min="13576" max="13824" width="9.140625" style="6"/>
    <col min="13825" max="13827" width="9.28515625" style="6" bestFit="1" customWidth="1"/>
    <col min="13828" max="13828" width="11" style="6" bestFit="1" customWidth="1"/>
    <col min="13829" max="13829" width="35.7109375" style="6" bestFit="1" customWidth="1"/>
    <col min="13830" max="13830" width="23.85546875" style="6" bestFit="1" customWidth="1"/>
    <col min="13831" max="13831" width="20.5703125" style="6" bestFit="1" customWidth="1"/>
    <col min="13832" max="14080" width="9.140625" style="6"/>
    <col min="14081" max="14083" width="9.28515625" style="6" bestFit="1" customWidth="1"/>
    <col min="14084" max="14084" width="11" style="6" bestFit="1" customWidth="1"/>
    <col min="14085" max="14085" width="35.7109375" style="6" bestFit="1" customWidth="1"/>
    <col min="14086" max="14086" width="23.85546875" style="6" bestFit="1" customWidth="1"/>
    <col min="14087" max="14087" width="20.5703125" style="6" bestFit="1" customWidth="1"/>
    <col min="14088" max="14336" width="9.140625" style="6"/>
    <col min="14337" max="14339" width="9.28515625" style="6" bestFit="1" customWidth="1"/>
    <col min="14340" max="14340" width="11" style="6" bestFit="1" customWidth="1"/>
    <col min="14341" max="14341" width="35.7109375" style="6" bestFit="1" customWidth="1"/>
    <col min="14342" max="14342" width="23.85546875" style="6" bestFit="1" customWidth="1"/>
    <col min="14343" max="14343" width="20.5703125" style="6" bestFit="1" customWidth="1"/>
    <col min="14344" max="14592" width="9.140625" style="6"/>
    <col min="14593" max="14595" width="9.28515625" style="6" bestFit="1" customWidth="1"/>
    <col min="14596" max="14596" width="11" style="6" bestFit="1" customWidth="1"/>
    <col min="14597" max="14597" width="35.7109375" style="6" bestFit="1" customWidth="1"/>
    <col min="14598" max="14598" width="23.85546875" style="6" bestFit="1" customWidth="1"/>
    <col min="14599" max="14599" width="20.5703125" style="6" bestFit="1" customWidth="1"/>
    <col min="14600" max="14848" width="9.140625" style="6"/>
    <col min="14849" max="14851" width="9.28515625" style="6" bestFit="1" customWidth="1"/>
    <col min="14852" max="14852" width="11" style="6" bestFit="1" customWidth="1"/>
    <col min="14853" max="14853" width="35.7109375" style="6" bestFit="1" customWidth="1"/>
    <col min="14854" max="14854" width="23.85546875" style="6" bestFit="1" customWidth="1"/>
    <col min="14855" max="14855" width="20.5703125" style="6" bestFit="1" customWidth="1"/>
    <col min="14856" max="15104" width="9.140625" style="6"/>
    <col min="15105" max="15107" width="9.28515625" style="6" bestFit="1" customWidth="1"/>
    <col min="15108" max="15108" width="11" style="6" bestFit="1" customWidth="1"/>
    <col min="15109" max="15109" width="35.7109375" style="6" bestFit="1" customWidth="1"/>
    <col min="15110" max="15110" width="23.85546875" style="6" bestFit="1" customWidth="1"/>
    <col min="15111" max="15111" width="20.5703125" style="6" bestFit="1" customWidth="1"/>
    <col min="15112" max="15360" width="9.140625" style="6"/>
    <col min="15361" max="15363" width="9.28515625" style="6" bestFit="1" customWidth="1"/>
    <col min="15364" max="15364" width="11" style="6" bestFit="1" customWidth="1"/>
    <col min="15365" max="15365" width="35.7109375" style="6" bestFit="1" customWidth="1"/>
    <col min="15366" max="15366" width="23.85546875" style="6" bestFit="1" customWidth="1"/>
    <col min="15367" max="15367" width="20.5703125" style="6" bestFit="1" customWidth="1"/>
    <col min="15368" max="15616" width="9.140625" style="6"/>
    <col min="15617" max="15619" width="9.28515625" style="6" bestFit="1" customWidth="1"/>
    <col min="15620" max="15620" width="11" style="6" bestFit="1" customWidth="1"/>
    <col min="15621" max="15621" width="35.7109375" style="6" bestFit="1" customWidth="1"/>
    <col min="15622" max="15622" width="23.85546875" style="6" bestFit="1" customWidth="1"/>
    <col min="15623" max="15623" width="20.5703125" style="6" bestFit="1" customWidth="1"/>
    <col min="15624" max="15872" width="9.140625" style="6"/>
    <col min="15873" max="15875" width="9.28515625" style="6" bestFit="1" customWidth="1"/>
    <col min="15876" max="15876" width="11" style="6" bestFit="1" customWidth="1"/>
    <col min="15877" max="15877" width="35.7109375" style="6" bestFit="1" customWidth="1"/>
    <col min="15878" max="15878" width="23.85546875" style="6" bestFit="1" customWidth="1"/>
    <col min="15879" max="15879" width="20.5703125" style="6" bestFit="1" customWidth="1"/>
    <col min="15880" max="16128" width="9.140625" style="6"/>
    <col min="16129" max="16131" width="9.28515625" style="6" bestFit="1" customWidth="1"/>
    <col min="16132" max="16132" width="11" style="6" bestFit="1" customWidth="1"/>
    <col min="16133" max="16133" width="35.7109375" style="6" bestFit="1" customWidth="1"/>
    <col min="16134" max="16134" width="23.85546875" style="6" bestFit="1" customWidth="1"/>
    <col min="16135" max="16135" width="20.5703125" style="6" bestFit="1" customWidth="1"/>
    <col min="16136" max="16384" width="9.140625" style="6"/>
  </cols>
  <sheetData>
    <row r="1" spans="1:10" s="18" customFormat="1" ht="26.25" customHeight="1" thickBot="1">
      <c r="A1" s="46" t="s">
        <v>138</v>
      </c>
      <c r="B1" s="46" t="s">
        <v>139</v>
      </c>
      <c r="C1" s="46" t="s">
        <v>140</v>
      </c>
      <c r="D1" s="47" t="s">
        <v>141</v>
      </c>
      <c r="E1" s="46" t="s">
        <v>142</v>
      </c>
      <c r="F1" s="48" t="s">
        <v>143</v>
      </c>
      <c r="G1" s="48" t="s">
        <v>144</v>
      </c>
      <c r="H1" s="46" t="s">
        <v>145</v>
      </c>
    </row>
    <row r="2" spans="1:10" s="7" customFormat="1" ht="21" customHeight="1" thickTop="1">
      <c r="A2" s="148">
        <v>2568</v>
      </c>
      <c r="B2" s="173">
        <v>1</v>
      </c>
      <c r="C2" s="173">
        <v>1</v>
      </c>
      <c r="D2" s="140">
        <v>1500400004.0999999</v>
      </c>
      <c r="E2" s="141" t="s">
        <v>118</v>
      </c>
      <c r="F2" s="53">
        <v>3378540</v>
      </c>
      <c r="G2" s="53">
        <v>2527459.0299999998</v>
      </c>
      <c r="H2" s="53">
        <v>74.809208415469399</v>
      </c>
      <c r="I2" s="9"/>
    </row>
    <row r="3" spans="1:10" ht="21" customHeight="1">
      <c r="A3" s="149">
        <v>2568</v>
      </c>
      <c r="B3" s="142">
        <v>1</v>
      </c>
      <c r="C3" s="142">
        <v>1</v>
      </c>
      <c r="D3" s="143">
        <v>1500400125</v>
      </c>
      <c r="E3" s="144" t="s">
        <v>123</v>
      </c>
      <c r="F3" s="54">
        <v>410327585</v>
      </c>
      <c r="G3" s="54">
        <v>208744050</v>
      </c>
      <c r="H3" s="54">
        <v>50.872536390649927</v>
      </c>
      <c r="I3" s="10"/>
    </row>
    <row r="4" spans="1:10" ht="21" customHeight="1">
      <c r="A4" s="149">
        <v>2568</v>
      </c>
      <c r="B4" s="142">
        <v>1</v>
      </c>
      <c r="C4" s="142">
        <v>1</v>
      </c>
      <c r="D4" s="143">
        <v>1500400006</v>
      </c>
      <c r="E4" s="145" t="s">
        <v>125</v>
      </c>
      <c r="F4" s="54">
        <v>816400</v>
      </c>
      <c r="G4" s="54">
        <v>380186.37</v>
      </c>
      <c r="H4" s="54">
        <v>46.56863914747673</v>
      </c>
      <c r="I4" s="10"/>
    </row>
    <row r="5" spans="1:10" ht="21" customHeight="1">
      <c r="A5" s="149">
        <v>2568</v>
      </c>
      <c r="B5" s="142">
        <v>1</v>
      </c>
      <c r="C5" s="142">
        <v>1</v>
      </c>
      <c r="D5" s="143">
        <v>1500400004</v>
      </c>
      <c r="E5" s="145" t="s">
        <v>126</v>
      </c>
      <c r="F5" s="54">
        <v>3124344</v>
      </c>
      <c r="G5" s="54">
        <v>1418739</v>
      </c>
      <c r="H5" s="54">
        <v>45.409180295127555</v>
      </c>
      <c r="I5" s="10"/>
    </row>
    <row r="6" spans="1:10" ht="21" customHeight="1">
      <c r="A6" s="149">
        <v>2568</v>
      </c>
      <c r="B6" s="142">
        <v>1</v>
      </c>
      <c r="C6" s="142">
        <v>1</v>
      </c>
      <c r="D6" s="143">
        <v>1500400003</v>
      </c>
      <c r="E6" s="146" t="s">
        <v>122</v>
      </c>
      <c r="F6" s="54">
        <v>4397300</v>
      </c>
      <c r="G6" s="54">
        <v>1914693.67</v>
      </c>
      <c r="H6" s="54">
        <v>43.542484479112183</v>
      </c>
      <c r="I6" s="10"/>
    </row>
    <row r="7" spans="1:10" s="17" customFormat="1" ht="21" customHeight="1">
      <c r="A7" s="149">
        <v>2568</v>
      </c>
      <c r="B7" s="142">
        <v>1</v>
      </c>
      <c r="C7" s="142">
        <v>1</v>
      </c>
      <c r="D7" s="147">
        <v>1500400009</v>
      </c>
      <c r="E7" s="146" t="s">
        <v>119</v>
      </c>
      <c r="F7" s="54">
        <v>1565900</v>
      </c>
      <c r="G7" s="54">
        <v>675959</v>
      </c>
      <c r="H7" s="54">
        <v>43.167443642633629</v>
      </c>
      <c r="I7" s="16"/>
    </row>
    <row r="8" spans="1:10" s="17" customFormat="1" ht="21" customHeight="1">
      <c r="A8" s="149">
        <v>2568</v>
      </c>
      <c r="B8" s="142">
        <v>1</v>
      </c>
      <c r="C8" s="142">
        <v>1</v>
      </c>
      <c r="D8" s="147">
        <v>1500400001</v>
      </c>
      <c r="E8" s="145" t="s">
        <v>121</v>
      </c>
      <c r="F8" s="97">
        <v>384800</v>
      </c>
      <c r="G8" s="97">
        <v>152487</v>
      </c>
      <c r="H8" s="54">
        <v>39.62759875259875</v>
      </c>
      <c r="I8" s="16"/>
    </row>
    <row r="9" spans="1:10" ht="21" customHeight="1">
      <c r="A9" s="149">
        <v>2568</v>
      </c>
      <c r="B9" s="142">
        <v>1</v>
      </c>
      <c r="C9" s="142">
        <v>1</v>
      </c>
      <c r="D9" s="147">
        <v>1500400007</v>
      </c>
      <c r="E9" s="145" t="s">
        <v>124</v>
      </c>
      <c r="F9" s="54">
        <v>3170800</v>
      </c>
      <c r="G9" s="54">
        <v>961020.05</v>
      </c>
      <c r="H9" s="54">
        <v>30.308441087422732</v>
      </c>
      <c r="I9" s="10"/>
    </row>
    <row r="10" spans="1:10" ht="21" customHeight="1">
      <c r="A10" s="149">
        <v>2568</v>
      </c>
      <c r="B10" s="142">
        <v>1</v>
      </c>
      <c r="C10" s="142">
        <v>1</v>
      </c>
      <c r="D10" s="143">
        <v>1500400002</v>
      </c>
      <c r="E10" s="145" t="s">
        <v>89</v>
      </c>
      <c r="F10" s="54">
        <v>2225000</v>
      </c>
      <c r="G10" s="54">
        <v>270829.71999999997</v>
      </c>
      <c r="H10" s="54">
        <v>12.172122247191009</v>
      </c>
      <c r="I10" s="10"/>
    </row>
    <row r="11" spans="1:10" ht="21" customHeight="1">
      <c r="A11" s="149">
        <v>2568</v>
      </c>
      <c r="B11" s="142">
        <v>1</v>
      </c>
      <c r="C11" s="142">
        <v>1</v>
      </c>
      <c r="D11" s="143">
        <v>1500400010</v>
      </c>
      <c r="E11" s="145" t="s">
        <v>148</v>
      </c>
      <c r="F11" s="54">
        <v>2513500</v>
      </c>
      <c r="G11" s="54">
        <v>153974.51999999999</v>
      </c>
      <c r="H11" s="54">
        <v>6.1259009349512628</v>
      </c>
      <c r="I11" s="10"/>
    </row>
    <row r="12" spans="1:10" ht="21" customHeight="1">
      <c r="A12" s="149">
        <v>2568</v>
      </c>
      <c r="B12" s="142">
        <v>1</v>
      </c>
      <c r="C12" s="142">
        <v>1</v>
      </c>
      <c r="D12" s="143">
        <v>1500400008</v>
      </c>
      <c r="E12" s="145" t="s">
        <v>120</v>
      </c>
      <c r="F12" s="54">
        <v>17128400</v>
      </c>
      <c r="G12" s="54">
        <v>793813</v>
      </c>
      <c r="H12" s="54">
        <v>4.6344842483828028</v>
      </c>
      <c r="I12" s="10"/>
    </row>
    <row r="13" spans="1:10" ht="21" customHeight="1">
      <c r="A13" s="149">
        <v>2568</v>
      </c>
      <c r="B13" s="142">
        <v>1</v>
      </c>
      <c r="C13" s="142">
        <v>1</v>
      </c>
      <c r="D13" s="143">
        <v>1500400112</v>
      </c>
      <c r="E13" s="145" t="s">
        <v>199</v>
      </c>
      <c r="F13" s="54">
        <v>523900</v>
      </c>
      <c r="G13" s="54">
        <v>22464</v>
      </c>
      <c r="H13" s="54">
        <v>4.2878411910669971</v>
      </c>
      <c r="I13" s="10"/>
    </row>
    <row r="14" spans="1:10" s="17" customFormat="1" ht="21" customHeight="1">
      <c r="A14" s="149">
        <v>2568</v>
      </c>
      <c r="B14" s="142">
        <v>1</v>
      </c>
      <c r="C14" s="142">
        <v>1</v>
      </c>
      <c r="D14" s="147">
        <v>1500400111</v>
      </c>
      <c r="E14" s="144" t="s">
        <v>237</v>
      </c>
      <c r="F14" s="54">
        <v>132961480</v>
      </c>
      <c r="G14" s="54">
        <v>2395166.36</v>
      </c>
      <c r="H14" s="54">
        <v>1.8013986908087967</v>
      </c>
      <c r="I14" s="16"/>
      <c r="J14" s="16"/>
    </row>
    <row r="15" spans="1:10" ht="21" customHeight="1">
      <c r="A15" s="149">
        <v>2568</v>
      </c>
      <c r="B15" s="142">
        <v>1</v>
      </c>
      <c r="C15" s="142">
        <v>1</v>
      </c>
      <c r="D15" s="143">
        <v>1500400011</v>
      </c>
      <c r="E15" s="145" t="s">
        <v>117</v>
      </c>
      <c r="F15" s="54">
        <v>1224900</v>
      </c>
      <c r="G15" s="54">
        <v>5350</v>
      </c>
      <c r="H15" s="54">
        <v>0.43677034859988573</v>
      </c>
      <c r="I15" s="10"/>
      <c r="J15" s="10"/>
    </row>
    <row r="16" spans="1:10">
      <c r="A16" s="150"/>
      <c r="B16" s="32"/>
      <c r="C16" s="32"/>
      <c r="D16" s="30"/>
      <c r="E16" s="30"/>
      <c r="F16" s="31"/>
      <c r="G16" s="31"/>
      <c r="H16" s="30"/>
      <c r="I16" s="10"/>
      <c r="J16" s="10"/>
    </row>
    <row r="17" spans="1:10">
      <c r="A17" s="150"/>
      <c r="B17" s="32"/>
      <c r="C17" s="32"/>
      <c r="D17" s="30"/>
      <c r="E17" s="30"/>
      <c r="F17" s="31"/>
      <c r="G17" s="31"/>
      <c r="H17" s="30"/>
      <c r="I17" s="10"/>
      <c r="J17" s="10"/>
    </row>
  </sheetData>
  <sortState xmlns:xlrd2="http://schemas.microsoft.com/office/spreadsheetml/2017/richdata2" ref="E2:H15">
    <sortCondition descending="1" ref="H2:H15"/>
  </sortState>
  <pageMargins left="0.7" right="0.7" top="0.75" bottom="0.75" header="0.3" footer="0.3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/>
  <dimension ref="A1:I88"/>
  <sheetViews>
    <sheetView zoomScaleNormal="100" workbookViewId="0">
      <selection activeCell="J10" sqref="J10"/>
    </sheetView>
  </sheetViews>
  <sheetFormatPr defaultRowHeight="18"/>
  <cols>
    <col min="1" max="2" width="9.140625" style="19"/>
    <col min="3" max="3" width="9.140625" style="20"/>
    <col min="4" max="4" width="16.42578125" style="21" customWidth="1"/>
    <col min="5" max="5" width="19.85546875" style="22" customWidth="1"/>
    <col min="6" max="6" width="19.85546875" style="23" customWidth="1"/>
    <col min="7" max="7" width="21.42578125" style="23" customWidth="1"/>
    <col min="8" max="8" width="13.140625" style="22" customWidth="1"/>
    <col min="9" max="9" width="13" style="6" hidden="1" customWidth="1"/>
    <col min="10" max="259" width="9.140625" style="6"/>
    <col min="260" max="260" width="12.42578125" style="6" bestFit="1" customWidth="1"/>
    <col min="261" max="261" width="14.5703125" style="6" bestFit="1" customWidth="1"/>
    <col min="262" max="262" width="15" style="6" bestFit="1" customWidth="1"/>
    <col min="263" max="263" width="14" style="6" bestFit="1" customWidth="1"/>
    <col min="264" max="264" width="9.28515625" style="6" bestFit="1" customWidth="1"/>
    <col min="265" max="515" width="9.140625" style="6"/>
    <col min="516" max="516" width="12.42578125" style="6" bestFit="1" customWidth="1"/>
    <col min="517" max="517" width="14.5703125" style="6" bestFit="1" customWidth="1"/>
    <col min="518" max="518" width="15" style="6" bestFit="1" customWidth="1"/>
    <col min="519" max="519" width="14" style="6" bestFit="1" customWidth="1"/>
    <col min="520" max="520" width="9.28515625" style="6" bestFit="1" customWidth="1"/>
    <col min="521" max="771" width="9.140625" style="6"/>
    <col min="772" max="772" width="12.42578125" style="6" bestFit="1" customWidth="1"/>
    <col min="773" max="773" width="14.5703125" style="6" bestFit="1" customWidth="1"/>
    <col min="774" max="774" width="15" style="6" bestFit="1" customWidth="1"/>
    <col min="775" max="775" width="14" style="6" bestFit="1" customWidth="1"/>
    <col min="776" max="776" width="9.28515625" style="6" bestFit="1" customWidth="1"/>
    <col min="777" max="1027" width="9.140625" style="6"/>
    <col min="1028" max="1028" width="12.42578125" style="6" bestFit="1" customWidth="1"/>
    <col min="1029" max="1029" width="14.5703125" style="6" bestFit="1" customWidth="1"/>
    <col min="1030" max="1030" width="15" style="6" bestFit="1" customWidth="1"/>
    <col min="1031" max="1031" width="14" style="6" bestFit="1" customWidth="1"/>
    <col min="1032" max="1032" width="9.28515625" style="6" bestFit="1" customWidth="1"/>
    <col min="1033" max="1283" width="9.140625" style="6"/>
    <col min="1284" max="1284" width="12.42578125" style="6" bestFit="1" customWidth="1"/>
    <col min="1285" max="1285" width="14.5703125" style="6" bestFit="1" customWidth="1"/>
    <col min="1286" max="1286" width="15" style="6" bestFit="1" customWidth="1"/>
    <col min="1287" max="1287" width="14" style="6" bestFit="1" customWidth="1"/>
    <col min="1288" max="1288" width="9.28515625" style="6" bestFit="1" customWidth="1"/>
    <col min="1289" max="1539" width="9.140625" style="6"/>
    <col min="1540" max="1540" width="12.42578125" style="6" bestFit="1" customWidth="1"/>
    <col min="1541" max="1541" width="14.5703125" style="6" bestFit="1" customWidth="1"/>
    <col min="1542" max="1542" width="15" style="6" bestFit="1" customWidth="1"/>
    <col min="1543" max="1543" width="14" style="6" bestFit="1" customWidth="1"/>
    <col min="1544" max="1544" width="9.28515625" style="6" bestFit="1" customWidth="1"/>
    <col min="1545" max="1795" width="9.140625" style="6"/>
    <col min="1796" max="1796" width="12.42578125" style="6" bestFit="1" customWidth="1"/>
    <col min="1797" max="1797" width="14.5703125" style="6" bestFit="1" customWidth="1"/>
    <col min="1798" max="1798" width="15" style="6" bestFit="1" customWidth="1"/>
    <col min="1799" max="1799" width="14" style="6" bestFit="1" customWidth="1"/>
    <col min="1800" max="1800" width="9.28515625" style="6" bestFit="1" customWidth="1"/>
    <col min="1801" max="2051" width="9.140625" style="6"/>
    <col min="2052" max="2052" width="12.42578125" style="6" bestFit="1" customWidth="1"/>
    <col min="2053" max="2053" width="14.5703125" style="6" bestFit="1" customWidth="1"/>
    <col min="2054" max="2054" width="15" style="6" bestFit="1" customWidth="1"/>
    <col min="2055" max="2055" width="14" style="6" bestFit="1" customWidth="1"/>
    <col min="2056" max="2056" width="9.28515625" style="6" bestFit="1" customWidth="1"/>
    <col min="2057" max="2307" width="9.140625" style="6"/>
    <col min="2308" max="2308" width="12.42578125" style="6" bestFit="1" customWidth="1"/>
    <col min="2309" max="2309" width="14.5703125" style="6" bestFit="1" customWidth="1"/>
    <col min="2310" max="2310" width="15" style="6" bestFit="1" customWidth="1"/>
    <col min="2311" max="2311" width="14" style="6" bestFit="1" customWidth="1"/>
    <col min="2312" max="2312" width="9.28515625" style="6" bestFit="1" customWidth="1"/>
    <col min="2313" max="2563" width="9.140625" style="6"/>
    <col min="2564" max="2564" width="12.42578125" style="6" bestFit="1" customWidth="1"/>
    <col min="2565" max="2565" width="14.5703125" style="6" bestFit="1" customWidth="1"/>
    <col min="2566" max="2566" width="15" style="6" bestFit="1" customWidth="1"/>
    <col min="2567" max="2567" width="14" style="6" bestFit="1" customWidth="1"/>
    <col min="2568" max="2568" width="9.28515625" style="6" bestFit="1" customWidth="1"/>
    <col min="2569" max="2819" width="9.140625" style="6"/>
    <col min="2820" max="2820" width="12.42578125" style="6" bestFit="1" customWidth="1"/>
    <col min="2821" max="2821" width="14.5703125" style="6" bestFit="1" customWidth="1"/>
    <col min="2822" max="2822" width="15" style="6" bestFit="1" customWidth="1"/>
    <col min="2823" max="2823" width="14" style="6" bestFit="1" customWidth="1"/>
    <col min="2824" max="2824" width="9.28515625" style="6" bestFit="1" customWidth="1"/>
    <col min="2825" max="3075" width="9.140625" style="6"/>
    <col min="3076" max="3076" width="12.42578125" style="6" bestFit="1" customWidth="1"/>
    <col min="3077" max="3077" width="14.5703125" style="6" bestFit="1" customWidth="1"/>
    <col min="3078" max="3078" width="15" style="6" bestFit="1" customWidth="1"/>
    <col min="3079" max="3079" width="14" style="6" bestFit="1" customWidth="1"/>
    <col min="3080" max="3080" width="9.28515625" style="6" bestFit="1" customWidth="1"/>
    <col min="3081" max="3331" width="9.140625" style="6"/>
    <col min="3332" max="3332" width="12.42578125" style="6" bestFit="1" customWidth="1"/>
    <col min="3333" max="3333" width="14.5703125" style="6" bestFit="1" customWidth="1"/>
    <col min="3334" max="3334" width="15" style="6" bestFit="1" customWidth="1"/>
    <col min="3335" max="3335" width="14" style="6" bestFit="1" customWidth="1"/>
    <col min="3336" max="3336" width="9.28515625" style="6" bestFit="1" customWidth="1"/>
    <col min="3337" max="3587" width="9.140625" style="6"/>
    <col min="3588" max="3588" width="12.42578125" style="6" bestFit="1" customWidth="1"/>
    <col min="3589" max="3589" width="14.5703125" style="6" bestFit="1" customWidth="1"/>
    <col min="3590" max="3590" width="15" style="6" bestFit="1" customWidth="1"/>
    <col min="3591" max="3591" width="14" style="6" bestFit="1" customWidth="1"/>
    <col min="3592" max="3592" width="9.28515625" style="6" bestFit="1" customWidth="1"/>
    <col min="3593" max="3843" width="9.140625" style="6"/>
    <col min="3844" max="3844" width="12.42578125" style="6" bestFit="1" customWidth="1"/>
    <col min="3845" max="3845" width="14.5703125" style="6" bestFit="1" customWidth="1"/>
    <col min="3846" max="3846" width="15" style="6" bestFit="1" customWidth="1"/>
    <col min="3847" max="3847" width="14" style="6" bestFit="1" customWidth="1"/>
    <col min="3848" max="3848" width="9.28515625" style="6" bestFit="1" customWidth="1"/>
    <col min="3849" max="4099" width="9.140625" style="6"/>
    <col min="4100" max="4100" width="12.42578125" style="6" bestFit="1" customWidth="1"/>
    <col min="4101" max="4101" width="14.5703125" style="6" bestFit="1" customWidth="1"/>
    <col min="4102" max="4102" width="15" style="6" bestFit="1" customWidth="1"/>
    <col min="4103" max="4103" width="14" style="6" bestFit="1" customWidth="1"/>
    <col min="4104" max="4104" width="9.28515625" style="6" bestFit="1" customWidth="1"/>
    <col min="4105" max="4355" width="9.140625" style="6"/>
    <col min="4356" max="4356" width="12.42578125" style="6" bestFit="1" customWidth="1"/>
    <col min="4357" max="4357" width="14.5703125" style="6" bestFit="1" customWidth="1"/>
    <col min="4358" max="4358" width="15" style="6" bestFit="1" customWidth="1"/>
    <col min="4359" max="4359" width="14" style="6" bestFit="1" customWidth="1"/>
    <col min="4360" max="4360" width="9.28515625" style="6" bestFit="1" customWidth="1"/>
    <col min="4361" max="4611" width="9.140625" style="6"/>
    <col min="4612" max="4612" width="12.42578125" style="6" bestFit="1" customWidth="1"/>
    <col min="4613" max="4613" width="14.5703125" style="6" bestFit="1" customWidth="1"/>
    <col min="4614" max="4614" width="15" style="6" bestFit="1" customWidth="1"/>
    <col min="4615" max="4615" width="14" style="6" bestFit="1" customWidth="1"/>
    <col min="4616" max="4616" width="9.28515625" style="6" bestFit="1" customWidth="1"/>
    <col min="4617" max="4867" width="9.140625" style="6"/>
    <col min="4868" max="4868" width="12.42578125" style="6" bestFit="1" customWidth="1"/>
    <col min="4869" max="4869" width="14.5703125" style="6" bestFit="1" customWidth="1"/>
    <col min="4870" max="4870" width="15" style="6" bestFit="1" customWidth="1"/>
    <col min="4871" max="4871" width="14" style="6" bestFit="1" customWidth="1"/>
    <col min="4872" max="4872" width="9.28515625" style="6" bestFit="1" customWidth="1"/>
    <col min="4873" max="5123" width="9.140625" style="6"/>
    <col min="5124" max="5124" width="12.42578125" style="6" bestFit="1" customWidth="1"/>
    <col min="5125" max="5125" width="14.5703125" style="6" bestFit="1" customWidth="1"/>
    <col min="5126" max="5126" width="15" style="6" bestFit="1" customWidth="1"/>
    <col min="5127" max="5127" width="14" style="6" bestFit="1" customWidth="1"/>
    <col min="5128" max="5128" width="9.28515625" style="6" bestFit="1" customWidth="1"/>
    <col min="5129" max="5379" width="9.140625" style="6"/>
    <col min="5380" max="5380" width="12.42578125" style="6" bestFit="1" customWidth="1"/>
    <col min="5381" max="5381" width="14.5703125" style="6" bestFit="1" customWidth="1"/>
    <col min="5382" max="5382" width="15" style="6" bestFit="1" customWidth="1"/>
    <col min="5383" max="5383" width="14" style="6" bestFit="1" customWidth="1"/>
    <col min="5384" max="5384" width="9.28515625" style="6" bestFit="1" customWidth="1"/>
    <col min="5385" max="5635" width="9.140625" style="6"/>
    <col min="5636" max="5636" width="12.42578125" style="6" bestFit="1" customWidth="1"/>
    <col min="5637" max="5637" width="14.5703125" style="6" bestFit="1" customWidth="1"/>
    <col min="5638" max="5638" width="15" style="6" bestFit="1" customWidth="1"/>
    <col min="5639" max="5639" width="14" style="6" bestFit="1" customWidth="1"/>
    <col min="5640" max="5640" width="9.28515625" style="6" bestFit="1" customWidth="1"/>
    <col min="5641" max="5891" width="9.140625" style="6"/>
    <col min="5892" max="5892" width="12.42578125" style="6" bestFit="1" customWidth="1"/>
    <col min="5893" max="5893" width="14.5703125" style="6" bestFit="1" customWidth="1"/>
    <col min="5894" max="5894" width="15" style="6" bestFit="1" customWidth="1"/>
    <col min="5895" max="5895" width="14" style="6" bestFit="1" customWidth="1"/>
    <col min="5896" max="5896" width="9.28515625" style="6" bestFit="1" customWidth="1"/>
    <col min="5897" max="6147" width="9.140625" style="6"/>
    <col min="6148" max="6148" width="12.42578125" style="6" bestFit="1" customWidth="1"/>
    <col min="6149" max="6149" width="14.5703125" style="6" bestFit="1" customWidth="1"/>
    <col min="6150" max="6150" width="15" style="6" bestFit="1" customWidth="1"/>
    <col min="6151" max="6151" width="14" style="6" bestFit="1" customWidth="1"/>
    <col min="6152" max="6152" width="9.28515625" style="6" bestFit="1" customWidth="1"/>
    <col min="6153" max="6403" width="9.140625" style="6"/>
    <col min="6404" max="6404" width="12.42578125" style="6" bestFit="1" customWidth="1"/>
    <col min="6405" max="6405" width="14.5703125" style="6" bestFit="1" customWidth="1"/>
    <col min="6406" max="6406" width="15" style="6" bestFit="1" customWidth="1"/>
    <col min="6407" max="6407" width="14" style="6" bestFit="1" customWidth="1"/>
    <col min="6408" max="6408" width="9.28515625" style="6" bestFit="1" customWidth="1"/>
    <col min="6409" max="6659" width="9.140625" style="6"/>
    <col min="6660" max="6660" width="12.42578125" style="6" bestFit="1" customWidth="1"/>
    <col min="6661" max="6661" width="14.5703125" style="6" bestFit="1" customWidth="1"/>
    <col min="6662" max="6662" width="15" style="6" bestFit="1" customWidth="1"/>
    <col min="6663" max="6663" width="14" style="6" bestFit="1" customWidth="1"/>
    <col min="6664" max="6664" width="9.28515625" style="6" bestFit="1" customWidth="1"/>
    <col min="6665" max="6915" width="9.140625" style="6"/>
    <col min="6916" max="6916" width="12.42578125" style="6" bestFit="1" customWidth="1"/>
    <col min="6917" max="6917" width="14.5703125" style="6" bestFit="1" customWidth="1"/>
    <col min="6918" max="6918" width="15" style="6" bestFit="1" customWidth="1"/>
    <col min="6919" max="6919" width="14" style="6" bestFit="1" customWidth="1"/>
    <col min="6920" max="6920" width="9.28515625" style="6" bestFit="1" customWidth="1"/>
    <col min="6921" max="7171" width="9.140625" style="6"/>
    <col min="7172" max="7172" width="12.42578125" style="6" bestFit="1" customWidth="1"/>
    <col min="7173" max="7173" width="14.5703125" style="6" bestFit="1" customWidth="1"/>
    <col min="7174" max="7174" width="15" style="6" bestFit="1" customWidth="1"/>
    <col min="7175" max="7175" width="14" style="6" bestFit="1" customWidth="1"/>
    <col min="7176" max="7176" width="9.28515625" style="6" bestFit="1" customWidth="1"/>
    <col min="7177" max="7427" width="9.140625" style="6"/>
    <col min="7428" max="7428" width="12.42578125" style="6" bestFit="1" customWidth="1"/>
    <col min="7429" max="7429" width="14.5703125" style="6" bestFit="1" customWidth="1"/>
    <col min="7430" max="7430" width="15" style="6" bestFit="1" customWidth="1"/>
    <col min="7431" max="7431" width="14" style="6" bestFit="1" customWidth="1"/>
    <col min="7432" max="7432" width="9.28515625" style="6" bestFit="1" customWidth="1"/>
    <col min="7433" max="7683" width="9.140625" style="6"/>
    <col min="7684" max="7684" width="12.42578125" style="6" bestFit="1" customWidth="1"/>
    <col min="7685" max="7685" width="14.5703125" style="6" bestFit="1" customWidth="1"/>
    <col min="7686" max="7686" width="15" style="6" bestFit="1" customWidth="1"/>
    <col min="7687" max="7687" width="14" style="6" bestFit="1" customWidth="1"/>
    <col min="7688" max="7688" width="9.28515625" style="6" bestFit="1" customWidth="1"/>
    <col min="7689" max="7939" width="9.140625" style="6"/>
    <col min="7940" max="7940" width="12.42578125" style="6" bestFit="1" customWidth="1"/>
    <col min="7941" max="7941" width="14.5703125" style="6" bestFit="1" customWidth="1"/>
    <col min="7942" max="7942" width="15" style="6" bestFit="1" customWidth="1"/>
    <col min="7943" max="7943" width="14" style="6" bestFit="1" customWidth="1"/>
    <col min="7944" max="7944" width="9.28515625" style="6" bestFit="1" customWidth="1"/>
    <col min="7945" max="8195" width="9.140625" style="6"/>
    <col min="8196" max="8196" width="12.42578125" style="6" bestFit="1" customWidth="1"/>
    <col min="8197" max="8197" width="14.5703125" style="6" bestFit="1" customWidth="1"/>
    <col min="8198" max="8198" width="15" style="6" bestFit="1" customWidth="1"/>
    <col min="8199" max="8199" width="14" style="6" bestFit="1" customWidth="1"/>
    <col min="8200" max="8200" width="9.28515625" style="6" bestFit="1" customWidth="1"/>
    <col min="8201" max="8451" width="9.140625" style="6"/>
    <col min="8452" max="8452" width="12.42578125" style="6" bestFit="1" customWidth="1"/>
    <col min="8453" max="8453" width="14.5703125" style="6" bestFit="1" customWidth="1"/>
    <col min="8454" max="8454" width="15" style="6" bestFit="1" customWidth="1"/>
    <col min="8455" max="8455" width="14" style="6" bestFit="1" customWidth="1"/>
    <col min="8456" max="8456" width="9.28515625" style="6" bestFit="1" customWidth="1"/>
    <col min="8457" max="8707" width="9.140625" style="6"/>
    <col min="8708" max="8708" width="12.42578125" style="6" bestFit="1" customWidth="1"/>
    <col min="8709" max="8709" width="14.5703125" style="6" bestFit="1" customWidth="1"/>
    <col min="8710" max="8710" width="15" style="6" bestFit="1" customWidth="1"/>
    <col min="8711" max="8711" width="14" style="6" bestFit="1" customWidth="1"/>
    <col min="8712" max="8712" width="9.28515625" style="6" bestFit="1" customWidth="1"/>
    <col min="8713" max="8963" width="9.140625" style="6"/>
    <col min="8964" max="8964" width="12.42578125" style="6" bestFit="1" customWidth="1"/>
    <col min="8965" max="8965" width="14.5703125" style="6" bestFit="1" customWidth="1"/>
    <col min="8966" max="8966" width="15" style="6" bestFit="1" customWidth="1"/>
    <col min="8967" max="8967" width="14" style="6" bestFit="1" customWidth="1"/>
    <col min="8968" max="8968" width="9.28515625" style="6" bestFit="1" customWidth="1"/>
    <col min="8969" max="9219" width="9.140625" style="6"/>
    <col min="9220" max="9220" width="12.42578125" style="6" bestFit="1" customWidth="1"/>
    <col min="9221" max="9221" width="14.5703125" style="6" bestFit="1" customWidth="1"/>
    <col min="9222" max="9222" width="15" style="6" bestFit="1" customWidth="1"/>
    <col min="9223" max="9223" width="14" style="6" bestFit="1" customWidth="1"/>
    <col min="9224" max="9224" width="9.28515625" style="6" bestFit="1" customWidth="1"/>
    <col min="9225" max="9475" width="9.140625" style="6"/>
    <col min="9476" max="9476" width="12.42578125" style="6" bestFit="1" customWidth="1"/>
    <col min="9477" max="9477" width="14.5703125" style="6" bestFit="1" customWidth="1"/>
    <col min="9478" max="9478" width="15" style="6" bestFit="1" customWidth="1"/>
    <col min="9479" max="9479" width="14" style="6" bestFit="1" customWidth="1"/>
    <col min="9480" max="9480" width="9.28515625" style="6" bestFit="1" customWidth="1"/>
    <col min="9481" max="9731" width="9.140625" style="6"/>
    <col min="9732" max="9732" width="12.42578125" style="6" bestFit="1" customWidth="1"/>
    <col min="9733" max="9733" width="14.5703125" style="6" bestFit="1" customWidth="1"/>
    <col min="9734" max="9734" width="15" style="6" bestFit="1" customWidth="1"/>
    <col min="9735" max="9735" width="14" style="6" bestFit="1" customWidth="1"/>
    <col min="9736" max="9736" width="9.28515625" style="6" bestFit="1" customWidth="1"/>
    <col min="9737" max="9987" width="9.140625" style="6"/>
    <col min="9988" max="9988" width="12.42578125" style="6" bestFit="1" customWidth="1"/>
    <col min="9989" max="9989" width="14.5703125" style="6" bestFit="1" customWidth="1"/>
    <col min="9990" max="9990" width="15" style="6" bestFit="1" customWidth="1"/>
    <col min="9991" max="9991" width="14" style="6" bestFit="1" customWidth="1"/>
    <col min="9992" max="9992" width="9.28515625" style="6" bestFit="1" customWidth="1"/>
    <col min="9993" max="10243" width="9.140625" style="6"/>
    <col min="10244" max="10244" width="12.42578125" style="6" bestFit="1" customWidth="1"/>
    <col min="10245" max="10245" width="14.5703125" style="6" bestFit="1" customWidth="1"/>
    <col min="10246" max="10246" width="15" style="6" bestFit="1" customWidth="1"/>
    <col min="10247" max="10247" width="14" style="6" bestFit="1" customWidth="1"/>
    <col min="10248" max="10248" width="9.28515625" style="6" bestFit="1" customWidth="1"/>
    <col min="10249" max="10499" width="9.140625" style="6"/>
    <col min="10500" max="10500" width="12.42578125" style="6" bestFit="1" customWidth="1"/>
    <col min="10501" max="10501" width="14.5703125" style="6" bestFit="1" customWidth="1"/>
    <col min="10502" max="10502" width="15" style="6" bestFit="1" customWidth="1"/>
    <col min="10503" max="10503" width="14" style="6" bestFit="1" customWidth="1"/>
    <col min="10504" max="10504" width="9.28515625" style="6" bestFit="1" customWidth="1"/>
    <col min="10505" max="10755" width="9.140625" style="6"/>
    <col min="10756" max="10756" width="12.42578125" style="6" bestFit="1" customWidth="1"/>
    <col min="10757" max="10757" width="14.5703125" style="6" bestFit="1" customWidth="1"/>
    <col min="10758" max="10758" width="15" style="6" bestFit="1" customWidth="1"/>
    <col min="10759" max="10759" width="14" style="6" bestFit="1" customWidth="1"/>
    <col min="10760" max="10760" width="9.28515625" style="6" bestFit="1" customWidth="1"/>
    <col min="10761" max="11011" width="9.140625" style="6"/>
    <col min="11012" max="11012" width="12.42578125" style="6" bestFit="1" customWidth="1"/>
    <col min="11013" max="11013" width="14.5703125" style="6" bestFit="1" customWidth="1"/>
    <col min="11014" max="11014" width="15" style="6" bestFit="1" customWidth="1"/>
    <col min="11015" max="11015" width="14" style="6" bestFit="1" customWidth="1"/>
    <col min="11016" max="11016" width="9.28515625" style="6" bestFit="1" customWidth="1"/>
    <col min="11017" max="11267" width="9.140625" style="6"/>
    <col min="11268" max="11268" width="12.42578125" style="6" bestFit="1" customWidth="1"/>
    <col min="11269" max="11269" width="14.5703125" style="6" bestFit="1" customWidth="1"/>
    <col min="11270" max="11270" width="15" style="6" bestFit="1" customWidth="1"/>
    <col min="11271" max="11271" width="14" style="6" bestFit="1" customWidth="1"/>
    <col min="11272" max="11272" width="9.28515625" style="6" bestFit="1" customWidth="1"/>
    <col min="11273" max="11523" width="9.140625" style="6"/>
    <col min="11524" max="11524" width="12.42578125" style="6" bestFit="1" customWidth="1"/>
    <col min="11525" max="11525" width="14.5703125" style="6" bestFit="1" customWidth="1"/>
    <col min="11526" max="11526" width="15" style="6" bestFit="1" customWidth="1"/>
    <col min="11527" max="11527" width="14" style="6" bestFit="1" customWidth="1"/>
    <col min="11528" max="11528" width="9.28515625" style="6" bestFit="1" customWidth="1"/>
    <col min="11529" max="11779" width="9.140625" style="6"/>
    <col min="11780" max="11780" width="12.42578125" style="6" bestFit="1" customWidth="1"/>
    <col min="11781" max="11781" width="14.5703125" style="6" bestFit="1" customWidth="1"/>
    <col min="11782" max="11782" width="15" style="6" bestFit="1" customWidth="1"/>
    <col min="11783" max="11783" width="14" style="6" bestFit="1" customWidth="1"/>
    <col min="11784" max="11784" width="9.28515625" style="6" bestFit="1" customWidth="1"/>
    <col min="11785" max="12035" width="9.140625" style="6"/>
    <col min="12036" max="12036" width="12.42578125" style="6" bestFit="1" customWidth="1"/>
    <col min="12037" max="12037" width="14.5703125" style="6" bestFit="1" customWidth="1"/>
    <col min="12038" max="12038" width="15" style="6" bestFit="1" customWidth="1"/>
    <col min="12039" max="12039" width="14" style="6" bestFit="1" customWidth="1"/>
    <col min="12040" max="12040" width="9.28515625" style="6" bestFit="1" customWidth="1"/>
    <col min="12041" max="12291" width="9.140625" style="6"/>
    <col min="12292" max="12292" width="12.42578125" style="6" bestFit="1" customWidth="1"/>
    <col min="12293" max="12293" width="14.5703125" style="6" bestFit="1" customWidth="1"/>
    <col min="12294" max="12294" width="15" style="6" bestFit="1" customWidth="1"/>
    <col min="12295" max="12295" width="14" style="6" bestFit="1" customWidth="1"/>
    <col min="12296" max="12296" width="9.28515625" style="6" bestFit="1" customWidth="1"/>
    <col min="12297" max="12547" width="9.140625" style="6"/>
    <col min="12548" max="12548" width="12.42578125" style="6" bestFit="1" customWidth="1"/>
    <col min="12549" max="12549" width="14.5703125" style="6" bestFit="1" customWidth="1"/>
    <col min="12550" max="12550" width="15" style="6" bestFit="1" customWidth="1"/>
    <col min="12551" max="12551" width="14" style="6" bestFit="1" customWidth="1"/>
    <col min="12552" max="12552" width="9.28515625" style="6" bestFit="1" customWidth="1"/>
    <col min="12553" max="12803" width="9.140625" style="6"/>
    <col min="12804" max="12804" width="12.42578125" style="6" bestFit="1" customWidth="1"/>
    <col min="12805" max="12805" width="14.5703125" style="6" bestFit="1" customWidth="1"/>
    <col min="12806" max="12806" width="15" style="6" bestFit="1" customWidth="1"/>
    <col min="12807" max="12807" width="14" style="6" bestFit="1" customWidth="1"/>
    <col min="12808" max="12808" width="9.28515625" style="6" bestFit="1" customWidth="1"/>
    <col min="12809" max="13059" width="9.140625" style="6"/>
    <col min="13060" max="13060" width="12.42578125" style="6" bestFit="1" customWidth="1"/>
    <col min="13061" max="13061" width="14.5703125" style="6" bestFit="1" customWidth="1"/>
    <col min="13062" max="13062" width="15" style="6" bestFit="1" customWidth="1"/>
    <col min="13063" max="13063" width="14" style="6" bestFit="1" customWidth="1"/>
    <col min="13064" max="13064" width="9.28515625" style="6" bestFit="1" customWidth="1"/>
    <col min="13065" max="13315" width="9.140625" style="6"/>
    <col min="13316" max="13316" width="12.42578125" style="6" bestFit="1" customWidth="1"/>
    <col min="13317" max="13317" width="14.5703125" style="6" bestFit="1" customWidth="1"/>
    <col min="13318" max="13318" width="15" style="6" bestFit="1" customWidth="1"/>
    <col min="13319" max="13319" width="14" style="6" bestFit="1" customWidth="1"/>
    <col min="13320" max="13320" width="9.28515625" style="6" bestFit="1" customWidth="1"/>
    <col min="13321" max="13571" width="9.140625" style="6"/>
    <col min="13572" max="13572" width="12.42578125" style="6" bestFit="1" customWidth="1"/>
    <col min="13573" max="13573" width="14.5703125" style="6" bestFit="1" customWidth="1"/>
    <col min="13574" max="13574" width="15" style="6" bestFit="1" customWidth="1"/>
    <col min="13575" max="13575" width="14" style="6" bestFit="1" customWidth="1"/>
    <col min="13576" max="13576" width="9.28515625" style="6" bestFit="1" customWidth="1"/>
    <col min="13577" max="13827" width="9.140625" style="6"/>
    <col min="13828" max="13828" width="12.42578125" style="6" bestFit="1" customWidth="1"/>
    <col min="13829" max="13829" width="14.5703125" style="6" bestFit="1" customWidth="1"/>
    <col min="13830" max="13830" width="15" style="6" bestFit="1" customWidth="1"/>
    <col min="13831" max="13831" width="14" style="6" bestFit="1" customWidth="1"/>
    <col min="13832" max="13832" width="9.28515625" style="6" bestFit="1" customWidth="1"/>
    <col min="13833" max="14083" width="9.140625" style="6"/>
    <col min="14084" max="14084" width="12.42578125" style="6" bestFit="1" customWidth="1"/>
    <col min="14085" max="14085" width="14.5703125" style="6" bestFit="1" customWidth="1"/>
    <col min="14086" max="14086" width="15" style="6" bestFit="1" customWidth="1"/>
    <col min="14087" max="14087" width="14" style="6" bestFit="1" customWidth="1"/>
    <col min="14088" max="14088" width="9.28515625" style="6" bestFit="1" customWidth="1"/>
    <col min="14089" max="14339" width="9.140625" style="6"/>
    <col min="14340" max="14340" width="12.42578125" style="6" bestFit="1" customWidth="1"/>
    <col min="14341" max="14341" width="14.5703125" style="6" bestFit="1" customWidth="1"/>
    <col min="14342" max="14342" width="15" style="6" bestFit="1" customWidth="1"/>
    <col min="14343" max="14343" width="14" style="6" bestFit="1" customWidth="1"/>
    <col min="14344" max="14344" width="9.28515625" style="6" bestFit="1" customWidth="1"/>
    <col min="14345" max="14595" width="9.140625" style="6"/>
    <col min="14596" max="14596" width="12.42578125" style="6" bestFit="1" customWidth="1"/>
    <col min="14597" max="14597" width="14.5703125" style="6" bestFit="1" customWidth="1"/>
    <col min="14598" max="14598" width="15" style="6" bestFit="1" customWidth="1"/>
    <col min="14599" max="14599" width="14" style="6" bestFit="1" customWidth="1"/>
    <col min="14600" max="14600" width="9.28515625" style="6" bestFit="1" customWidth="1"/>
    <col min="14601" max="14851" width="9.140625" style="6"/>
    <col min="14852" max="14852" width="12.42578125" style="6" bestFit="1" customWidth="1"/>
    <col min="14853" max="14853" width="14.5703125" style="6" bestFit="1" customWidth="1"/>
    <col min="14854" max="14854" width="15" style="6" bestFit="1" customWidth="1"/>
    <col min="14855" max="14855" width="14" style="6" bestFit="1" customWidth="1"/>
    <col min="14856" max="14856" width="9.28515625" style="6" bestFit="1" customWidth="1"/>
    <col min="14857" max="15107" width="9.140625" style="6"/>
    <col min="15108" max="15108" width="12.42578125" style="6" bestFit="1" customWidth="1"/>
    <col min="15109" max="15109" width="14.5703125" style="6" bestFit="1" customWidth="1"/>
    <col min="15110" max="15110" width="15" style="6" bestFit="1" customWidth="1"/>
    <col min="15111" max="15111" width="14" style="6" bestFit="1" customWidth="1"/>
    <col min="15112" max="15112" width="9.28515625" style="6" bestFit="1" customWidth="1"/>
    <col min="15113" max="15363" width="9.140625" style="6"/>
    <col min="15364" max="15364" width="12.42578125" style="6" bestFit="1" customWidth="1"/>
    <col min="15365" max="15365" width="14.5703125" style="6" bestFit="1" customWidth="1"/>
    <col min="15366" max="15366" width="15" style="6" bestFit="1" customWidth="1"/>
    <col min="15367" max="15367" width="14" style="6" bestFit="1" customWidth="1"/>
    <col min="15368" max="15368" width="9.28515625" style="6" bestFit="1" customWidth="1"/>
    <col min="15369" max="15619" width="9.140625" style="6"/>
    <col min="15620" max="15620" width="12.42578125" style="6" bestFit="1" customWidth="1"/>
    <col min="15621" max="15621" width="14.5703125" style="6" bestFit="1" customWidth="1"/>
    <col min="15622" max="15622" width="15" style="6" bestFit="1" customWidth="1"/>
    <col min="15623" max="15623" width="14" style="6" bestFit="1" customWidth="1"/>
    <col min="15624" max="15624" width="9.28515625" style="6" bestFit="1" customWidth="1"/>
    <col min="15625" max="15875" width="9.140625" style="6"/>
    <col min="15876" max="15876" width="12.42578125" style="6" bestFit="1" customWidth="1"/>
    <col min="15877" max="15877" width="14.5703125" style="6" bestFit="1" customWidth="1"/>
    <col min="15878" max="15878" width="15" style="6" bestFit="1" customWidth="1"/>
    <col min="15879" max="15879" width="14" style="6" bestFit="1" customWidth="1"/>
    <col min="15880" max="15880" width="9.28515625" style="6" bestFit="1" customWidth="1"/>
    <col min="15881" max="16131" width="9.140625" style="6"/>
    <col min="16132" max="16132" width="12.42578125" style="6" bestFit="1" customWidth="1"/>
    <col min="16133" max="16133" width="14.5703125" style="6" bestFit="1" customWidth="1"/>
    <col min="16134" max="16134" width="15" style="6" bestFit="1" customWidth="1"/>
    <col min="16135" max="16135" width="14" style="6" bestFit="1" customWidth="1"/>
    <col min="16136" max="16136" width="9.28515625" style="6" bestFit="1" customWidth="1"/>
    <col min="16137" max="16384" width="9.140625" style="6"/>
  </cols>
  <sheetData>
    <row r="1" spans="1:9" ht="18.75" thickBot="1">
      <c r="A1" s="43" t="s">
        <v>138</v>
      </c>
      <c r="B1" s="43" t="s">
        <v>139</v>
      </c>
      <c r="C1" s="44" t="s">
        <v>140</v>
      </c>
      <c r="D1" s="43" t="s">
        <v>141</v>
      </c>
      <c r="E1" s="43" t="s">
        <v>142</v>
      </c>
      <c r="F1" s="45" t="s">
        <v>143</v>
      </c>
      <c r="G1" s="45" t="s">
        <v>144</v>
      </c>
      <c r="H1" s="43" t="s">
        <v>145</v>
      </c>
    </row>
    <row r="2" spans="1:9" ht="23.25" thickTop="1">
      <c r="A2" s="51">
        <v>2568</v>
      </c>
      <c r="B2" s="52">
        <v>1</v>
      </c>
      <c r="C2" s="52">
        <v>1</v>
      </c>
      <c r="D2" s="92">
        <v>1500400074</v>
      </c>
      <c r="E2" s="59" t="s">
        <v>61</v>
      </c>
      <c r="F2" s="60">
        <v>13569381.470000001</v>
      </c>
      <c r="G2" s="60">
        <v>7764344.0599999996</v>
      </c>
      <c r="H2" s="60">
        <v>57.219587179901133</v>
      </c>
      <c r="I2" s="49">
        <v>22159269.890000001</v>
      </c>
    </row>
    <row r="3" spans="1:9" ht="22.5">
      <c r="A3" s="27">
        <v>2568</v>
      </c>
      <c r="B3" s="28">
        <v>1</v>
      </c>
      <c r="C3" s="28">
        <v>1</v>
      </c>
      <c r="D3" s="58">
        <v>1500400050</v>
      </c>
      <c r="E3" s="55" t="s">
        <v>44</v>
      </c>
      <c r="F3" s="56">
        <v>30907666.129999999</v>
      </c>
      <c r="G3" s="56">
        <v>13511973.029999999</v>
      </c>
      <c r="H3" s="56">
        <v>43.717222041831342</v>
      </c>
      <c r="I3" s="50">
        <v>30520176.920000002</v>
      </c>
    </row>
    <row r="4" spans="1:9" ht="22.5">
      <c r="A4" s="27">
        <v>2568</v>
      </c>
      <c r="B4" s="28">
        <v>1</v>
      </c>
      <c r="C4" s="28">
        <v>1</v>
      </c>
      <c r="D4" s="58">
        <v>1500400082</v>
      </c>
      <c r="E4" s="55" t="s">
        <v>65</v>
      </c>
      <c r="F4" s="56">
        <v>5334245</v>
      </c>
      <c r="G4" s="56">
        <v>2003816.01</v>
      </c>
      <c r="H4" s="56">
        <v>37.56512889827895</v>
      </c>
      <c r="I4" s="50">
        <v>13998341.66</v>
      </c>
    </row>
    <row r="5" spans="1:9" ht="22.5">
      <c r="A5" s="27">
        <v>2568</v>
      </c>
      <c r="B5" s="28">
        <v>1</v>
      </c>
      <c r="C5" s="28">
        <v>1</v>
      </c>
      <c r="D5" s="58">
        <v>1500400068</v>
      </c>
      <c r="E5" s="55" t="s">
        <v>24</v>
      </c>
      <c r="F5" s="56">
        <v>9596229.4499999993</v>
      </c>
      <c r="G5" s="56">
        <v>3517222.4</v>
      </c>
      <c r="H5" s="56">
        <v>36.652129029699267</v>
      </c>
      <c r="I5" s="50">
        <v>13778681.130000001</v>
      </c>
    </row>
    <row r="6" spans="1:9" ht="22.5">
      <c r="A6" s="27">
        <v>2568</v>
      </c>
      <c r="B6" s="28">
        <v>1</v>
      </c>
      <c r="C6" s="28">
        <v>1</v>
      </c>
      <c r="D6" s="58">
        <v>1500400066</v>
      </c>
      <c r="E6" s="55" t="s">
        <v>54</v>
      </c>
      <c r="F6" s="56">
        <v>11664070.210000001</v>
      </c>
      <c r="G6" s="56">
        <v>4179807.89</v>
      </c>
      <c r="H6" s="56">
        <v>35.83489995127524</v>
      </c>
      <c r="I6" s="50">
        <v>16324991.939999999</v>
      </c>
    </row>
    <row r="7" spans="1:9" ht="22.5">
      <c r="A7" s="27">
        <v>2568</v>
      </c>
      <c r="B7" s="28">
        <v>1</v>
      </c>
      <c r="C7" s="28">
        <v>1</v>
      </c>
      <c r="D7" s="58">
        <v>1500400024</v>
      </c>
      <c r="E7" s="55" t="s">
        <v>30</v>
      </c>
      <c r="F7" s="56">
        <v>13266592.77</v>
      </c>
      <c r="G7" s="56">
        <v>4729433.42</v>
      </c>
      <c r="H7" s="56">
        <v>35.64919419773522</v>
      </c>
      <c r="I7" s="50">
        <v>17021630.600000001</v>
      </c>
    </row>
    <row r="8" spans="1:9" ht="22.5">
      <c r="A8" s="27">
        <v>2568</v>
      </c>
      <c r="B8" s="28">
        <v>1</v>
      </c>
      <c r="C8" s="28">
        <v>1</v>
      </c>
      <c r="D8" s="58">
        <v>1500400043</v>
      </c>
      <c r="E8" s="55" t="s">
        <v>40</v>
      </c>
      <c r="F8" s="56">
        <v>23335872.449999999</v>
      </c>
      <c r="G8" s="56">
        <v>8174986.75</v>
      </c>
      <c r="H8" s="56">
        <v>35.031845359610713</v>
      </c>
      <c r="I8" s="50">
        <v>21091916.5</v>
      </c>
    </row>
    <row r="9" spans="1:9" ht="22.5">
      <c r="A9" s="27">
        <v>2568</v>
      </c>
      <c r="B9" s="28">
        <v>1</v>
      </c>
      <c r="C9" s="28">
        <v>1</v>
      </c>
      <c r="D9" s="58">
        <v>1500400097</v>
      </c>
      <c r="E9" s="55" t="s">
        <v>74</v>
      </c>
      <c r="F9" s="56">
        <v>10262245</v>
      </c>
      <c r="G9" s="56">
        <v>3546848.46</v>
      </c>
      <c r="H9" s="56">
        <v>34.562110532344533</v>
      </c>
      <c r="I9" s="50">
        <v>14979271.779999999</v>
      </c>
    </row>
    <row r="10" spans="1:9" ht="22.5">
      <c r="A10" s="27">
        <v>2568</v>
      </c>
      <c r="B10" s="28">
        <v>1</v>
      </c>
      <c r="C10" s="28">
        <v>1</v>
      </c>
      <c r="D10" s="58">
        <v>1500400072</v>
      </c>
      <c r="E10" s="55" t="s">
        <v>59</v>
      </c>
      <c r="F10" s="56">
        <v>11384060</v>
      </c>
      <c r="G10" s="56">
        <v>3817772.09</v>
      </c>
      <c r="H10" s="56">
        <v>33.536120593180286</v>
      </c>
      <c r="I10" s="50">
        <v>12571669.439999999</v>
      </c>
    </row>
    <row r="11" spans="1:9" ht="22.5">
      <c r="A11" s="27">
        <v>2568</v>
      </c>
      <c r="B11" s="28">
        <v>1</v>
      </c>
      <c r="C11" s="28">
        <v>1</v>
      </c>
      <c r="D11" s="58">
        <v>1500400079</v>
      </c>
      <c r="E11" s="55" t="s">
        <v>108</v>
      </c>
      <c r="F11" s="56">
        <v>14707330</v>
      </c>
      <c r="G11" s="56">
        <v>4767961.9800000004</v>
      </c>
      <c r="H11" s="56">
        <v>32.41895014254797</v>
      </c>
      <c r="I11" s="50">
        <v>36857081.280000001</v>
      </c>
    </row>
    <row r="12" spans="1:9" ht="22.5">
      <c r="A12" s="27">
        <v>2568</v>
      </c>
      <c r="B12" s="28">
        <v>1</v>
      </c>
      <c r="C12" s="28">
        <v>1</v>
      </c>
      <c r="D12" s="58">
        <v>1500400075</v>
      </c>
      <c r="E12" s="55" t="s">
        <v>62</v>
      </c>
      <c r="F12" s="56">
        <v>12637100</v>
      </c>
      <c r="G12" s="56">
        <v>4009324.12</v>
      </c>
      <c r="H12" s="56">
        <v>31.726615441833964</v>
      </c>
      <c r="I12" s="50">
        <v>22844110.879999999</v>
      </c>
    </row>
    <row r="13" spans="1:9" ht="22.5">
      <c r="A13" s="27">
        <v>2568</v>
      </c>
      <c r="B13" s="28">
        <v>1</v>
      </c>
      <c r="C13" s="28">
        <v>1</v>
      </c>
      <c r="D13" s="58">
        <v>1500400087</v>
      </c>
      <c r="E13" s="55" t="s">
        <v>67</v>
      </c>
      <c r="F13" s="56">
        <v>7777956.4699999997</v>
      </c>
      <c r="G13" s="56">
        <v>2464541.5</v>
      </c>
      <c r="H13" s="56">
        <v>31.686234160680513</v>
      </c>
      <c r="I13" s="50">
        <v>15467631.449999999</v>
      </c>
    </row>
    <row r="14" spans="1:9" ht="22.5">
      <c r="A14" s="27">
        <v>2568</v>
      </c>
      <c r="B14" s="28">
        <v>1</v>
      </c>
      <c r="C14" s="28">
        <v>1</v>
      </c>
      <c r="D14" s="58">
        <v>1500400090</v>
      </c>
      <c r="E14" s="55" t="s">
        <v>69</v>
      </c>
      <c r="F14" s="56">
        <v>6511285</v>
      </c>
      <c r="G14" s="56">
        <v>2048960.2</v>
      </c>
      <c r="H14" s="56">
        <v>31.467831618490052</v>
      </c>
      <c r="I14" s="50">
        <v>30970131.960000001</v>
      </c>
    </row>
    <row r="15" spans="1:9" ht="22.5">
      <c r="A15" s="27">
        <v>2568</v>
      </c>
      <c r="B15" s="28">
        <v>1</v>
      </c>
      <c r="C15" s="28">
        <v>1</v>
      </c>
      <c r="D15" s="58">
        <v>1500400029</v>
      </c>
      <c r="E15" s="55" t="s">
        <v>93</v>
      </c>
      <c r="F15" s="56">
        <v>14345164.779999999</v>
      </c>
      <c r="G15" s="56">
        <v>4482539.67</v>
      </c>
      <c r="H15" s="56">
        <v>31.247739142387182</v>
      </c>
      <c r="I15" s="50">
        <v>24848460.25</v>
      </c>
    </row>
    <row r="16" spans="1:9" ht="22.5">
      <c r="A16" s="27">
        <v>2568</v>
      </c>
      <c r="B16" s="28">
        <v>1</v>
      </c>
      <c r="C16" s="28">
        <v>1</v>
      </c>
      <c r="D16" s="58">
        <v>1500400063</v>
      </c>
      <c r="E16" s="55" t="s">
        <v>52</v>
      </c>
      <c r="F16" s="56">
        <v>10898868.82</v>
      </c>
      <c r="G16" s="56">
        <v>3372722.34</v>
      </c>
      <c r="H16" s="56">
        <v>30.94561826279509</v>
      </c>
      <c r="I16" s="50">
        <v>14781586.550000001</v>
      </c>
    </row>
    <row r="17" spans="1:9" ht="22.5">
      <c r="A17" s="27">
        <v>2568</v>
      </c>
      <c r="B17" s="28">
        <v>1</v>
      </c>
      <c r="C17" s="28">
        <v>1</v>
      </c>
      <c r="D17" s="58">
        <v>1500400048</v>
      </c>
      <c r="E17" s="55" t="s">
        <v>43</v>
      </c>
      <c r="F17" s="56">
        <v>10950240.42</v>
      </c>
      <c r="G17" s="56">
        <v>3373616.06</v>
      </c>
      <c r="H17" s="56">
        <v>30.808602648013824</v>
      </c>
      <c r="I17" s="50">
        <v>13455727.539999999</v>
      </c>
    </row>
    <row r="18" spans="1:9" ht="22.5">
      <c r="A18" s="27">
        <v>2568</v>
      </c>
      <c r="B18" s="28">
        <v>1</v>
      </c>
      <c r="C18" s="28">
        <v>1</v>
      </c>
      <c r="D18" s="58">
        <v>1500400083</v>
      </c>
      <c r="E18" s="55" t="s">
        <v>109</v>
      </c>
      <c r="F18" s="56">
        <v>10473295</v>
      </c>
      <c r="G18" s="56">
        <v>3175758.72</v>
      </c>
      <c r="H18" s="56">
        <v>30.322441218355827</v>
      </c>
      <c r="I18" s="50">
        <v>33051714.219999999</v>
      </c>
    </row>
    <row r="19" spans="1:9" ht="22.5">
      <c r="A19" s="27">
        <v>2568</v>
      </c>
      <c r="B19" s="28">
        <v>1</v>
      </c>
      <c r="C19" s="28">
        <v>1</v>
      </c>
      <c r="D19" s="58">
        <v>1500400059</v>
      </c>
      <c r="E19" s="55" t="s">
        <v>51</v>
      </c>
      <c r="F19" s="56">
        <v>10534158.4</v>
      </c>
      <c r="G19" s="56">
        <v>3194138.8</v>
      </c>
      <c r="H19" s="56">
        <v>30.321727457601167</v>
      </c>
      <c r="I19" s="50">
        <v>35466867.810000002</v>
      </c>
    </row>
    <row r="20" spans="1:9" ht="22.5">
      <c r="A20" s="27">
        <v>2568</v>
      </c>
      <c r="B20" s="28">
        <v>1</v>
      </c>
      <c r="C20" s="28">
        <v>1</v>
      </c>
      <c r="D20" s="58">
        <v>1500400027</v>
      </c>
      <c r="E20" s="55" t="s">
        <v>18</v>
      </c>
      <c r="F20" s="56">
        <v>17549590</v>
      </c>
      <c r="G20" s="56">
        <v>5301659.46</v>
      </c>
      <c r="H20" s="56">
        <v>30.209591563107743</v>
      </c>
      <c r="I20" s="50">
        <v>25087608.5</v>
      </c>
    </row>
    <row r="21" spans="1:9" ht="22.5">
      <c r="A21" s="27">
        <v>2568</v>
      </c>
      <c r="B21" s="28">
        <v>1</v>
      </c>
      <c r="C21" s="28">
        <v>1</v>
      </c>
      <c r="D21" s="58">
        <v>1500400096</v>
      </c>
      <c r="E21" s="55" t="s">
        <v>112</v>
      </c>
      <c r="F21" s="56">
        <v>14606285</v>
      </c>
      <c r="G21" s="56">
        <v>4399386.3600000003</v>
      </c>
      <c r="H21" s="56">
        <v>30.119817325213088</v>
      </c>
      <c r="I21" s="50">
        <v>13789613.619999999</v>
      </c>
    </row>
    <row r="22" spans="1:9" ht="22.5">
      <c r="A22" s="27">
        <v>2568</v>
      </c>
      <c r="B22" s="28">
        <v>1</v>
      </c>
      <c r="C22" s="28">
        <v>1</v>
      </c>
      <c r="D22" s="58">
        <v>1500400053</v>
      </c>
      <c r="E22" s="55" t="s">
        <v>46</v>
      </c>
      <c r="F22" s="56">
        <v>12363212</v>
      </c>
      <c r="G22" s="56">
        <v>3608187.53</v>
      </c>
      <c r="H22" s="56">
        <v>29.184871455734967</v>
      </c>
      <c r="I22" s="50">
        <v>13119280.869999999</v>
      </c>
    </row>
    <row r="23" spans="1:9" ht="22.5">
      <c r="A23" s="27">
        <v>2568</v>
      </c>
      <c r="B23" s="28">
        <v>1</v>
      </c>
      <c r="C23" s="28">
        <v>1</v>
      </c>
      <c r="D23" s="58">
        <v>1500400061</v>
      </c>
      <c r="E23" s="55" t="s">
        <v>22</v>
      </c>
      <c r="F23" s="56">
        <v>10067590</v>
      </c>
      <c r="G23" s="56">
        <v>2912252.79</v>
      </c>
      <c r="H23" s="56">
        <v>28.927010237802691</v>
      </c>
      <c r="I23" s="50">
        <v>14619414.24</v>
      </c>
    </row>
    <row r="24" spans="1:9" ht="22.5">
      <c r="A24" s="27">
        <v>2568</v>
      </c>
      <c r="B24" s="28">
        <v>1</v>
      </c>
      <c r="C24" s="28">
        <v>1</v>
      </c>
      <c r="D24" s="58">
        <v>1500400062</v>
      </c>
      <c r="E24" s="55" t="s">
        <v>23</v>
      </c>
      <c r="F24" s="56">
        <v>16588881.029999999</v>
      </c>
      <c r="G24" s="56">
        <v>4744489.67</v>
      </c>
      <c r="H24" s="56">
        <v>28.600420133340364</v>
      </c>
      <c r="I24" s="50">
        <v>14811940.949999999</v>
      </c>
    </row>
    <row r="25" spans="1:9" ht="22.5">
      <c r="A25" s="27">
        <v>2568</v>
      </c>
      <c r="B25" s="28">
        <v>1</v>
      </c>
      <c r="C25" s="28">
        <v>1</v>
      </c>
      <c r="D25" s="58">
        <v>1500400073</v>
      </c>
      <c r="E25" s="55" t="s">
        <v>60</v>
      </c>
      <c r="F25" s="56">
        <v>12160330</v>
      </c>
      <c r="G25" s="56">
        <v>3463818.86</v>
      </c>
      <c r="H25" s="56">
        <v>28.484579448090635</v>
      </c>
      <c r="I25" s="50">
        <v>8648748.6099999994</v>
      </c>
    </row>
    <row r="26" spans="1:9" ht="22.5">
      <c r="A26" s="27">
        <v>2568</v>
      </c>
      <c r="B26" s="28">
        <v>1</v>
      </c>
      <c r="C26" s="28">
        <v>1</v>
      </c>
      <c r="D26" s="58">
        <v>1500400065</v>
      </c>
      <c r="E26" s="55" t="s">
        <v>53</v>
      </c>
      <c r="F26" s="56">
        <v>14344125</v>
      </c>
      <c r="G26" s="56">
        <v>4020786.37</v>
      </c>
      <c r="H26" s="56">
        <v>28.030893275121347</v>
      </c>
      <c r="I26" s="50">
        <v>29535899.18</v>
      </c>
    </row>
    <row r="27" spans="1:9" ht="22.5">
      <c r="A27" s="27">
        <v>2568</v>
      </c>
      <c r="B27" s="28">
        <v>1</v>
      </c>
      <c r="C27" s="28">
        <v>1</v>
      </c>
      <c r="D27" s="58">
        <v>1500400076</v>
      </c>
      <c r="E27" s="55" t="s">
        <v>63</v>
      </c>
      <c r="F27" s="56">
        <v>16841479.030000001</v>
      </c>
      <c r="G27" s="56">
        <v>4641936.8100000005</v>
      </c>
      <c r="H27" s="56">
        <v>27.562524655531991</v>
      </c>
      <c r="I27" s="50">
        <v>10649959.17</v>
      </c>
    </row>
    <row r="28" spans="1:9" ht="22.5">
      <c r="A28" s="27">
        <v>2568</v>
      </c>
      <c r="B28" s="28">
        <v>1</v>
      </c>
      <c r="C28" s="28">
        <v>1</v>
      </c>
      <c r="D28" s="58">
        <v>1500400078</v>
      </c>
      <c r="E28" s="55" t="s">
        <v>107</v>
      </c>
      <c r="F28" s="56">
        <v>15302574.66</v>
      </c>
      <c r="G28" s="56">
        <v>4213777.88</v>
      </c>
      <c r="H28" s="56">
        <v>27.536398113544639</v>
      </c>
      <c r="I28" s="50">
        <v>19864758.530000001</v>
      </c>
    </row>
    <row r="29" spans="1:9" ht="22.5">
      <c r="A29" s="27">
        <v>2568</v>
      </c>
      <c r="B29" s="28">
        <v>1</v>
      </c>
      <c r="C29" s="28">
        <v>1</v>
      </c>
      <c r="D29" s="58">
        <v>1500400047</v>
      </c>
      <c r="E29" s="55" t="s">
        <v>100</v>
      </c>
      <c r="F29" s="56">
        <v>22431920.210000001</v>
      </c>
      <c r="G29" s="56">
        <v>6109234.6699999999</v>
      </c>
      <c r="H29" s="56">
        <v>27.234559559803284</v>
      </c>
      <c r="I29" s="50">
        <v>42752348.880000003</v>
      </c>
    </row>
    <row r="30" spans="1:9" ht="22.5">
      <c r="A30" s="27">
        <v>2568</v>
      </c>
      <c r="B30" s="28">
        <v>1</v>
      </c>
      <c r="C30" s="28">
        <v>1</v>
      </c>
      <c r="D30" s="58">
        <v>1500400077</v>
      </c>
      <c r="E30" s="55" t="s">
        <v>106</v>
      </c>
      <c r="F30" s="56">
        <v>12184861.470000001</v>
      </c>
      <c r="G30" s="56">
        <v>3300296.73</v>
      </c>
      <c r="H30" s="56">
        <v>27.085221593413813</v>
      </c>
      <c r="I30" s="50">
        <v>7899362.5999999996</v>
      </c>
    </row>
    <row r="31" spans="1:9" ht="22.5">
      <c r="A31" s="27">
        <v>2568</v>
      </c>
      <c r="B31" s="28">
        <v>1</v>
      </c>
      <c r="C31" s="28">
        <v>1</v>
      </c>
      <c r="D31" s="58">
        <v>1500400044</v>
      </c>
      <c r="E31" s="55" t="s">
        <v>41</v>
      </c>
      <c r="F31" s="56">
        <v>27248240.289999999</v>
      </c>
      <c r="G31" s="56">
        <v>7361893.7199999997</v>
      </c>
      <c r="H31" s="56">
        <v>27.017868462873864</v>
      </c>
      <c r="I31" s="50">
        <v>55759434.07</v>
      </c>
    </row>
    <row r="32" spans="1:9" ht="22.5">
      <c r="A32" s="27">
        <v>2568</v>
      </c>
      <c r="B32" s="28">
        <v>1</v>
      </c>
      <c r="C32" s="28">
        <v>1</v>
      </c>
      <c r="D32" s="58">
        <v>1500400056</v>
      </c>
      <c r="E32" s="55" t="s">
        <v>49</v>
      </c>
      <c r="F32" s="56">
        <v>20586291.969999999</v>
      </c>
      <c r="G32" s="56">
        <v>5561468.8399999999</v>
      </c>
      <c r="H32" s="56">
        <v>27.015398635677663</v>
      </c>
      <c r="I32" s="50">
        <v>13087153.289999999</v>
      </c>
    </row>
    <row r="33" spans="1:9" ht="22.5">
      <c r="A33" s="27">
        <v>2568</v>
      </c>
      <c r="B33" s="28">
        <v>1</v>
      </c>
      <c r="C33" s="28">
        <v>1</v>
      </c>
      <c r="D33" s="58">
        <v>1500400032</v>
      </c>
      <c r="E33" s="55" t="s">
        <v>95</v>
      </c>
      <c r="F33" s="56">
        <v>14068519.24</v>
      </c>
      <c r="G33" s="56">
        <v>3771177.75</v>
      </c>
      <c r="H33" s="56">
        <v>26.805790187766767</v>
      </c>
      <c r="I33" s="50">
        <v>9467843.3100000005</v>
      </c>
    </row>
    <row r="34" spans="1:9" ht="22.5">
      <c r="A34" s="27">
        <v>2568</v>
      </c>
      <c r="B34" s="28">
        <v>1</v>
      </c>
      <c r="C34" s="28">
        <v>1</v>
      </c>
      <c r="D34" s="58">
        <v>1500400092</v>
      </c>
      <c r="E34" s="55" t="s">
        <v>71</v>
      </c>
      <c r="F34" s="56">
        <v>19142470</v>
      </c>
      <c r="G34" s="56">
        <v>5121763.51</v>
      </c>
      <c r="H34" s="56">
        <v>26.756022132984928</v>
      </c>
      <c r="I34" s="50">
        <v>18014137.710000001</v>
      </c>
    </row>
    <row r="35" spans="1:9" ht="22.5">
      <c r="A35" s="27">
        <v>2568</v>
      </c>
      <c r="B35" s="28">
        <v>1</v>
      </c>
      <c r="C35" s="28">
        <v>1</v>
      </c>
      <c r="D35" s="58">
        <v>1500400091</v>
      </c>
      <c r="E35" s="55" t="s">
        <v>70</v>
      </c>
      <c r="F35" s="56">
        <v>10034663.4</v>
      </c>
      <c r="G35" s="56">
        <v>2681373.52</v>
      </c>
      <c r="H35" s="56">
        <v>26.721110744980244</v>
      </c>
      <c r="I35" s="50">
        <v>13760899.869999999</v>
      </c>
    </row>
    <row r="36" spans="1:9" ht="22.5">
      <c r="A36" s="27">
        <v>2568</v>
      </c>
      <c r="B36" s="28">
        <v>1</v>
      </c>
      <c r="C36" s="28">
        <v>1</v>
      </c>
      <c r="D36" s="58">
        <v>1500400067</v>
      </c>
      <c r="E36" s="55" t="s">
        <v>55</v>
      </c>
      <c r="F36" s="56">
        <v>21652670</v>
      </c>
      <c r="G36" s="56">
        <v>5726691.79</v>
      </c>
      <c r="H36" s="56">
        <v>26.447970573605932</v>
      </c>
      <c r="I36" s="50">
        <v>23423383.719999999</v>
      </c>
    </row>
    <row r="37" spans="1:9" ht="22.5">
      <c r="A37" s="27">
        <v>2568</v>
      </c>
      <c r="B37" s="28">
        <v>1</v>
      </c>
      <c r="C37" s="28">
        <v>1</v>
      </c>
      <c r="D37" s="58">
        <v>1500400036</v>
      </c>
      <c r="E37" s="55" t="s">
        <v>34</v>
      </c>
      <c r="F37" s="56">
        <v>7654913.6100000003</v>
      </c>
      <c r="G37" s="56">
        <v>2017234.15</v>
      </c>
      <c r="H37" s="56">
        <v>26.35214781999349</v>
      </c>
      <c r="I37" s="50">
        <v>14694942.77</v>
      </c>
    </row>
    <row r="38" spans="1:9" ht="22.5">
      <c r="A38" s="27">
        <v>2568</v>
      </c>
      <c r="B38" s="28">
        <v>1</v>
      </c>
      <c r="C38" s="28">
        <v>1</v>
      </c>
      <c r="D38" s="58">
        <v>1500400035</v>
      </c>
      <c r="E38" s="55" t="s">
        <v>97</v>
      </c>
      <c r="F38" s="56">
        <v>11250349.24</v>
      </c>
      <c r="G38" s="56">
        <v>2895813.61</v>
      </c>
      <c r="H38" s="56">
        <v>25.739766368354978</v>
      </c>
      <c r="I38" s="50">
        <v>13565471.300000001</v>
      </c>
    </row>
    <row r="39" spans="1:9" ht="22.5">
      <c r="A39" s="27">
        <v>2568</v>
      </c>
      <c r="B39" s="28">
        <v>1</v>
      </c>
      <c r="C39" s="28">
        <v>1</v>
      </c>
      <c r="D39" s="58">
        <v>1500400052</v>
      </c>
      <c r="E39" s="55" t="s">
        <v>45</v>
      </c>
      <c r="F39" s="56">
        <v>16909570.84</v>
      </c>
      <c r="G39" s="56">
        <v>4323573.54</v>
      </c>
      <c r="H39" s="56">
        <v>25.568795216094319</v>
      </c>
      <c r="I39" s="50">
        <v>12193880.91</v>
      </c>
    </row>
    <row r="40" spans="1:9" ht="22.5">
      <c r="A40" s="27">
        <v>2568</v>
      </c>
      <c r="B40" s="28">
        <v>1</v>
      </c>
      <c r="C40" s="28">
        <v>1</v>
      </c>
      <c r="D40" s="58">
        <v>1500400094</v>
      </c>
      <c r="E40" s="55" t="s">
        <v>26</v>
      </c>
      <c r="F40" s="56">
        <v>12419845</v>
      </c>
      <c r="G40" s="56">
        <v>3171029.75</v>
      </c>
      <c r="H40" s="56">
        <v>25.531959134755706</v>
      </c>
      <c r="I40" s="50">
        <v>13417926.039999999</v>
      </c>
    </row>
    <row r="41" spans="1:9" ht="22.5">
      <c r="A41" s="27">
        <v>2568</v>
      </c>
      <c r="B41" s="28">
        <v>1</v>
      </c>
      <c r="C41" s="28">
        <v>1</v>
      </c>
      <c r="D41" s="58">
        <v>1500400039</v>
      </c>
      <c r="E41" s="55" t="s">
        <v>36</v>
      </c>
      <c r="F41" s="56">
        <v>6950840</v>
      </c>
      <c r="G41" s="56">
        <v>1758952.53</v>
      </c>
      <c r="H41" s="56">
        <v>25.305610976515069</v>
      </c>
      <c r="I41" s="50">
        <v>19222432.34</v>
      </c>
    </row>
    <row r="42" spans="1:9" ht="22.5">
      <c r="A42" s="27">
        <v>2568</v>
      </c>
      <c r="B42" s="28">
        <v>1</v>
      </c>
      <c r="C42" s="28">
        <v>1</v>
      </c>
      <c r="D42" s="58">
        <v>1500400030</v>
      </c>
      <c r="E42" s="55" t="s">
        <v>94</v>
      </c>
      <c r="F42" s="56">
        <v>7289275</v>
      </c>
      <c r="G42" s="56">
        <v>1840896.67</v>
      </c>
      <c r="H42" s="56">
        <v>25.254866499068836</v>
      </c>
      <c r="I42" s="50">
        <v>36884603.079999998</v>
      </c>
    </row>
    <row r="43" spans="1:9" ht="22.5">
      <c r="A43" s="27">
        <v>2568</v>
      </c>
      <c r="B43" s="28">
        <v>1</v>
      </c>
      <c r="C43" s="28">
        <v>1</v>
      </c>
      <c r="D43" s="58">
        <v>1500400040</v>
      </c>
      <c r="E43" s="55" t="s">
        <v>37</v>
      </c>
      <c r="F43" s="56">
        <v>11747215</v>
      </c>
      <c r="G43" s="56">
        <v>2930248.57</v>
      </c>
      <c r="H43" s="56">
        <v>24.944198007783122</v>
      </c>
      <c r="I43" s="50">
        <v>23609428.629999999</v>
      </c>
    </row>
    <row r="44" spans="1:9" ht="22.5">
      <c r="A44" s="27">
        <v>2568</v>
      </c>
      <c r="B44" s="28">
        <v>1</v>
      </c>
      <c r="C44" s="28">
        <v>1</v>
      </c>
      <c r="D44" s="58">
        <v>1500400084</v>
      </c>
      <c r="E44" s="55" t="s">
        <v>19</v>
      </c>
      <c r="F44" s="56">
        <v>10133674.66</v>
      </c>
      <c r="G44" s="56">
        <v>2506207.2400000002</v>
      </c>
      <c r="H44" s="56">
        <v>24.731475245525598</v>
      </c>
      <c r="I44" s="50">
        <v>25337684.670000002</v>
      </c>
    </row>
    <row r="45" spans="1:9" ht="22.5">
      <c r="A45" s="27">
        <v>2568</v>
      </c>
      <c r="B45" s="28">
        <v>1</v>
      </c>
      <c r="C45" s="28">
        <v>1</v>
      </c>
      <c r="D45" s="58">
        <v>1500400034</v>
      </c>
      <c r="E45" s="57" t="s">
        <v>33</v>
      </c>
      <c r="F45" s="56">
        <v>10952538.82</v>
      </c>
      <c r="G45" s="56">
        <v>2708391.97</v>
      </c>
      <c r="H45" s="56">
        <v>24.728439812094635</v>
      </c>
      <c r="I45" s="50">
        <v>13676899.449999999</v>
      </c>
    </row>
    <row r="46" spans="1:9" ht="22.5">
      <c r="A46" s="27">
        <v>2568</v>
      </c>
      <c r="B46" s="28">
        <v>1</v>
      </c>
      <c r="C46" s="28">
        <v>1</v>
      </c>
      <c r="D46" s="58">
        <v>1500400085</v>
      </c>
      <c r="E46" s="55" t="s">
        <v>66</v>
      </c>
      <c r="F46" s="56">
        <v>25597167.739999998</v>
      </c>
      <c r="G46" s="56">
        <v>6310553.8899999997</v>
      </c>
      <c r="H46" s="56">
        <v>24.653328657680628</v>
      </c>
      <c r="I46" s="50">
        <v>18832978.18</v>
      </c>
    </row>
    <row r="47" spans="1:9" ht="22.5">
      <c r="A47" s="27">
        <v>2568</v>
      </c>
      <c r="B47" s="28">
        <v>1</v>
      </c>
      <c r="C47" s="28">
        <v>1</v>
      </c>
      <c r="D47" s="58">
        <v>1500400088</v>
      </c>
      <c r="E47" s="55" t="s">
        <v>68</v>
      </c>
      <c r="F47" s="56">
        <v>6077600</v>
      </c>
      <c r="G47" s="56">
        <v>1492730.63</v>
      </c>
      <c r="H47" s="56">
        <v>24.561185829932867</v>
      </c>
      <c r="I47" s="50">
        <v>34593408.240000002</v>
      </c>
    </row>
    <row r="48" spans="1:9" ht="22.5">
      <c r="A48" s="27">
        <v>2568</v>
      </c>
      <c r="B48" s="28">
        <v>1</v>
      </c>
      <c r="C48" s="28">
        <v>1</v>
      </c>
      <c r="D48" s="58">
        <v>1500400086</v>
      </c>
      <c r="E48" s="55" t="s">
        <v>110</v>
      </c>
      <c r="F48" s="56">
        <v>9955480</v>
      </c>
      <c r="G48" s="56">
        <v>2421322.7599999998</v>
      </c>
      <c r="H48" s="56">
        <v>24.321506948936662</v>
      </c>
      <c r="I48" s="50">
        <v>14315957.210000001</v>
      </c>
    </row>
    <row r="49" spans="1:9" ht="22.5">
      <c r="A49" s="27">
        <v>2568</v>
      </c>
      <c r="B49" s="28">
        <v>1</v>
      </c>
      <c r="C49" s="28">
        <v>1</v>
      </c>
      <c r="D49" s="58">
        <v>1500400042</v>
      </c>
      <c r="E49" s="55" t="s">
        <v>39</v>
      </c>
      <c r="F49" s="56">
        <v>28788310.710000001</v>
      </c>
      <c r="G49" s="56">
        <v>6838457.9699999997</v>
      </c>
      <c r="H49" s="56">
        <v>23.754287074665243</v>
      </c>
      <c r="I49" s="50">
        <v>19622733.57</v>
      </c>
    </row>
    <row r="50" spans="1:9" ht="22.5">
      <c r="A50" s="27">
        <v>2568</v>
      </c>
      <c r="B50" s="28">
        <v>1</v>
      </c>
      <c r="C50" s="28">
        <v>1</v>
      </c>
      <c r="D50" s="58">
        <v>1500400033</v>
      </c>
      <c r="E50" s="55" t="s">
        <v>96</v>
      </c>
      <c r="F50" s="56">
        <v>16142401.59</v>
      </c>
      <c r="G50" s="56">
        <v>3816222.76</v>
      </c>
      <c r="H50" s="56">
        <v>23.64098513299346</v>
      </c>
      <c r="I50" s="50">
        <v>41913254.469999999</v>
      </c>
    </row>
    <row r="51" spans="1:9" ht="22.5">
      <c r="A51" s="27">
        <v>2568</v>
      </c>
      <c r="B51" s="28">
        <v>1</v>
      </c>
      <c r="C51" s="28">
        <v>1</v>
      </c>
      <c r="D51" s="58">
        <v>1500400054</v>
      </c>
      <c r="E51" s="55" t="s">
        <v>47</v>
      </c>
      <c r="F51" s="56">
        <v>19859409.030000001</v>
      </c>
      <c r="G51" s="56">
        <v>4681018.16</v>
      </c>
      <c r="H51" s="56">
        <v>23.57078276059859</v>
      </c>
      <c r="I51" s="50">
        <v>17953911.920000002</v>
      </c>
    </row>
    <row r="52" spans="1:9" ht="22.5">
      <c r="A52" s="27">
        <v>2568</v>
      </c>
      <c r="B52" s="28">
        <v>1</v>
      </c>
      <c r="C52" s="28">
        <v>1</v>
      </c>
      <c r="D52" s="58">
        <v>1500400055</v>
      </c>
      <c r="E52" s="55" t="s">
        <v>48</v>
      </c>
      <c r="F52" s="56">
        <v>27088660</v>
      </c>
      <c r="G52" s="56">
        <v>6327462.7599999998</v>
      </c>
      <c r="H52" s="56">
        <v>23.358345374042127</v>
      </c>
      <c r="I52" s="50">
        <v>7481150.9900000002</v>
      </c>
    </row>
    <row r="53" spans="1:9" ht="22.5">
      <c r="A53" s="27">
        <v>2568</v>
      </c>
      <c r="B53" s="28">
        <v>1</v>
      </c>
      <c r="C53" s="28">
        <v>1</v>
      </c>
      <c r="D53" s="58">
        <v>1500400045</v>
      </c>
      <c r="E53" s="55" t="s">
        <v>99</v>
      </c>
      <c r="F53" s="56">
        <v>32080342.52</v>
      </c>
      <c r="G53" s="56">
        <v>7409196.9800000004</v>
      </c>
      <c r="H53" s="56">
        <v>23.095753966407464</v>
      </c>
      <c r="I53" s="50">
        <v>21067485.129999999</v>
      </c>
    </row>
    <row r="54" spans="1:9" ht="22.5">
      <c r="A54" s="27">
        <v>2568</v>
      </c>
      <c r="B54" s="28">
        <v>1</v>
      </c>
      <c r="C54" s="28">
        <v>1</v>
      </c>
      <c r="D54" s="58">
        <v>1500400093</v>
      </c>
      <c r="E54" s="55" t="s">
        <v>72</v>
      </c>
      <c r="F54" s="56">
        <v>9491122.9800000004</v>
      </c>
      <c r="G54" s="56">
        <v>2165040.91</v>
      </c>
      <c r="H54" s="56">
        <v>22.811219647688095</v>
      </c>
      <c r="I54" s="50">
        <v>14359134.08</v>
      </c>
    </row>
    <row r="55" spans="1:9" ht="22.5">
      <c r="A55" s="27">
        <v>2568</v>
      </c>
      <c r="B55" s="28">
        <v>1</v>
      </c>
      <c r="C55" s="28">
        <v>1</v>
      </c>
      <c r="D55" s="58">
        <v>1500400070</v>
      </c>
      <c r="E55" s="55" t="s">
        <v>57</v>
      </c>
      <c r="F55" s="56">
        <v>9808590</v>
      </c>
      <c r="G55" s="56">
        <v>2217718.92</v>
      </c>
      <c r="H55" s="56">
        <v>22.60996657011864</v>
      </c>
      <c r="I55" s="50">
        <v>12916158.58</v>
      </c>
    </row>
    <row r="56" spans="1:9" ht="22.5">
      <c r="A56" s="27">
        <v>2568</v>
      </c>
      <c r="B56" s="28">
        <v>1</v>
      </c>
      <c r="C56" s="28">
        <v>1</v>
      </c>
      <c r="D56" s="58">
        <v>1500400049</v>
      </c>
      <c r="E56" s="55" t="s">
        <v>101</v>
      </c>
      <c r="F56" s="56">
        <v>10937726.26</v>
      </c>
      <c r="G56" s="56">
        <v>2466972.16</v>
      </c>
      <c r="H56" s="56">
        <v>22.554707453430087</v>
      </c>
      <c r="I56" s="50">
        <v>17525304.219999999</v>
      </c>
    </row>
    <row r="57" spans="1:9" ht="22.5">
      <c r="A57" s="27">
        <v>2568</v>
      </c>
      <c r="B57" s="28">
        <v>1</v>
      </c>
      <c r="C57" s="28">
        <v>1</v>
      </c>
      <c r="D57" s="58">
        <v>1500400038</v>
      </c>
      <c r="E57" s="55" t="s">
        <v>98</v>
      </c>
      <c r="F57" s="56">
        <v>11009910</v>
      </c>
      <c r="G57" s="56">
        <v>2416525.0299999998</v>
      </c>
      <c r="H57" s="56">
        <v>21.948635638256803</v>
      </c>
      <c r="I57" s="50">
        <v>11137259.199999999</v>
      </c>
    </row>
    <row r="58" spans="1:9" ht="22.5">
      <c r="A58" s="27">
        <v>2568</v>
      </c>
      <c r="B58" s="28">
        <v>1</v>
      </c>
      <c r="C58" s="28">
        <v>1</v>
      </c>
      <c r="D58" s="58">
        <v>1500400028</v>
      </c>
      <c r="E58" s="55" t="s">
        <v>31</v>
      </c>
      <c r="F58" s="56">
        <v>8486005</v>
      </c>
      <c r="G58" s="56">
        <v>1837207.83</v>
      </c>
      <c r="H58" s="56">
        <v>21.649855615215877</v>
      </c>
      <c r="I58" s="50">
        <v>8854209.4499999993</v>
      </c>
    </row>
    <row r="59" spans="1:9" ht="22.5">
      <c r="A59" s="27">
        <v>2568</v>
      </c>
      <c r="B59" s="28">
        <v>1</v>
      </c>
      <c r="C59" s="28">
        <v>1</v>
      </c>
      <c r="D59" s="58">
        <v>1500400095</v>
      </c>
      <c r="E59" s="55" t="s">
        <v>73</v>
      </c>
      <c r="F59" s="56">
        <v>12325204.449999999</v>
      </c>
      <c r="G59" s="56">
        <v>2646455.5699999998</v>
      </c>
      <c r="H59" s="56">
        <v>21.471899965115792</v>
      </c>
      <c r="I59" s="50">
        <v>13025746.449999999</v>
      </c>
    </row>
    <row r="60" spans="1:9" ht="22.5">
      <c r="A60" s="27">
        <v>2568</v>
      </c>
      <c r="B60" s="28">
        <v>1</v>
      </c>
      <c r="C60" s="28">
        <v>1</v>
      </c>
      <c r="D60" s="58">
        <v>1500400041</v>
      </c>
      <c r="E60" s="55" t="s">
        <v>38</v>
      </c>
      <c r="F60" s="56">
        <v>41766757.350000001</v>
      </c>
      <c r="G60" s="56">
        <v>8940153.1099999994</v>
      </c>
      <c r="H60" s="56">
        <v>21.404949000667393</v>
      </c>
      <c r="I60" s="50">
        <v>19126403.609999999</v>
      </c>
    </row>
    <row r="61" spans="1:9" ht="22.5">
      <c r="A61" s="27">
        <v>2568</v>
      </c>
      <c r="B61" s="28">
        <v>1</v>
      </c>
      <c r="C61" s="28">
        <v>1</v>
      </c>
      <c r="D61" s="58">
        <v>1500400046</v>
      </c>
      <c r="E61" s="55" t="s">
        <v>42</v>
      </c>
      <c r="F61" s="56">
        <v>12613085</v>
      </c>
      <c r="G61" s="56">
        <v>2696979.95</v>
      </c>
      <c r="H61" s="56">
        <v>21.382397327854367</v>
      </c>
      <c r="I61" s="50">
        <v>6351275.9400000004</v>
      </c>
    </row>
    <row r="62" spans="1:9" ht="22.5">
      <c r="A62" s="27">
        <v>2568</v>
      </c>
      <c r="B62" s="28">
        <v>1</v>
      </c>
      <c r="C62" s="28">
        <v>1</v>
      </c>
      <c r="D62" s="58">
        <v>1500400071</v>
      </c>
      <c r="E62" s="55" t="s">
        <v>58</v>
      </c>
      <c r="F62" s="56">
        <v>13314192.189999999</v>
      </c>
      <c r="G62" s="56">
        <v>2837905.37</v>
      </c>
      <c r="H62" s="56">
        <v>21.314889626811073</v>
      </c>
      <c r="I62" s="50">
        <v>11404451.119999999</v>
      </c>
    </row>
    <row r="63" spans="1:9" ht="22.5">
      <c r="A63" s="27">
        <v>2568</v>
      </c>
      <c r="B63" s="28">
        <v>1</v>
      </c>
      <c r="C63" s="28">
        <v>1</v>
      </c>
      <c r="D63" s="58">
        <v>1500400089</v>
      </c>
      <c r="E63" s="55" t="s">
        <v>111</v>
      </c>
      <c r="F63" s="56">
        <v>19152410</v>
      </c>
      <c r="G63" s="56">
        <v>4065933.2</v>
      </c>
      <c r="H63" s="56">
        <v>21.229355470147098</v>
      </c>
      <c r="I63" s="50">
        <v>13152176.33</v>
      </c>
    </row>
    <row r="64" spans="1:9" ht="22.5">
      <c r="A64" s="27">
        <v>2568</v>
      </c>
      <c r="B64" s="28">
        <v>1</v>
      </c>
      <c r="C64" s="28">
        <v>1</v>
      </c>
      <c r="D64" s="58">
        <v>1500400057</v>
      </c>
      <c r="E64" s="55" t="s">
        <v>50</v>
      </c>
      <c r="F64" s="56">
        <v>25555170</v>
      </c>
      <c r="G64" s="56">
        <v>5391081.5300000003</v>
      </c>
      <c r="H64" s="56">
        <v>21.095854693981689</v>
      </c>
      <c r="I64" s="50">
        <v>13439857.08</v>
      </c>
    </row>
    <row r="65" spans="1:9" ht="22.5">
      <c r="A65" s="27">
        <v>2568</v>
      </c>
      <c r="B65" s="28">
        <v>1</v>
      </c>
      <c r="C65" s="28">
        <v>1</v>
      </c>
      <c r="D65" s="58">
        <v>1500400081</v>
      </c>
      <c r="E65" s="55" t="s">
        <v>20</v>
      </c>
      <c r="F65" s="56">
        <v>7292955</v>
      </c>
      <c r="G65" s="56">
        <v>1534849.28</v>
      </c>
      <c r="H65" s="56">
        <v>21.045643089803789</v>
      </c>
      <c r="I65" s="50">
        <v>13662969.15</v>
      </c>
    </row>
    <row r="66" spans="1:9" ht="22.5">
      <c r="A66" s="27">
        <v>2568</v>
      </c>
      <c r="B66" s="28">
        <v>1</v>
      </c>
      <c r="C66" s="28">
        <v>1</v>
      </c>
      <c r="D66" s="58">
        <v>1500400058</v>
      </c>
      <c r="E66" s="55" t="s">
        <v>103</v>
      </c>
      <c r="F66" s="56">
        <v>17511445.920000002</v>
      </c>
      <c r="G66" s="56">
        <v>3642171.89</v>
      </c>
      <c r="H66" s="56">
        <v>20.798807286611542</v>
      </c>
      <c r="I66" s="50">
        <v>22768201.719999999</v>
      </c>
    </row>
    <row r="67" spans="1:9" ht="22.5">
      <c r="A67" s="27">
        <v>2568</v>
      </c>
      <c r="B67" s="28">
        <v>1</v>
      </c>
      <c r="C67" s="28">
        <v>1</v>
      </c>
      <c r="D67" s="58">
        <v>1500400037</v>
      </c>
      <c r="E67" s="55" t="s">
        <v>35</v>
      </c>
      <c r="F67" s="56">
        <v>13317319.029999999</v>
      </c>
      <c r="G67" s="56">
        <v>2723097.31</v>
      </c>
      <c r="H67" s="56">
        <v>20.447789107294518</v>
      </c>
      <c r="I67" s="50">
        <v>11992546.449999999</v>
      </c>
    </row>
    <row r="68" spans="1:9" ht="22.5">
      <c r="A68" s="27">
        <v>2568</v>
      </c>
      <c r="B68" s="28">
        <v>1</v>
      </c>
      <c r="C68" s="28">
        <v>1</v>
      </c>
      <c r="D68" s="58">
        <v>1500400060</v>
      </c>
      <c r="E68" s="55" t="s">
        <v>104</v>
      </c>
      <c r="F68" s="56">
        <v>27593008.359999999</v>
      </c>
      <c r="G68" s="56">
        <v>5619398.3700000001</v>
      </c>
      <c r="H68" s="56">
        <v>20.36529796492259</v>
      </c>
      <c r="I68" s="50">
        <v>32870541.379999999</v>
      </c>
    </row>
    <row r="69" spans="1:9" ht="22.5">
      <c r="A69" s="27">
        <v>2568</v>
      </c>
      <c r="B69" s="28">
        <v>1</v>
      </c>
      <c r="C69" s="28">
        <v>1</v>
      </c>
      <c r="D69" s="58">
        <v>1500400098</v>
      </c>
      <c r="E69" s="55" t="s">
        <v>75</v>
      </c>
      <c r="F69" s="56">
        <v>14601610</v>
      </c>
      <c r="G69" s="56">
        <v>2910876.09</v>
      </c>
      <c r="H69" s="56">
        <v>19.935309120021696</v>
      </c>
      <c r="I69" s="50">
        <v>30335376.030000001</v>
      </c>
    </row>
    <row r="70" spans="1:9" ht="22.5">
      <c r="A70" s="27">
        <v>2568</v>
      </c>
      <c r="B70" s="28">
        <v>1</v>
      </c>
      <c r="C70" s="28">
        <v>1</v>
      </c>
      <c r="D70" s="58">
        <v>1500400051</v>
      </c>
      <c r="E70" s="55" t="s">
        <v>102</v>
      </c>
      <c r="F70" s="56">
        <v>25484445</v>
      </c>
      <c r="G70" s="56">
        <v>5079411.5599999996</v>
      </c>
      <c r="H70" s="56">
        <v>19.93141918531088</v>
      </c>
      <c r="I70" s="50">
        <v>7912033.9500000002</v>
      </c>
    </row>
    <row r="71" spans="1:9" ht="22.5">
      <c r="A71" s="27">
        <v>2568</v>
      </c>
      <c r="B71" s="28">
        <v>1</v>
      </c>
      <c r="C71" s="28">
        <v>1</v>
      </c>
      <c r="D71" s="58">
        <v>1500400080</v>
      </c>
      <c r="E71" s="55" t="s">
        <v>64</v>
      </c>
      <c r="F71" s="56">
        <v>10832580</v>
      </c>
      <c r="G71" s="56">
        <v>1946328.56</v>
      </c>
      <c r="H71" s="56">
        <v>17.967359207132557</v>
      </c>
      <c r="I71" s="50">
        <v>12290913.67</v>
      </c>
    </row>
    <row r="72" spans="1:9" ht="22.5">
      <c r="A72" s="27">
        <v>2568</v>
      </c>
      <c r="B72" s="28">
        <v>1</v>
      </c>
      <c r="C72" s="28">
        <v>1</v>
      </c>
      <c r="D72" s="58">
        <v>1500400031</v>
      </c>
      <c r="E72" s="55" t="s">
        <v>32</v>
      </c>
      <c r="F72" s="56">
        <v>9394965</v>
      </c>
      <c r="G72" s="56">
        <v>1659592.23</v>
      </c>
      <c r="H72" s="56">
        <v>17.664698378333501</v>
      </c>
      <c r="I72" s="50">
        <v>23437668.390000001</v>
      </c>
    </row>
    <row r="73" spans="1:9" ht="22.5">
      <c r="A73" s="27">
        <v>2568</v>
      </c>
      <c r="B73" s="28">
        <v>1</v>
      </c>
      <c r="C73" s="28">
        <v>1</v>
      </c>
      <c r="D73" s="58">
        <v>1500400026</v>
      </c>
      <c r="E73" s="55" t="s">
        <v>92</v>
      </c>
      <c r="F73" s="56">
        <v>11520883.609999999</v>
      </c>
      <c r="G73" s="56">
        <v>1855319.4</v>
      </c>
      <c r="H73" s="56">
        <v>16.103967914315213</v>
      </c>
      <c r="I73" s="50">
        <v>36059890.469999999</v>
      </c>
    </row>
    <row r="74" spans="1:9" ht="22.5">
      <c r="A74" s="27">
        <v>2568</v>
      </c>
      <c r="B74" s="28">
        <v>1</v>
      </c>
      <c r="C74" s="28">
        <v>1</v>
      </c>
      <c r="D74" s="58">
        <v>1500400124</v>
      </c>
      <c r="E74" s="55" t="s">
        <v>76</v>
      </c>
      <c r="F74" s="56">
        <v>11386976.26</v>
      </c>
      <c r="G74" s="56">
        <v>1780696.23</v>
      </c>
      <c r="H74" s="56">
        <v>15.638007749741282</v>
      </c>
      <c r="I74" s="50">
        <v>15718392.560000001</v>
      </c>
    </row>
    <row r="75" spans="1:9" ht="22.5">
      <c r="A75" s="27">
        <v>2568</v>
      </c>
      <c r="B75" s="28">
        <v>1</v>
      </c>
      <c r="C75" s="28">
        <v>1</v>
      </c>
      <c r="D75" s="58">
        <v>1500400025</v>
      </c>
      <c r="E75" s="55" t="s">
        <v>91</v>
      </c>
      <c r="F75" s="56">
        <v>12439505</v>
      </c>
      <c r="G75" s="56">
        <v>1930453.74</v>
      </c>
      <c r="H75" s="56">
        <v>15.51873438693903</v>
      </c>
      <c r="I75" s="50">
        <v>14088328.08</v>
      </c>
    </row>
    <row r="76" spans="1:9" ht="22.5">
      <c r="A76" s="27">
        <v>2568</v>
      </c>
      <c r="B76" s="28">
        <v>1</v>
      </c>
      <c r="C76" s="28">
        <v>1</v>
      </c>
      <c r="D76" s="58">
        <v>1500400069</v>
      </c>
      <c r="E76" s="55" t="s">
        <v>56</v>
      </c>
      <c r="F76" s="56">
        <v>19204446.129999999</v>
      </c>
      <c r="G76" s="56">
        <v>2591669.34</v>
      </c>
      <c r="H76" s="56">
        <v>13.49515274981794</v>
      </c>
      <c r="I76" s="50">
        <v>23591311.16</v>
      </c>
    </row>
    <row r="77" spans="1:9" ht="22.5">
      <c r="A77" s="27">
        <v>2568</v>
      </c>
      <c r="B77" s="28">
        <v>1</v>
      </c>
      <c r="C77" s="28">
        <v>1</v>
      </c>
      <c r="D77" s="58">
        <v>1500400064</v>
      </c>
      <c r="E77" s="55" t="s">
        <v>105</v>
      </c>
      <c r="F77" s="56">
        <v>26641603.82</v>
      </c>
      <c r="G77" s="56">
        <v>2361920.36</v>
      </c>
      <c r="H77" s="56">
        <v>8.8655336816730728</v>
      </c>
      <c r="I77" s="50">
        <v>16264374.449999999</v>
      </c>
    </row>
    <row r="78" spans="1:9">
      <c r="H78" s="24"/>
    </row>
    <row r="79" spans="1:9">
      <c r="H79" s="24"/>
    </row>
    <row r="80" spans="1:9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</sheetData>
  <pageMargins left="0.7" right="0.7" top="0.75" bottom="0.75" header="0.3" footer="0.3"/>
  <pageSetup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/>
  <dimension ref="A1:H12"/>
  <sheetViews>
    <sheetView workbookViewId="0">
      <selection activeCell="E5" sqref="E5"/>
    </sheetView>
  </sheetViews>
  <sheetFormatPr defaultRowHeight="18"/>
  <cols>
    <col min="1" max="3" width="9.140625" style="22"/>
    <col min="4" max="4" width="15.5703125" style="22" customWidth="1"/>
    <col min="5" max="5" width="23.5703125" style="22" customWidth="1"/>
    <col min="6" max="6" width="19.5703125" style="23" customWidth="1"/>
    <col min="7" max="7" width="20.42578125" style="23" customWidth="1"/>
    <col min="8" max="8" width="13" style="22" customWidth="1"/>
    <col min="9" max="259" width="9.140625" style="6"/>
    <col min="260" max="260" width="11" style="6" bestFit="1" customWidth="1"/>
    <col min="261" max="261" width="14.7109375" style="6" bestFit="1" customWidth="1"/>
    <col min="262" max="262" width="11.42578125" style="6" bestFit="1" customWidth="1"/>
    <col min="263" max="263" width="11.5703125" style="6" bestFit="1" customWidth="1"/>
    <col min="264" max="264" width="9.28515625" style="6" bestFit="1" customWidth="1"/>
    <col min="265" max="515" width="9.140625" style="6"/>
    <col min="516" max="516" width="11" style="6" bestFit="1" customWidth="1"/>
    <col min="517" max="517" width="14.7109375" style="6" bestFit="1" customWidth="1"/>
    <col min="518" max="518" width="11.42578125" style="6" bestFit="1" customWidth="1"/>
    <col min="519" max="519" width="11.5703125" style="6" bestFit="1" customWidth="1"/>
    <col min="520" max="520" width="9.28515625" style="6" bestFit="1" customWidth="1"/>
    <col min="521" max="771" width="9.140625" style="6"/>
    <col min="772" max="772" width="11" style="6" bestFit="1" customWidth="1"/>
    <col min="773" max="773" width="14.7109375" style="6" bestFit="1" customWidth="1"/>
    <col min="774" max="774" width="11.42578125" style="6" bestFit="1" customWidth="1"/>
    <col min="775" max="775" width="11.5703125" style="6" bestFit="1" customWidth="1"/>
    <col min="776" max="776" width="9.28515625" style="6" bestFit="1" customWidth="1"/>
    <col min="777" max="1027" width="9.140625" style="6"/>
    <col min="1028" max="1028" width="11" style="6" bestFit="1" customWidth="1"/>
    <col min="1029" max="1029" width="14.7109375" style="6" bestFit="1" customWidth="1"/>
    <col min="1030" max="1030" width="11.42578125" style="6" bestFit="1" customWidth="1"/>
    <col min="1031" max="1031" width="11.5703125" style="6" bestFit="1" customWidth="1"/>
    <col min="1032" max="1032" width="9.28515625" style="6" bestFit="1" customWidth="1"/>
    <col min="1033" max="1283" width="9.140625" style="6"/>
    <col min="1284" max="1284" width="11" style="6" bestFit="1" customWidth="1"/>
    <col min="1285" max="1285" width="14.7109375" style="6" bestFit="1" customWidth="1"/>
    <col min="1286" max="1286" width="11.42578125" style="6" bestFit="1" customWidth="1"/>
    <col min="1287" max="1287" width="11.5703125" style="6" bestFit="1" customWidth="1"/>
    <col min="1288" max="1288" width="9.28515625" style="6" bestFit="1" customWidth="1"/>
    <col min="1289" max="1539" width="9.140625" style="6"/>
    <col min="1540" max="1540" width="11" style="6" bestFit="1" customWidth="1"/>
    <col min="1541" max="1541" width="14.7109375" style="6" bestFit="1" customWidth="1"/>
    <col min="1542" max="1542" width="11.42578125" style="6" bestFit="1" customWidth="1"/>
    <col min="1543" max="1543" width="11.5703125" style="6" bestFit="1" customWidth="1"/>
    <col min="1544" max="1544" width="9.28515625" style="6" bestFit="1" customWidth="1"/>
    <col min="1545" max="1795" width="9.140625" style="6"/>
    <col min="1796" max="1796" width="11" style="6" bestFit="1" customWidth="1"/>
    <col min="1797" max="1797" width="14.7109375" style="6" bestFit="1" customWidth="1"/>
    <col min="1798" max="1798" width="11.42578125" style="6" bestFit="1" customWidth="1"/>
    <col min="1799" max="1799" width="11.5703125" style="6" bestFit="1" customWidth="1"/>
    <col min="1800" max="1800" width="9.28515625" style="6" bestFit="1" customWidth="1"/>
    <col min="1801" max="2051" width="9.140625" style="6"/>
    <col min="2052" max="2052" width="11" style="6" bestFit="1" customWidth="1"/>
    <col min="2053" max="2053" width="14.7109375" style="6" bestFit="1" customWidth="1"/>
    <col min="2054" max="2054" width="11.42578125" style="6" bestFit="1" customWidth="1"/>
    <col min="2055" max="2055" width="11.5703125" style="6" bestFit="1" customWidth="1"/>
    <col min="2056" max="2056" width="9.28515625" style="6" bestFit="1" customWidth="1"/>
    <col min="2057" max="2307" width="9.140625" style="6"/>
    <col min="2308" max="2308" width="11" style="6" bestFit="1" customWidth="1"/>
    <col min="2309" max="2309" width="14.7109375" style="6" bestFit="1" customWidth="1"/>
    <col min="2310" max="2310" width="11.42578125" style="6" bestFit="1" customWidth="1"/>
    <col min="2311" max="2311" width="11.5703125" style="6" bestFit="1" customWidth="1"/>
    <col min="2312" max="2312" width="9.28515625" style="6" bestFit="1" customWidth="1"/>
    <col min="2313" max="2563" width="9.140625" style="6"/>
    <col min="2564" max="2564" width="11" style="6" bestFit="1" customWidth="1"/>
    <col min="2565" max="2565" width="14.7109375" style="6" bestFit="1" customWidth="1"/>
    <col min="2566" max="2566" width="11.42578125" style="6" bestFit="1" customWidth="1"/>
    <col min="2567" max="2567" width="11.5703125" style="6" bestFit="1" customWidth="1"/>
    <col min="2568" max="2568" width="9.28515625" style="6" bestFit="1" customWidth="1"/>
    <col min="2569" max="2819" width="9.140625" style="6"/>
    <col min="2820" max="2820" width="11" style="6" bestFit="1" customWidth="1"/>
    <col min="2821" max="2821" width="14.7109375" style="6" bestFit="1" customWidth="1"/>
    <col min="2822" max="2822" width="11.42578125" style="6" bestFit="1" customWidth="1"/>
    <col min="2823" max="2823" width="11.5703125" style="6" bestFit="1" customWidth="1"/>
    <col min="2824" max="2824" width="9.28515625" style="6" bestFit="1" customWidth="1"/>
    <col min="2825" max="3075" width="9.140625" style="6"/>
    <col min="3076" max="3076" width="11" style="6" bestFit="1" customWidth="1"/>
    <col min="3077" max="3077" width="14.7109375" style="6" bestFit="1" customWidth="1"/>
    <col min="3078" max="3078" width="11.42578125" style="6" bestFit="1" customWidth="1"/>
    <col min="3079" max="3079" width="11.5703125" style="6" bestFit="1" customWidth="1"/>
    <col min="3080" max="3080" width="9.28515625" style="6" bestFit="1" customWidth="1"/>
    <col min="3081" max="3331" width="9.140625" style="6"/>
    <col min="3332" max="3332" width="11" style="6" bestFit="1" customWidth="1"/>
    <col min="3333" max="3333" width="14.7109375" style="6" bestFit="1" customWidth="1"/>
    <col min="3334" max="3334" width="11.42578125" style="6" bestFit="1" customWidth="1"/>
    <col min="3335" max="3335" width="11.5703125" style="6" bestFit="1" customWidth="1"/>
    <col min="3336" max="3336" width="9.28515625" style="6" bestFit="1" customWidth="1"/>
    <col min="3337" max="3587" width="9.140625" style="6"/>
    <col min="3588" max="3588" width="11" style="6" bestFit="1" customWidth="1"/>
    <col min="3589" max="3589" width="14.7109375" style="6" bestFit="1" customWidth="1"/>
    <col min="3590" max="3590" width="11.42578125" style="6" bestFit="1" customWidth="1"/>
    <col min="3591" max="3591" width="11.5703125" style="6" bestFit="1" customWidth="1"/>
    <col min="3592" max="3592" width="9.28515625" style="6" bestFit="1" customWidth="1"/>
    <col min="3593" max="3843" width="9.140625" style="6"/>
    <col min="3844" max="3844" width="11" style="6" bestFit="1" customWidth="1"/>
    <col min="3845" max="3845" width="14.7109375" style="6" bestFit="1" customWidth="1"/>
    <col min="3846" max="3846" width="11.42578125" style="6" bestFit="1" customWidth="1"/>
    <col min="3847" max="3847" width="11.5703125" style="6" bestFit="1" customWidth="1"/>
    <col min="3848" max="3848" width="9.28515625" style="6" bestFit="1" customWidth="1"/>
    <col min="3849" max="4099" width="9.140625" style="6"/>
    <col min="4100" max="4100" width="11" style="6" bestFit="1" customWidth="1"/>
    <col min="4101" max="4101" width="14.7109375" style="6" bestFit="1" customWidth="1"/>
    <col min="4102" max="4102" width="11.42578125" style="6" bestFit="1" customWidth="1"/>
    <col min="4103" max="4103" width="11.5703125" style="6" bestFit="1" customWidth="1"/>
    <col min="4104" max="4104" width="9.28515625" style="6" bestFit="1" customWidth="1"/>
    <col min="4105" max="4355" width="9.140625" style="6"/>
    <col min="4356" max="4356" width="11" style="6" bestFit="1" customWidth="1"/>
    <col min="4357" max="4357" width="14.7109375" style="6" bestFit="1" customWidth="1"/>
    <col min="4358" max="4358" width="11.42578125" style="6" bestFit="1" customWidth="1"/>
    <col min="4359" max="4359" width="11.5703125" style="6" bestFit="1" customWidth="1"/>
    <col min="4360" max="4360" width="9.28515625" style="6" bestFit="1" customWidth="1"/>
    <col min="4361" max="4611" width="9.140625" style="6"/>
    <col min="4612" max="4612" width="11" style="6" bestFit="1" customWidth="1"/>
    <col min="4613" max="4613" width="14.7109375" style="6" bestFit="1" customWidth="1"/>
    <col min="4614" max="4614" width="11.42578125" style="6" bestFit="1" customWidth="1"/>
    <col min="4615" max="4615" width="11.5703125" style="6" bestFit="1" customWidth="1"/>
    <col min="4616" max="4616" width="9.28515625" style="6" bestFit="1" customWidth="1"/>
    <col min="4617" max="4867" width="9.140625" style="6"/>
    <col min="4868" max="4868" width="11" style="6" bestFit="1" customWidth="1"/>
    <col min="4869" max="4869" width="14.7109375" style="6" bestFit="1" customWidth="1"/>
    <col min="4870" max="4870" width="11.42578125" style="6" bestFit="1" customWidth="1"/>
    <col min="4871" max="4871" width="11.5703125" style="6" bestFit="1" customWidth="1"/>
    <col min="4872" max="4872" width="9.28515625" style="6" bestFit="1" customWidth="1"/>
    <col min="4873" max="5123" width="9.140625" style="6"/>
    <col min="5124" max="5124" width="11" style="6" bestFit="1" customWidth="1"/>
    <col min="5125" max="5125" width="14.7109375" style="6" bestFit="1" customWidth="1"/>
    <col min="5126" max="5126" width="11.42578125" style="6" bestFit="1" customWidth="1"/>
    <col min="5127" max="5127" width="11.5703125" style="6" bestFit="1" customWidth="1"/>
    <col min="5128" max="5128" width="9.28515625" style="6" bestFit="1" customWidth="1"/>
    <col min="5129" max="5379" width="9.140625" style="6"/>
    <col min="5380" max="5380" width="11" style="6" bestFit="1" customWidth="1"/>
    <col min="5381" max="5381" width="14.7109375" style="6" bestFit="1" customWidth="1"/>
    <col min="5382" max="5382" width="11.42578125" style="6" bestFit="1" customWidth="1"/>
    <col min="5383" max="5383" width="11.5703125" style="6" bestFit="1" customWidth="1"/>
    <col min="5384" max="5384" width="9.28515625" style="6" bestFit="1" customWidth="1"/>
    <col min="5385" max="5635" width="9.140625" style="6"/>
    <col min="5636" max="5636" width="11" style="6" bestFit="1" customWidth="1"/>
    <col min="5637" max="5637" width="14.7109375" style="6" bestFit="1" customWidth="1"/>
    <col min="5638" max="5638" width="11.42578125" style="6" bestFit="1" customWidth="1"/>
    <col min="5639" max="5639" width="11.5703125" style="6" bestFit="1" customWidth="1"/>
    <col min="5640" max="5640" width="9.28515625" style="6" bestFit="1" customWidth="1"/>
    <col min="5641" max="5891" width="9.140625" style="6"/>
    <col min="5892" max="5892" width="11" style="6" bestFit="1" customWidth="1"/>
    <col min="5893" max="5893" width="14.7109375" style="6" bestFit="1" customWidth="1"/>
    <col min="5894" max="5894" width="11.42578125" style="6" bestFit="1" customWidth="1"/>
    <col min="5895" max="5895" width="11.5703125" style="6" bestFit="1" customWidth="1"/>
    <col min="5896" max="5896" width="9.28515625" style="6" bestFit="1" customWidth="1"/>
    <col min="5897" max="6147" width="9.140625" style="6"/>
    <col min="6148" max="6148" width="11" style="6" bestFit="1" customWidth="1"/>
    <col min="6149" max="6149" width="14.7109375" style="6" bestFit="1" customWidth="1"/>
    <col min="6150" max="6150" width="11.42578125" style="6" bestFit="1" customWidth="1"/>
    <col min="6151" max="6151" width="11.5703125" style="6" bestFit="1" customWidth="1"/>
    <col min="6152" max="6152" width="9.28515625" style="6" bestFit="1" customWidth="1"/>
    <col min="6153" max="6403" width="9.140625" style="6"/>
    <col min="6404" max="6404" width="11" style="6" bestFit="1" customWidth="1"/>
    <col min="6405" max="6405" width="14.7109375" style="6" bestFit="1" customWidth="1"/>
    <col min="6406" max="6406" width="11.42578125" style="6" bestFit="1" customWidth="1"/>
    <col min="6407" max="6407" width="11.5703125" style="6" bestFit="1" customWidth="1"/>
    <col min="6408" max="6408" width="9.28515625" style="6" bestFit="1" customWidth="1"/>
    <col min="6409" max="6659" width="9.140625" style="6"/>
    <col min="6660" max="6660" width="11" style="6" bestFit="1" customWidth="1"/>
    <col min="6661" max="6661" width="14.7109375" style="6" bestFit="1" customWidth="1"/>
    <col min="6662" max="6662" width="11.42578125" style="6" bestFit="1" customWidth="1"/>
    <col min="6663" max="6663" width="11.5703125" style="6" bestFit="1" customWidth="1"/>
    <col min="6664" max="6664" width="9.28515625" style="6" bestFit="1" customWidth="1"/>
    <col min="6665" max="6915" width="9.140625" style="6"/>
    <col min="6916" max="6916" width="11" style="6" bestFit="1" customWidth="1"/>
    <col min="6917" max="6917" width="14.7109375" style="6" bestFit="1" customWidth="1"/>
    <col min="6918" max="6918" width="11.42578125" style="6" bestFit="1" customWidth="1"/>
    <col min="6919" max="6919" width="11.5703125" style="6" bestFit="1" customWidth="1"/>
    <col min="6920" max="6920" width="9.28515625" style="6" bestFit="1" customWidth="1"/>
    <col min="6921" max="7171" width="9.140625" style="6"/>
    <col min="7172" max="7172" width="11" style="6" bestFit="1" customWidth="1"/>
    <col min="7173" max="7173" width="14.7109375" style="6" bestFit="1" customWidth="1"/>
    <col min="7174" max="7174" width="11.42578125" style="6" bestFit="1" customWidth="1"/>
    <col min="7175" max="7175" width="11.5703125" style="6" bestFit="1" customWidth="1"/>
    <col min="7176" max="7176" width="9.28515625" style="6" bestFit="1" customWidth="1"/>
    <col min="7177" max="7427" width="9.140625" style="6"/>
    <col min="7428" max="7428" width="11" style="6" bestFit="1" customWidth="1"/>
    <col min="7429" max="7429" width="14.7109375" style="6" bestFit="1" customWidth="1"/>
    <col min="7430" max="7430" width="11.42578125" style="6" bestFit="1" customWidth="1"/>
    <col min="7431" max="7431" width="11.5703125" style="6" bestFit="1" customWidth="1"/>
    <col min="7432" max="7432" width="9.28515625" style="6" bestFit="1" customWidth="1"/>
    <col min="7433" max="7683" width="9.140625" style="6"/>
    <col min="7684" max="7684" width="11" style="6" bestFit="1" customWidth="1"/>
    <col min="7685" max="7685" width="14.7109375" style="6" bestFit="1" customWidth="1"/>
    <col min="7686" max="7686" width="11.42578125" style="6" bestFit="1" customWidth="1"/>
    <col min="7687" max="7687" width="11.5703125" style="6" bestFit="1" customWidth="1"/>
    <col min="7688" max="7688" width="9.28515625" style="6" bestFit="1" customWidth="1"/>
    <col min="7689" max="7939" width="9.140625" style="6"/>
    <col min="7940" max="7940" width="11" style="6" bestFit="1" customWidth="1"/>
    <col min="7941" max="7941" width="14.7109375" style="6" bestFit="1" customWidth="1"/>
    <col min="7942" max="7942" width="11.42578125" style="6" bestFit="1" customWidth="1"/>
    <col min="7943" max="7943" width="11.5703125" style="6" bestFit="1" customWidth="1"/>
    <col min="7944" max="7944" width="9.28515625" style="6" bestFit="1" customWidth="1"/>
    <col min="7945" max="8195" width="9.140625" style="6"/>
    <col min="8196" max="8196" width="11" style="6" bestFit="1" customWidth="1"/>
    <col min="8197" max="8197" width="14.7109375" style="6" bestFit="1" customWidth="1"/>
    <col min="8198" max="8198" width="11.42578125" style="6" bestFit="1" customWidth="1"/>
    <col min="8199" max="8199" width="11.5703125" style="6" bestFit="1" customWidth="1"/>
    <col min="8200" max="8200" width="9.28515625" style="6" bestFit="1" customWidth="1"/>
    <col min="8201" max="8451" width="9.140625" style="6"/>
    <col min="8452" max="8452" width="11" style="6" bestFit="1" customWidth="1"/>
    <col min="8453" max="8453" width="14.7109375" style="6" bestFit="1" customWidth="1"/>
    <col min="8454" max="8454" width="11.42578125" style="6" bestFit="1" customWidth="1"/>
    <col min="8455" max="8455" width="11.5703125" style="6" bestFit="1" customWidth="1"/>
    <col min="8456" max="8456" width="9.28515625" style="6" bestFit="1" customWidth="1"/>
    <col min="8457" max="8707" width="9.140625" style="6"/>
    <col min="8708" max="8708" width="11" style="6" bestFit="1" customWidth="1"/>
    <col min="8709" max="8709" width="14.7109375" style="6" bestFit="1" customWidth="1"/>
    <col min="8710" max="8710" width="11.42578125" style="6" bestFit="1" customWidth="1"/>
    <col min="8711" max="8711" width="11.5703125" style="6" bestFit="1" customWidth="1"/>
    <col min="8712" max="8712" width="9.28515625" style="6" bestFit="1" customWidth="1"/>
    <col min="8713" max="8963" width="9.140625" style="6"/>
    <col min="8964" max="8964" width="11" style="6" bestFit="1" customWidth="1"/>
    <col min="8965" max="8965" width="14.7109375" style="6" bestFit="1" customWidth="1"/>
    <col min="8966" max="8966" width="11.42578125" style="6" bestFit="1" customWidth="1"/>
    <col min="8967" max="8967" width="11.5703125" style="6" bestFit="1" customWidth="1"/>
    <col min="8968" max="8968" width="9.28515625" style="6" bestFit="1" customWidth="1"/>
    <col min="8969" max="9219" width="9.140625" style="6"/>
    <col min="9220" max="9220" width="11" style="6" bestFit="1" customWidth="1"/>
    <col min="9221" max="9221" width="14.7109375" style="6" bestFit="1" customWidth="1"/>
    <col min="9222" max="9222" width="11.42578125" style="6" bestFit="1" customWidth="1"/>
    <col min="9223" max="9223" width="11.5703125" style="6" bestFit="1" customWidth="1"/>
    <col min="9224" max="9224" width="9.28515625" style="6" bestFit="1" customWidth="1"/>
    <col min="9225" max="9475" width="9.140625" style="6"/>
    <col min="9476" max="9476" width="11" style="6" bestFit="1" customWidth="1"/>
    <col min="9477" max="9477" width="14.7109375" style="6" bestFit="1" customWidth="1"/>
    <col min="9478" max="9478" width="11.42578125" style="6" bestFit="1" customWidth="1"/>
    <col min="9479" max="9479" width="11.5703125" style="6" bestFit="1" customWidth="1"/>
    <col min="9480" max="9480" width="9.28515625" style="6" bestFit="1" customWidth="1"/>
    <col min="9481" max="9731" width="9.140625" style="6"/>
    <col min="9732" max="9732" width="11" style="6" bestFit="1" customWidth="1"/>
    <col min="9733" max="9733" width="14.7109375" style="6" bestFit="1" customWidth="1"/>
    <col min="9734" max="9734" width="11.42578125" style="6" bestFit="1" customWidth="1"/>
    <col min="9735" max="9735" width="11.5703125" style="6" bestFit="1" customWidth="1"/>
    <col min="9736" max="9736" width="9.28515625" style="6" bestFit="1" customWidth="1"/>
    <col min="9737" max="9987" width="9.140625" style="6"/>
    <col min="9988" max="9988" width="11" style="6" bestFit="1" customWidth="1"/>
    <col min="9989" max="9989" width="14.7109375" style="6" bestFit="1" customWidth="1"/>
    <col min="9990" max="9990" width="11.42578125" style="6" bestFit="1" customWidth="1"/>
    <col min="9991" max="9991" width="11.5703125" style="6" bestFit="1" customWidth="1"/>
    <col min="9992" max="9992" width="9.28515625" style="6" bestFit="1" customWidth="1"/>
    <col min="9993" max="10243" width="9.140625" style="6"/>
    <col min="10244" max="10244" width="11" style="6" bestFit="1" customWidth="1"/>
    <col min="10245" max="10245" width="14.7109375" style="6" bestFit="1" customWidth="1"/>
    <col min="10246" max="10246" width="11.42578125" style="6" bestFit="1" customWidth="1"/>
    <col min="10247" max="10247" width="11.5703125" style="6" bestFit="1" customWidth="1"/>
    <col min="10248" max="10248" width="9.28515625" style="6" bestFit="1" customWidth="1"/>
    <col min="10249" max="10499" width="9.140625" style="6"/>
    <col min="10500" max="10500" width="11" style="6" bestFit="1" customWidth="1"/>
    <col min="10501" max="10501" width="14.7109375" style="6" bestFit="1" customWidth="1"/>
    <col min="10502" max="10502" width="11.42578125" style="6" bestFit="1" customWidth="1"/>
    <col min="10503" max="10503" width="11.5703125" style="6" bestFit="1" customWidth="1"/>
    <col min="10504" max="10504" width="9.28515625" style="6" bestFit="1" customWidth="1"/>
    <col min="10505" max="10755" width="9.140625" style="6"/>
    <col min="10756" max="10756" width="11" style="6" bestFit="1" customWidth="1"/>
    <col min="10757" max="10757" width="14.7109375" style="6" bestFit="1" customWidth="1"/>
    <col min="10758" max="10758" width="11.42578125" style="6" bestFit="1" customWidth="1"/>
    <col min="10759" max="10759" width="11.5703125" style="6" bestFit="1" customWidth="1"/>
    <col min="10760" max="10760" width="9.28515625" style="6" bestFit="1" customWidth="1"/>
    <col min="10761" max="11011" width="9.140625" style="6"/>
    <col min="11012" max="11012" width="11" style="6" bestFit="1" customWidth="1"/>
    <col min="11013" max="11013" width="14.7109375" style="6" bestFit="1" customWidth="1"/>
    <col min="11014" max="11014" width="11.42578125" style="6" bestFit="1" customWidth="1"/>
    <col min="11015" max="11015" width="11.5703125" style="6" bestFit="1" customWidth="1"/>
    <col min="11016" max="11016" width="9.28515625" style="6" bestFit="1" customWidth="1"/>
    <col min="11017" max="11267" width="9.140625" style="6"/>
    <col min="11268" max="11268" width="11" style="6" bestFit="1" customWidth="1"/>
    <col min="11269" max="11269" width="14.7109375" style="6" bestFit="1" customWidth="1"/>
    <col min="11270" max="11270" width="11.42578125" style="6" bestFit="1" customWidth="1"/>
    <col min="11271" max="11271" width="11.5703125" style="6" bestFit="1" customWidth="1"/>
    <col min="11272" max="11272" width="9.28515625" style="6" bestFit="1" customWidth="1"/>
    <col min="11273" max="11523" width="9.140625" style="6"/>
    <col min="11524" max="11524" width="11" style="6" bestFit="1" customWidth="1"/>
    <col min="11525" max="11525" width="14.7109375" style="6" bestFit="1" customWidth="1"/>
    <col min="11526" max="11526" width="11.42578125" style="6" bestFit="1" customWidth="1"/>
    <col min="11527" max="11527" width="11.5703125" style="6" bestFit="1" customWidth="1"/>
    <col min="11528" max="11528" width="9.28515625" style="6" bestFit="1" customWidth="1"/>
    <col min="11529" max="11779" width="9.140625" style="6"/>
    <col min="11780" max="11780" width="11" style="6" bestFit="1" customWidth="1"/>
    <col min="11781" max="11781" width="14.7109375" style="6" bestFit="1" customWidth="1"/>
    <col min="11782" max="11782" width="11.42578125" style="6" bestFit="1" customWidth="1"/>
    <col min="11783" max="11783" width="11.5703125" style="6" bestFit="1" customWidth="1"/>
    <col min="11784" max="11784" width="9.28515625" style="6" bestFit="1" customWidth="1"/>
    <col min="11785" max="12035" width="9.140625" style="6"/>
    <col min="12036" max="12036" width="11" style="6" bestFit="1" customWidth="1"/>
    <col min="12037" max="12037" width="14.7109375" style="6" bestFit="1" customWidth="1"/>
    <col min="12038" max="12038" width="11.42578125" style="6" bestFit="1" customWidth="1"/>
    <col min="12039" max="12039" width="11.5703125" style="6" bestFit="1" customWidth="1"/>
    <col min="12040" max="12040" width="9.28515625" style="6" bestFit="1" customWidth="1"/>
    <col min="12041" max="12291" width="9.140625" style="6"/>
    <col min="12292" max="12292" width="11" style="6" bestFit="1" customWidth="1"/>
    <col min="12293" max="12293" width="14.7109375" style="6" bestFit="1" customWidth="1"/>
    <col min="12294" max="12294" width="11.42578125" style="6" bestFit="1" customWidth="1"/>
    <col min="12295" max="12295" width="11.5703125" style="6" bestFit="1" customWidth="1"/>
    <col min="12296" max="12296" width="9.28515625" style="6" bestFit="1" customWidth="1"/>
    <col min="12297" max="12547" width="9.140625" style="6"/>
    <col min="12548" max="12548" width="11" style="6" bestFit="1" customWidth="1"/>
    <col min="12549" max="12549" width="14.7109375" style="6" bestFit="1" customWidth="1"/>
    <col min="12550" max="12550" width="11.42578125" style="6" bestFit="1" customWidth="1"/>
    <col min="12551" max="12551" width="11.5703125" style="6" bestFit="1" customWidth="1"/>
    <col min="12552" max="12552" width="9.28515625" style="6" bestFit="1" customWidth="1"/>
    <col min="12553" max="12803" width="9.140625" style="6"/>
    <col min="12804" max="12804" width="11" style="6" bestFit="1" customWidth="1"/>
    <col min="12805" max="12805" width="14.7109375" style="6" bestFit="1" customWidth="1"/>
    <col min="12806" max="12806" width="11.42578125" style="6" bestFit="1" customWidth="1"/>
    <col min="12807" max="12807" width="11.5703125" style="6" bestFit="1" customWidth="1"/>
    <col min="12808" max="12808" width="9.28515625" style="6" bestFit="1" customWidth="1"/>
    <col min="12809" max="13059" width="9.140625" style="6"/>
    <col min="13060" max="13060" width="11" style="6" bestFit="1" customWidth="1"/>
    <col min="13061" max="13061" width="14.7109375" style="6" bestFit="1" customWidth="1"/>
    <col min="13062" max="13062" width="11.42578125" style="6" bestFit="1" customWidth="1"/>
    <col min="13063" max="13063" width="11.5703125" style="6" bestFit="1" customWidth="1"/>
    <col min="13064" max="13064" width="9.28515625" style="6" bestFit="1" customWidth="1"/>
    <col min="13065" max="13315" width="9.140625" style="6"/>
    <col min="13316" max="13316" width="11" style="6" bestFit="1" customWidth="1"/>
    <col min="13317" max="13317" width="14.7109375" style="6" bestFit="1" customWidth="1"/>
    <col min="13318" max="13318" width="11.42578125" style="6" bestFit="1" customWidth="1"/>
    <col min="13319" max="13319" width="11.5703125" style="6" bestFit="1" customWidth="1"/>
    <col min="13320" max="13320" width="9.28515625" style="6" bestFit="1" customWidth="1"/>
    <col min="13321" max="13571" width="9.140625" style="6"/>
    <col min="13572" max="13572" width="11" style="6" bestFit="1" customWidth="1"/>
    <col min="13573" max="13573" width="14.7109375" style="6" bestFit="1" customWidth="1"/>
    <col min="13574" max="13574" width="11.42578125" style="6" bestFit="1" customWidth="1"/>
    <col min="13575" max="13575" width="11.5703125" style="6" bestFit="1" customWidth="1"/>
    <col min="13576" max="13576" width="9.28515625" style="6" bestFit="1" customWidth="1"/>
    <col min="13577" max="13827" width="9.140625" style="6"/>
    <col min="13828" max="13828" width="11" style="6" bestFit="1" customWidth="1"/>
    <col min="13829" max="13829" width="14.7109375" style="6" bestFit="1" customWidth="1"/>
    <col min="13830" max="13830" width="11.42578125" style="6" bestFit="1" customWidth="1"/>
    <col min="13831" max="13831" width="11.5703125" style="6" bestFit="1" customWidth="1"/>
    <col min="13832" max="13832" width="9.28515625" style="6" bestFit="1" customWidth="1"/>
    <col min="13833" max="14083" width="9.140625" style="6"/>
    <col min="14084" max="14084" width="11" style="6" bestFit="1" customWidth="1"/>
    <col min="14085" max="14085" width="14.7109375" style="6" bestFit="1" customWidth="1"/>
    <col min="14086" max="14086" width="11.42578125" style="6" bestFit="1" customWidth="1"/>
    <col min="14087" max="14087" width="11.5703125" style="6" bestFit="1" customWidth="1"/>
    <col min="14088" max="14088" width="9.28515625" style="6" bestFit="1" customWidth="1"/>
    <col min="14089" max="14339" width="9.140625" style="6"/>
    <col min="14340" max="14340" width="11" style="6" bestFit="1" customWidth="1"/>
    <col min="14341" max="14341" width="14.7109375" style="6" bestFit="1" customWidth="1"/>
    <col min="14342" max="14342" width="11.42578125" style="6" bestFit="1" customWidth="1"/>
    <col min="14343" max="14343" width="11.5703125" style="6" bestFit="1" customWidth="1"/>
    <col min="14344" max="14344" width="9.28515625" style="6" bestFit="1" customWidth="1"/>
    <col min="14345" max="14595" width="9.140625" style="6"/>
    <col min="14596" max="14596" width="11" style="6" bestFit="1" customWidth="1"/>
    <col min="14597" max="14597" width="14.7109375" style="6" bestFit="1" customWidth="1"/>
    <col min="14598" max="14598" width="11.42578125" style="6" bestFit="1" customWidth="1"/>
    <col min="14599" max="14599" width="11.5703125" style="6" bestFit="1" customWidth="1"/>
    <col min="14600" max="14600" width="9.28515625" style="6" bestFit="1" customWidth="1"/>
    <col min="14601" max="14851" width="9.140625" style="6"/>
    <col min="14852" max="14852" width="11" style="6" bestFit="1" customWidth="1"/>
    <col min="14853" max="14853" width="14.7109375" style="6" bestFit="1" customWidth="1"/>
    <col min="14854" max="14854" width="11.42578125" style="6" bestFit="1" customWidth="1"/>
    <col min="14855" max="14855" width="11.5703125" style="6" bestFit="1" customWidth="1"/>
    <col min="14856" max="14856" width="9.28515625" style="6" bestFit="1" customWidth="1"/>
    <col min="14857" max="15107" width="9.140625" style="6"/>
    <col min="15108" max="15108" width="11" style="6" bestFit="1" customWidth="1"/>
    <col min="15109" max="15109" width="14.7109375" style="6" bestFit="1" customWidth="1"/>
    <col min="15110" max="15110" width="11.42578125" style="6" bestFit="1" customWidth="1"/>
    <col min="15111" max="15111" width="11.5703125" style="6" bestFit="1" customWidth="1"/>
    <col min="15112" max="15112" width="9.28515625" style="6" bestFit="1" customWidth="1"/>
    <col min="15113" max="15363" width="9.140625" style="6"/>
    <col min="15364" max="15364" width="11" style="6" bestFit="1" customWidth="1"/>
    <col min="15365" max="15365" width="14.7109375" style="6" bestFit="1" customWidth="1"/>
    <col min="15366" max="15366" width="11.42578125" style="6" bestFit="1" customWidth="1"/>
    <col min="15367" max="15367" width="11.5703125" style="6" bestFit="1" customWidth="1"/>
    <col min="15368" max="15368" width="9.28515625" style="6" bestFit="1" customWidth="1"/>
    <col min="15369" max="15619" width="9.140625" style="6"/>
    <col min="15620" max="15620" width="11" style="6" bestFit="1" customWidth="1"/>
    <col min="15621" max="15621" width="14.7109375" style="6" bestFit="1" customWidth="1"/>
    <col min="15622" max="15622" width="11.42578125" style="6" bestFit="1" customWidth="1"/>
    <col min="15623" max="15623" width="11.5703125" style="6" bestFit="1" customWidth="1"/>
    <col min="15624" max="15624" width="9.28515625" style="6" bestFit="1" customWidth="1"/>
    <col min="15625" max="15875" width="9.140625" style="6"/>
    <col min="15876" max="15876" width="11" style="6" bestFit="1" customWidth="1"/>
    <col min="15877" max="15877" width="14.7109375" style="6" bestFit="1" customWidth="1"/>
    <col min="15878" max="15878" width="11.42578125" style="6" bestFit="1" customWidth="1"/>
    <col min="15879" max="15879" width="11.5703125" style="6" bestFit="1" customWidth="1"/>
    <col min="15880" max="15880" width="9.28515625" style="6" bestFit="1" customWidth="1"/>
    <col min="15881" max="16131" width="9.140625" style="6"/>
    <col min="16132" max="16132" width="11" style="6" bestFit="1" customWidth="1"/>
    <col min="16133" max="16133" width="14.7109375" style="6" bestFit="1" customWidth="1"/>
    <col min="16134" max="16134" width="11.42578125" style="6" bestFit="1" customWidth="1"/>
    <col min="16135" max="16135" width="11.5703125" style="6" bestFit="1" customWidth="1"/>
    <col min="16136" max="16136" width="9.28515625" style="6" bestFit="1" customWidth="1"/>
    <col min="16137" max="16384" width="9.140625" style="6"/>
  </cols>
  <sheetData>
    <row r="1" spans="1:8">
      <c r="A1" s="25" t="s">
        <v>138</v>
      </c>
      <c r="B1" s="25" t="s">
        <v>139</v>
      </c>
      <c r="C1" s="25" t="s">
        <v>140</v>
      </c>
      <c r="D1" s="39" t="s">
        <v>141</v>
      </c>
      <c r="E1" s="25" t="s">
        <v>142</v>
      </c>
      <c r="F1" s="26" t="s">
        <v>143</v>
      </c>
      <c r="G1" s="26" t="s">
        <v>144</v>
      </c>
      <c r="H1" s="25" t="s">
        <v>145</v>
      </c>
    </row>
    <row r="2" spans="1:8" ht="22.5">
      <c r="A2" s="27">
        <v>2568</v>
      </c>
      <c r="B2" s="28">
        <v>1</v>
      </c>
      <c r="C2" s="28">
        <v>1</v>
      </c>
      <c r="D2" s="58">
        <v>1500400115</v>
      </c>
      <c r="E2" s="98" t="s">
        <v>81</v>
      </c>
      <c r="F2" s="81">
        <v>3410095.42</v>
      </c>
      <c r="G2" s="81">
        <v>2487087.11</v>
      </c>
      <c r="H2" s="81">
        <v>72.933065022561749</v>
      </c>
    </row>
    <row r="3" spans="1:8" ht="22.5">
      <c r="A3" s="27">
        <v>2568</v>
      </c>
      <c r="B3" s="28">
        <v>1</v>
      </c>
      <c r="C3" s="28">
        <v>1</v>
      </c>
      <c r="D3" s="58">
        <v>1500400121</v>
      </c>
      <c r="E3" s="98" t="s">
        <v>86</v>
      </c>
      <c r="F3" s="81">
        <v>3276935</v>
      </c>
      <c r="G3" s="81">
        <v>2101840.5</v>
      </c>
      <c r="H3" s="81">
        <v>64.140439160373944</v>
      </c>
    </row>
    <row r="4" spans="1:8" ht="22.5">
      <c r="A4" s="27">
        <v>2568</v>
      </c>
      <c r="B4" s="28">
        <v>1</v>
      </c>
      <c r="C4" s="28">
        <v>1</v>
      </c>
      <c r="D4" s="58">
        <v>1500400113</v>
      </c>
      <c r="E4" s="98" t="s">
        <v>79</v>
      </c>
      <c r="F4" s="81">
        <v>3453967.77</v>
      </c>
      <c r="G4" s="81">
        <v>2129581.0299999998</v>
      </c>
      <c r="H4" s="81">
        <v>61.656077062931011</v>
      </c>
    </row>
    <row r="5" spans="1:8" ht="22.5">
      <c r="A5" s="27">
        <v>2568</v>
      </c>
      <c r="B5" s="28">
        <v>1</v>
      </c>
      <c r="C5" s="28">
        <v>1</v>
      </c>
      <c r="D5" s="58">
        <v>1500400120</v>
      </c>
      <c r="E5" s="98" t="s">
        <v>187</v>
      </c>
      <c r="F5" s="81">
        <v>5047675.68</v>
      </c>
      <c r="G5" s="81">
        <v>2967873.23</v>
      </c>
      <c r="H5" s="81">
        <v>58.796828840635818</v>
      </c>
    </row>
    <row r="6" spans="1:8" ht="22.5">
      <c r="A6" s="27">
        <v>2568</v>
      </c>
      <c r="B6" s="28">
        <v>1</v>
      </c>
      <c r="C6" s="28">
        <v>1</v>
      </c>
      <c r="D6" s="58">
        <v>1500400119</v>
      </c>
      <c r="E6" s="98" t="s">
        <v>84</v>
      </c>
      <c r="F6" s="81">
        <v>4771768.43</v>
      </c>
      <c r="G6" s="81">
        <v>2702011.52</v>
      </c>
      <c r="H6" s="81">
        <v>56.624950678924712</v>
      </c>
    </row>
    <row r="7" spans="1:8" ht="22.5">
      <c r="A7" s="27">
        <v>2568</v>
      </c>
      <c r="B7" s="28">
        <v>1</v>
      </c>
      <c r="C7" s="28">
        <v>1</v>
      </c>
      <c r="D7" s="58">
        <v>1500400122</v>
      </c>
      <c r="E7" s="98" t="s">
        <v>87</v>
      </c>
      <c r="F7" s="81">
        <v>4990769.83</v>
      </c>
      <c r="G7" s="81">
        <v>2163193.6</v>
      </c>
      <c r="H7" s="81">
        <v>43.343886287779377</v>
      </c>
    </row>
    <row r="8" spans="1:8" ht="22.5">
      <c r="A8" s="27">
        <v>2568</v>
      </c>
      <c r="B8" s="28">
        <v>1</v>
      </c>
      <c r="C8" s="28">
        <v>1</v>
      </c>
      <c r="D8" s="58">
        <v>1500400118</v>
      </c>
      <c r="E8" s="98" t="s">
        <v>83</v>
      </c>
      <c r="F8" s="81">
        <v>6767060.54</v>
      </c>
      <c r="G8" s="81">
        <v>2804512.99</v>
      </c>
      <c r="H8" s="81">
        <v>41.443592434596425</v>
      </c>
    </row>
    <row r="9" spans="1:8" ht="22.5">
      <c r="A9" s="27">
        <v>2568</v>
      </c>
      <c r="B9" s="28">
        <v>1</v>
      </c>
      <c r="C9" s="28">
        <v>1</v>
      </c>
      <c r="D9" s="58">
        <v>1500400117</v>
      </c>
      <c r="E9" s="98" t="s">
        <v>153</v>
      </c>
      <c r="F9" s="81">
        <v>4966876</v>
      </c>
      <c r="G9" s="81">
        <v>1893657.52</v>
      </c>
      <c r="H9" s="81">
        <v>38.12572570766816</v>
      </c>
    </row>
    <row r="10" spans="1:8" ht="22.5">
      <c r="A10" s="27">
        <v>2568</v>
      </c>
      <c r="B10" s="28">
        <v>1</v>
      </c>
      <c r="C10" s="28">
        <v>1</v>
      </c>
      <c r="D10" s="58">
        <v>1500400116</v>
      </c>
      <c r="E10" s="98" t="s">
        <v>82</v>
      </c>
      <c r="F10" s="81">
        <v>5143426.33</v>
      </c>
      <c r="G10" s="81">
        <v>1733990.98</v>
      </c>
      <c r="H10" s="81">
        <v>33.712760108688094</v>
      </c>
    </row>
    <row r="11" spans="1:8" ht="22.5">
      <c r="A11" s="27">
        <v>2568</v>
      </c>
      <c r="B11" s="28">
        <v>1</v>
      </c>
      <c r="C11" s="28">
        <v>1</v>
      </c>
      <c r="D11" s="58">
        <v>1500400114</v>
      </c>
      <c r="E11" s="99" t="s">
        <v>80</v>
      </c>
      <c r="F11" s="81">
        <v>3540652.71</v>
      </c>
      <c r="G11" s="81">
        <v>1142169.78</v>
      </c>
      <c r="H11" s="81">
        <v>32.258735141521406</v>
      </c>
    </row>
    <row r="12" spans="1:8" ht="22.5">
      <c r="A12" s="27">
        <v>2568</v>
      </c>
      <c r="B12" s="28">
        <v>1</v>
      </c>
      <c r="C12" s="28">
        <v>1</v>
      </c>
      <c r="D12" s="58">
        <v>1500400123</v>
      </c>
      <c r="E12" s="98" t="s">
        <v>88</v>
      </c>
      <c r="F12" s="81">
        <v>4659583.33</v>
      </c>
      <c r="G12" s="81">
        <v>866392.95</v>
      </c>
      <c r="H12" s="81">
        <v>18.593785938366295</v>
      </c>
    </row>
  </sheetData>
  <sortState xmlns:xlrd2="http://schemas.microsoft.com/office/spreadsheetml/2017/richdata2" ref="D2:H12">
    <sortCondition descending="1" ref="H2:H12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/>
  <dimension ref="A1:I5"/>
  <sheetViews>
    <sheetView workbookViewId="0">
      <selection activeCell="D3" sqref="D3"/>
    </sheetView>
  </sheetViews>
  <sheetFormatPr defaultRowHeight="18"/>
  <cols>
    <col min="1" max="3" width="9.140625" style="35"/>
    <col min="4" max="4" width="22.5703125" style="35" customWidth="1"/>
    <col min="5" max="5" width="9.140625" style="35"/>
    <col min="6" max="6" width="16.42578125" style="23" bestFit="1" customWidth="1"/>
    <col min="7" max="7" width="17" style="23" customWidth="1"/>
    <col min="8" max="8" width="10" style="35" customWidth="1"/>
    <col min="9" max="9" width="9.140625" style="35"/>
    <col min="10" max="16384" width="9.140625" style="8"/>
  </cols>
  <sheetData>
    <row r="1" spans="1:9">
      <c r="A1" s="33" t="s">
        <v>138</v>
      </c>
      <c r="B1" s="33" t="s">
        <v>139</v>
      </c>
      <c r="C1" s="33" t="s">
        <v>140</v>
      </c>
      <c r="D1" s="33" t="s">
        <v>142</v>
      </c>
      <c r="E1" s="33" t="s">
        <v>159</v>
      </c>
      <c r="F1" s="34" t="s">
        <v>143</v>
      </c>
      <c r="G1" s="34" t="s">
        <v>144</v>
      </c>
      <c r="H1" s="33" t="s">
        <v>145</v>
      </c>
    </row>
    <row r="2" spans="1:9" ht="28.5">
      <c r="A2" s="40">
        <v>2568</v>
      </c>
      <c r="B2" s="28">
        <v>1</v>
      </c>
      <c r="C2" s="28">
        <v>1</v>
      </c>
      <c r="D2" s="40" t="s">
        <v>292</v>
      </c>
      <c r="E2" s="95">
        <v>5</v>
      </c>
      <c r="F2" s="41">
        <v>47258110</v>
      </c>
      <c r="G2" s="41">
        <v>1575000</v>
      </c>
      <c r="H2" s="42">
        <v>3.3432243244086579</v>
      </c>
      <c r="I2" s="36"/>
    </row>
    <row r="3" spans="1:9" ht="28.5">
      <c r="A3" s="40">
        <v>2568</v>
      </c>
      <c r="B3" s="28">
        <v>1</v>
      </c>
      <c r="C3" s="28">
        <v>1</v>
      </c>
      <c r="D3" s="40" t="s">
        <v>120</v>
      </c>
      <c r="E3" s="95">
        <v>1</v>
      </c>
      <c r="F3" s="41">
        <v>5955000</v>
      </c>
      <c r="G3" s="41">
        <v>0</v>
      </c>
      <c r="H3" s="42">
        <v>0</v>
      </c>
      <c r="I3" s="36"/>
    </row>
    <row r="4" spans="1:9" ht="28.5">
      <c r="A4" s="40">
        <v>2568</v>
      </c>
      <c r="B4" s="28">
        <v>1</v>
      </c>
      <c r="C4" s="28">
        <v>1</v>
      </c>
      <c r="D4" s="40" t="s">
        <v>293</v>
      </c>
      <c r="E4" s="95">
        <v>7</v>
      </c>
      <c r="F4" s="41">
        <v>124591500</v>
      </c>
      <c r="G4" s="41">
        <v>0</v>
      </c>
      <c r="H4" s="42">
        <v>0</v>
      </c>
      <c r="I4" s="36"/>
    </row>
    <row r="5" spans="1:9" ht="28.5">
      <c r="A5" s="40"/>
      <c r="B5" s="40"/>
      <c r="C5" s="40"/>
      <c r="D5" s="40"/>
      <c r="E5" s="40"/>
      <c r="F5" s="41"/>
      <c r="G5" s="41"/>
      <c r="H5" s="42"/>
      <c r="I5" s="36"/>
    </row>
  </sheetData>
  <sortState xmlns:xlrd2="http://schemas.microsoft.com/office/spreadsheetml/2017/richdata2" ref="A2:H5">
    <sortCondition descending="1" ref="H2:H5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I46"/>
  <sheetViews>
    <sheetView zoomScale="90" zoomScaleNormal="90" workbookViewId="0">
      <selection activeCell="J12" sqref="J12"/>
    </sheetView>
  </sheetViews>
  <sheetFormatPr defaultRowHeight="24"/>
  <cols>
    <col min="1" max="3" width="9.42578125" style="178" bestFit="1" customWidth="1"/>
    <col min="4" max="4" width="17.7109375" style="179" customWidth="1"/>
    <col min="5" max="5" width="11" style="178" customWidth="1"/>
    <col min="6" max="6" width="18.7109375" style="180" customWidth="1"/>
    <col min="7" max="7" width="16" style="180" customWidth="1"/>
    <col min="8" max="8" width="14.85546875" style="181" bestFit="1" customWidth="1"/>
    <col min="9" max="9" width="9.140625" style="64"/>
    <col min="10" max="255" width="9.140625" style="8"/>
    <col min="256" max="258" width="9.28515625" style="8" bestFit="1" customWidth="1"/>
    <col min="259" max="259" width="17.85546875" style="8" customWidth="1"/>
    <col min="260" max="260" width="9.28515625" style="8" bestFit="1" customWidth="1"/>
    <col min="261" max="261" width="16.140625" style="8" bestFit="1" customWidth="1"/>
    <col min="262" max="262" width="10.7109375" style="8" bestFit="1" customWidth="1"/>
    <col min="263" max="263" width="14.7109375" style="8" bestFit="1" customWidth="1"/>
    <col min="264" max="511" width="9.140625" style="8"/>
    <col min="512" max="514" width="9.28515625" style="8" bestFit="1" customWidth="1"/>
    <col min="515" max="515" width="17.85546875" style="8" customWidth="1"/>
    <col min="516" max="516" width="9.28515625" style="8" bestFit="1" customWidth="1"/>
    <col min="517" max="517" width="16.140625" style="8" bestFit="1" customWidth="1"/>
    <col min="518" max="518" width="10.7109375" style="8" bestFit="1" customWidth="1"/>
    <col min="519" max="519" width="14.7109375" style="8" bestFit="1" customWidth="1"/>
    <col min="520" max="767" width="9.140625" style="8"/>
    <col min="768" max="770" width="9.28515625" style="8" bestFit="1" customWidth="1"/>
    <col min="771" max="771" width="17.85546875" style="8" customWidth="1"/>
    <col min="772" max="772" width="9.28515625" style="8" bestFit="1" customWidth="1"/>
    <col min="773" max="773" width="16.140625" style="8" bestFit="1" customWidth="1"/>
    <col min="774" max="774" width="10.7109375" style="8" bestFit="1" customWidth="1"/>
    <col min="775" max="775" width="14.7109375" style="8" bestFit="1" customWidth="1"/>
    <col min="776" max="1023" width="9.140625" style="8"/>
    <col min="1024" max="1026" width="9.28515625" style="8" bestFit="1" customWidth="1"/>
    <col min="1027" max="1027" width="17.85546875" style="8" customWidth="1"/>
    <col min="1028" max="1028" width="9.28515625" style="8" bestFit="1" customWidth="1"/>
    <col min="1029" max="1029" width="16.140625" style="8" bestFit="1" customWidth="1"/>
    <col min="1030" max="1030" width="10.7109375" style="8" bestFit="1" customWidth="1"/>
    <col min="1031" max="1031" width="14.7109375" style="8" bestFit="1" customWidth="1"/>
    <col min="1032" max="1279" width="9.140625" style="8"/>
    <col min="1280" max="1282" width="9.28515625" style="8" bestFit="1" customWidth="1"/>
    <col min="1283" max="1283" width="17.85546875" style="8" customWidth="1"/>
    <col min="1284" max="1284" width="9.28515625" style="8" bestFit="1" customWidth="1"/>
    <col min="1285" max="1285" width="16.140625" style="8" bestFit="1" customWidth="1"/>
    <col min="1286" max="1286" width="10.7109375" style="8" bestFit="1" customWidth="1"/>
    <col min="1287" max="1287" width="14.7109375" style="8" bestFit="1" customWidth="1"/>
    <col min="1288" max="1535" width="9.140625" style="8"/>
    <col min="1536" max="1538" width="9.28515625" style="8" bestFit="1" customWidth="1"/>
    <col min="1539" max="1539" width="17.85546875" style="8" customWidth="1"/>
    <col min="1540" max="1540" width="9.28515625" style="8" bestFit="1" customWidth="1"/>
    <col min="1541" max="1541" width="16.140625" style="8" bestFit="1" customWidth="1"/>
    <col min="1542" max="1542" width="10.7109375" style="8" bestFit="1" customWidth="1"/>
    <col min="1543" max="1543" width="14.7109375" style="8" bestFit="1" customWidth="1"/>
    <col min="1544" max="1791" width="9.140625" style="8"/>
    <col min="1792" max="1794" width="9.28515625" style="8" bestFit="1" customWidth="1"/>
    <col min="1795" max="1795" width="17.85546875" style="8" customWidth="1"/>
    <col min="1796" max="1796" width="9.28515625" style="8" bestFit="1" customWidth="1"/>
    <col min="1797" max="1797" width="16.140625" style="8" bestFit="1" customWidth="1"/>
    <col min="1798" max="1798" width="10.7109375" style="8" bestFit="1" customWidth="1"/>
    <col min="1799" max="1799" width="14.7109375" style="8" bestFit="1" customWidth="1"/>
    <col min="1800" max="2047" width="9.140625" style="8"/>
    <col min="2048" max="2050" width="9.28515625" style="8" bestFit="1" customWidth="1"/>
    <col min="2051" max="2051" width="17.85546875" style="8" customWidth="1"/>
    <col min="2052" max="2052" width="9.28515625" style="8" bestFit="1" customWidth="1"/>
    <col min="2053" max="2053" width="16.140625" style="8" bestFit="1" customWidth="1"/>
    <col min="2054" max="2054" width="10.7109375" style="8" bestFit="1" customWidth="1"/>
    <col min="2055" max="2055" width="14.7109375" style="8" bestFit="1" customWidth="1"/>
    <col min="2056" max="2303" width="9.140625" style="8"/>
    <col min="2304" max="2306" width="9.28515625" style="8" bestFit="1" customWidth="1"/>
    <col min="2307" max="2307" width="17.85546875" style="8" customWidth="1"/>
    <col min="2308" max="2308" width="9.28515625" style="8" bestFit="1" customWidth="1"/>
    <col min="2309" max="2309" width="16.140625" style="8" bestFit="1" customWidth="1"/>
    <col min="2310" max="2310" width="10.7109375" style="8" bestFit="1" customWidth="1"/>
    <col min="2311" max="2311" width="14.7109375" style="8" bestFit="1" customWidth="1"/>
    <col min="2312" max="2559" width="9.140625" style="8"/>
    <col min="2560" max="2562" width="9.28515625" style="8" bestFit="1" customWidth="1"/>
    <col min="2563" max="2563" width="17.85546875" style="8" customWidth="1"/>
    <col min="2564" max="2564" width="9.28515625" style="8" bestFit="1" customWidth="1"/>
    <col min="2565" max="2565" width="16.140625" style="8" bestFit="1" customWidth="1"/>
    <col min="2566" max="2566" width="10.7109375" style="8" bestFit="1" customWidth="1"/>
    <col min="2567" max="2567" width="14.7109375" style="8" bestFit="1" customWidth="1"/>
    <col min="2568" max="2815" width="9.140625" style="8"/>
    <col min="2816" max="2818" width="9.28515625" style="8" bestFit="1" customWidth="1"/>
    <col min="2819" max="2819" width="17.85546875" style="8" customWidth="1"/>
    <col min="2820" max="2820" width="9.28515625" style="8" bestFit="1" customWidth="1"/>
    <col min="2821" max="2821" width="16.140625" style="8" bestFit="1" customWidth="1"/>
    <col min="2822" max="2822" width="10.7109375" style="8" bestFit="1" customWidth="1"/>
    <col min="2823" max="2823" width="14.7109375" style="8" bestFit="1" customWidth="1"/>
    <col min="2824" max="3071" width="9.140625" style="8"/>
    <col min="3072" max="3074" width="9.28515625" style="8" bestFit="1" customWidth="1"/>
    <col min="3075" max="3075" width="17.85546875" style="8" customWidth="1"/>
    <col min="3076" max="3076" width="9.28515625" style="8" bestFit="1" customWidth="1"/>
    <col min="3077" max="3077" width="16.140625" style="8" bestFit="1" customWidth="1"/>
    <col min="3078" max="3078" width="10.7109375" style="8" bestFit="1" customWidth="1"/>
    <col min="3079" max="3079" width="14.7109375" style="8" bestFit="1" customWidth="1"/>
    <col min="3080" max="3327" width="9.140625" style="8"/>
    <col min="3328" max="3330" width="9.28515625" style="8" bestFit="1" customWidth="1"/>
    <col min="3331" max="3331" width="17.85546875" style="8" customWidth="1"/>
    <col min="3332" max="3332" width="9.28515625" style="8" bestFit="1" customWidth="1"/>
    <col min="3333" max="3333" width="16.140625" style="8" bestFit="1" customWidth="1"/>
    <col min="3334" max="3334" width="10.7109375" style="8" bestFit="1" customWidth="1"/>
    <col min="3335" max="3335" width="14.7109375" style="8" bestFit="1" customWidth="1"/>
    <col min="3336" max="3583" width="9.140625" style="8"/>
    <col min="3584" max="3586" width="9.28515625" style="8" bestFit="1" customWidth="1"/>
    <col min="3587" max="3587" width="17.85546875" style="8" customWidth="1"/>
    <col min="3588" max="3588" width="9.28515625" style="8" bestFit="1" customWidth="1"/>
    <col min="3589" max="3589" width="16.140625" style="8" bestFit="1" customWidth="1"/>
    <col min="3590" max="3590" width="10.7109375" style="8" bestFit="1" customWidth="1"/>
    <col min="3591" max="3591" width="14.7109375" style="8" bestFit="1" customWidth="1"/>
    <col min="3592" max="3839" width="9.140625" style="8"/>
    <col min="3840" max="3842" width="9.28515625" style="8" bestFit="1" customWidth="1"/>
    <col min="3843" max="3843" width="17.85546875" style="8" customWidth="1"/>
    <col min="3844" max="3844" width="9.28515625" style="8" bestFit="1" customWidth="1"/>
    <col min="3845" max="3845" width="16.140625" style="8" bestFit="1" customWidth="1"/>
    <col min="3846" max="3846" width="10.7109375" style="8" bestFit="1" customWidth="1"/>
    <col min="3847" max="3847" width="14.7109375" style="8" bestFit="1" customWidth="1"/>
    <col min="3848" max="4095" width="9.140625" style="8"/>
    <col min="4096" max="4098" width="9.28515625" style="8" bestFit="1" customWidth="1"/>
    <col min="4099" max="4099" width="17.85546875" style="8" customWidth="1"/>
    <col min="4100" max="4100" width="9.28515625" style="8" bestFit="1" customWidth="1"/>
    <col min="4101" max="4101" width="16.140625" style="8" bestFit="1" customWidth="1"/>
    <col min="4102" max="4102" width="10.7109375" style="8" bestFit="1" customWidth="1"/>
    <col min="4103" max="4103" width="14.7109375" style="8" bestFit="1" customWidth="1"/>
    <col min="4104" max="4351" width="9.140625" style="8"/>
    <col min="4352" max="4354" width="9.28515625" style="8" bestFit="1" customWidth="1"/>
    <col min="4355" max="4355" width="17.85546875" style="8" customWidth="1"/>
    <col min="4356" max="4356" width="9.28515625" style="8" bestFit="1" customWidth="1"/>
    <col min="4357" max="4357" width="16.140625" style="8" bestFit="1" customWidth="1"/>
    <col min="4358" max="4358" width="10.7109375" style="8" bestFit="1" customWidth="1"/>
    <col min="4359" max="4359" width="14.7109375" style="8" bestFit="1" customWidth="1"/>
    <col min="4360" max="4607" width="9.140625" style="8"/>
    <col min="4608" max="4610" width="9.28515625" style="8" bestFit="1" customWidth="1"/>
    <col min="4611" max="4611" width="17.85546875" style="8" customWidth="1"/>
    <col min="4612" max="4612" width="9.28515625" style="8" bestFit="1" customWidth="1"/>
    <col min="4613" max="4613" width="16.140625" style="8" bestFit="1" customWidth="1"/>
    <col min="4614" max="4614" width="10.7109375" style="8" bestFit="1" customWidth="1"/>
    <col min="4615" max="4615" width="14.7109375" style="8" bestFit="1" customWidth="1"/>
    <col min="4616" max="4863" width="9.140625" style="8"/>
    <col min="4864" max="4866" width="9.28515625" style="8" bestFit="1" customWidth="1"/>
    <col min="4867" max="4867" width="17.85546875" style="8" customWidth="1"/>
    <col min="4868" max="4868" width="9.28515625" style="8" bestFit="1" customWidth="1"/>
    <col min="4869" max="4869" width="16.140625" style="8" bestFit="1" customWidth="1"/>
    <col min="4870" max="4870" width="10.7109375" style="8" bestFit="1" customWidth="1"/>
    <col min="4871" max="4871" width="14.7109375" style="8" bestFit="1" customWidth="1"/>
    <col min="4872" max="5119" width="9.140625" style="8"/>
    <col min="5120" max="5122" width="9.28515625" style="8" bestFit="1" customWidth="1"/>
    <col min="5123" max="5123" width="17.85546875" style="8" customWidth="1"/>
    <col min="5124" max="5124" width="9.28515625" style="8" bestFit="1" customWidth="1"/>
    <col min="5125" max="5125" width="16.140625" style="8" bestFit="1" customWidth="1"/>
    <col min="5126" max="5126" width="10.7109375" style="8" bestFit="1" customWidth="1"/>
    <col min="5127" max="5127" width="14.7109375" style="8" bestFit="1" customWidth="1"/>
    <col min="5128" max="5375" width="9.140625" style="8"/>
    <col min="5376" max="5378" width="9.28515625" style="8" bestFit="1" customWidth="1"/>
    <col min="5379" max="5379" width="17.85546875" style="8" customWidth="1"/>
    <col min="5380" max="5380" width="9.28515625" style="8" bestFit="1" customWidth="1"/>
    <col min="5381" max="5381" width="16.140625" style="8" bestFit="1" customWidth="1"/>
    <col min="5382" max="5382" width="10.7109375" style="8" bestFit="1" customWidth="1"/>
    <col min="5383" max="5383" width="14.7109375" style="8" bestFit="1" customWidth="1"/>
    <col min="5384" max="5631" width="9.140625" style="8"/>
    <col min="5632" max="5634" width="9.28515625" style="8" bestFit="1" customWidth="1"/>
    <col min="5635" max="5635" width="17.85546875" style="8" customWidth="1"/>
    <col min="5636" max="5636" width="9.28515625" style="8" bestFit="1" customWidth="1"/>
    <col min="5637" max="5637" width="16.140625" style="8" bestFit="1" customWidth="1"/>
    <col min="5638" max="5638" width="10.7109375" style="8" bestFit="1" customWidth="1"/>
    <col min="5639" max="5639" width="14.7109375" style="8" bestFit="1" customWidth="1"/>
    <col min="5640" max="5887" width="9.140625" style="8"/>
    <col min="5888" max="5890" width="9.28515625" style="8" bestFit="1" customWidth="1"/>
    <col min="5891" max="5891" width="17.85546875" style="8" customWidth="1"/>
    <col min="5892" max="5892" width="9.28515625" style="8" bestFit="1" customWidth="1"/>
    <col min="5893" max="5893" width="16.140625" style="8" bestFit="1" customWidth="1"/>
    <col min="5894" max="5894" width="10.7109375" style="8" bestFit="1" customWidth="1"/>
    <col min="5895" max="5895" width="14.7109375" style="8" bestFit="1" customWidth="1"/>
    <col min="5896" max="6143" width="9.140625" style="8"/>
    <col min="6144" max="6146" width="9.28515625" style="8" bestFit="1" customWidth="1"/>
    <col min="6147" max="6147" width="17.85546875" style="8" customWidth="1"/>
    <col min="6148" max="6148" width="9.28515625" style="8" bestFit="1" customWidth="1"/>
    <col min="6149" max="6149" width="16.140625" style="8" bestFit="1" customWidth="1"/>
    <col min="6150" max="6150" width="10.7109375" style="8" bestFit="1" customWidth="1"/>
    <col min="6151" max="6151" width="14.7109375" style="8" bestFit="1" customWidth="1"/>
    <col min="6152" max="6399" width="9.140625" style="8"/>
    <col min="6400" max="6402" width="9.28515625" style="8" bestFit="1" customWidth="1"/>
    <col min="6403" max="6403" width="17.85546875" style="8" customWidth="1"/>
    <col min="6404" max="6404" width="9.28515625" style="8" bestFit="1" customWidth="1"/>
    <col min="6405" max="6405" width="16.140625" style="8" bestFit="1" customWidth="1"/>
    <col min="6406" max="6406" width="10.7109375" style="8" bestFit="1" customWidth="1"/>
    <col min="6407" max="6407" width="14.7109375" style="8" bestFit="1" customWidth="1"/>
    <col min="6408" max="6655" width="9.140625" style="8"/>
    <col min="6656" max="6658" width="9.28515625" style="8" bestFit="1" customWidth="1"/>
    <col min="6659" max="6659" width="17.85546875" style="8" customWidth="1"/>
    <col min="6660" max="6660" width="9.28515625" style="8" bestFit="1" customWidth="1"/>
    <col min="6661" max="6661" width="16.140625" style="8" bestFit="1" customWidth="1"/>
    <col min="6662" max="6662" width="10.7109375" style="8" bestFit="1" customWidth="1"/>
    <col min="6663" max="6663" width="14.7109375" style="8" bestFit="1" customWidth="1"/>
    <col min="6664" max="6911" width="9.140625" style="8"/>
    <col min="6912" max="6914" width="9.28515625" style="8" bestFit="1" customWidth="1"/>
    <col min="6915" max="6915" width="17.85546875" style="8" customWidth="1"/>
    <col min="6916" max="6916" width="9.28515625" style="8" bestFit="1" customWidth="1"/>
    <col min="6917" max="6917" width="16.140625" style="8" bestFit="1" customWidth="1"/>
    <col min="6918" max="6918" width="10.7109375" style="8" bestFit="1" customWidth="1"/>
    <col min="6919" max="6919" width="14.7109375" style="8" bestFit="1" customWidth="1"/>
    <col min="6920" max="7167" width="9.140625" style="8"/>
    <col min="7168" max="7170" width="9.28515625" style="8" bestFit="1" customWidth="1"/>
    <col min="7171" max="7171" width="17.85546875" style="8" customWidth="1"/>
    <col min="7172" max="7172" width="9.28515625" style="8" bestFit="1" customWidth="1"/>
    <col min="7173" max="7173" width="16.140625" style="8" bestFit="1" customWidth="1"/>
    <col min="7174" max="7174" width="10.7109375" style="8" bestFit="1" customWidth="1"/>
    <col min="7175" max="7175" width="14.7109375" style="8" bestFit="1" customWidth="1"/>
    <col min="7176" max="7423" width="9.140625" style="8"/>
    <col min="7424" max="7426" width="9.28515625" style="8" bestFit="1" customWidth="1"/>
    <col min="7427" max="7427" width="17.85546875" style="8" customWidth="1"/>
    <col min="7428" max="7428" width="9.28515625" style="8" bestFit="1" customWidth="1"/>
    <col min="7429" max="7429" width="16.140625" style="8" bestFit="1" customWidth="1"/>
    <col min="7430" max="7430" width="10.7109375" style="8" bestFit="1" customWidth="1"/>
    <col min="7431" max="7431" width="14.7109375" style="8" bestFit="1" customWidth="1"/>
    <col min="7432" max="7679" width="9.140625" style="8"/>
    <col min="7680" max="7682" width="9.28515625" style="8" bestFit="1" customWidth="1"/>
    <col min="7683" max="7683" width="17.85546875" style="8" customWidth="1"/>
    <col min="7684" max="7684" width="9.28515625" style="8" bestFit="1" customWidth="1"/>
    <col min="7685" max="7685" width="16.140625" style="8" bestFit="1" customWidth="1"/>
    <col min="7686" max="7686" width="10.7109375" style="8" bestFit="1" customWidth="1"/>
    <col min="7687" max="7687" width="14.7109375" style="8" bestFit="1" customWidth="1"/>
    <col min="7688" max="7935" width="9.140625" style="8"/>
    <col min="7936" max="7938" width="9.28515625" style="8" bestFit="1" customWidth="1"/>
    <col min="7939" max="7939" width="17.85546875" style="8" customWidth="1"/>
    <col min="7940" max="7940" width="9.28515625" style="8" bestFit="1" customWidth="1"/>
    <col min="7941" max="7941" width="16.140625" style="8" bestFit="1" customWidth="1"/>
    <col min="7942" max="7942" width="10.7109375" style="8" bestFit="1" customWidth="1"/>
    <col min="7943" max="7943" width="14.7109375" style="8" bestFit="1" customWidth="1"/>
    <col min="7944" max="8191" width="9.140625" style="8"/>
    <col min="8192" max="8194" width="9.28515625" style="8" bestFit="1" customWidth="1"/>
    <col min="8195" max="8195" width="17.85546875" style="8" customWidth="1"/>
    <col min="8196" max="8196" width="9.28515625" style="8" bestFit="1" customWidth="1"/>
    <col min="8197" max="8197" width="16.140625" style="8" bestFit="1" customWidth="1"/>
    <col min="8198" max="8198" width="10.7109375" style="8" bestFit="1" customWidth="1"/>
    <col min="8199" max="8199" width="14.7109375" style="8" bestFit="1" customWidth="1"/>
    <col min="8200" max="8447" width="9.140625" style="8"/>
    <col min="8448" max="8450" width="9.28515625" style="8" bestFit="1" customWidth="1"/>
    <col min="8451" max="8451" width="17.85546875" style="8" customWidth="1"/>
    <col min="8452" max="8452" width="9.28515625" style="8" bestFit="1" customWidth="1"/>
    <col min="8453" max="8453" width="16.140625" style="8" bestFit="1" customWidth="1"/>
    <col min="8454" max="8454" width="10.7109375" style="8" bestFit="1" customWidth="1"/>
    <col min="8455" max="8455" width="14.7109375" style="8" bestFit="1" customWidth="1"/>
    <col min="8456" max="8703" width="9.140625" style="8"/>
    <col min="8704" max="8706" width="9.28515625" style="8" bestFit="1" customWidth="1"/>
    <col min="8707" max="8707" width="17.85546875" style="8" customWidth="1"/>
    <col min="8708" max="8708" width="9.28515625" style="8" bestFit="1" customWidth="1"/>
    <col min="8709" max="8709" width="16.140625" style="8" bestFit="1" customWidth="1"/>
    <col min="8710" max="8710" width="10.7109375" style="8" bestFit="1" customWidth="1"/>
    <col min="8711" max="8711" width="14.7109375" style="8" bestFit="1" customWidth="1"/>
    <col min="8712" max="8959" width="9.140625" style="8"/>
    <col min="8960" max="8962" width="9.28515625" style="8" bestFit="1" customWidth="1"/>
    <col min="8963" max="8963" width="17.85546875" style="8" customWidth="1"/>
    <col min="8964" max="8964" width="9.28515625" style="8" bestFit="1" customWidth="1"/>
    <col min="8965" max="8965" width="16.140625" style="8" bestFit="1" customWidth="1"/>
    <col min="8966" max="8966" width="10.7109375" style="8" bestFit="1" customWidth="1"/>
    <col min="8967" max="8967" width="14.7109375" style="8" bestFit="1" customWidth="1"/>
    <col min="8968" max="9215" width="9.140625" style="8"/>
    <col min="9216" max="9218" width="9.28515625" style="8" bestFit="1" customWidth="1"/>
    <col min="9219" max="9219" width="17.85546875" style="8" customWidth="1"/>
    <col min="9220" max="9220" width="9.28515625" style="8" bestFit="1" customWidth="1"/>
    <col min="9221" max="9221" width="16.140625" style="8" bestFit="1" customWidth="1"/>
    <col min="9222" max="9222" width="10.7109375" style="8" bestFit="1" customWidth="1"/>
    <col min="9223" max="9223" width="14.7109375" style="8" bestFit="1" customWidth="1"/>
    <col min="9224" max="9471" width="9.140625" style="8"/>
    <col min="9472" max="9474" width="9.28515625" style="8" bestFit="1" customWidth="1"/>
    <col min="9475" max="9475" width="17.85546875" style="8" customWidth="1"/>
    <col min="9476" max="9476" width="9.28515625" style="8" bestFit="1" customWidth="1"/>
    <col min="9477" max="9477" width="16.140625" style="8" bestFit="1" customWidth="1"/>
    <col min="9478" max="9478" width="10.7109375" style="8" bestFit="1" customWidth="1"/>
    <col min="9479" max="9479" width="14.7109375" style="8" bestFit="1" customWidth="1"/>
    <col min="9480" max="9727" width="9.140625" style="8"/>
    <col min="9728" max="9730" width="9.28515625" style="8" bestFit="1" customWidth="1"/>
    <col min="9731" max="9731" width="17.85546875" style="8" customWidth="1"/>
    <col min="9732" max="9732" width="9.28515625" style="8" bestFit="1" customWidth="1"/>
    <col min="9733" max="9733" width="16.140625" style="8" bestFit="1" customWidth="1"/>
    <col min="9734" max="9734" width="10.7109375" style="8" bestFit="1" customWidth="1"/>
    <col min="9735" max="9735" width="14.7109375" style="8" bestFit="1" customWidth="1"/>
    <col min="9736" max="9983" width="9.140625" style="8"/>
    <col min="9984" max="9986" width="9.28515625" style="8" bestFit="1" customWidth="1"/>
    <col min="9987" max="9987" width="17.85546875" style="8" customWidth="1"/>
    <col min="9988" max="9988" width="9.28515625" style="8" bestFit="1" customWidth="1"/>
    <col min="9989" max="9989" width="16.140625" style="8" bestFit="1" customWidth="1"/>
    <col min="9990" max="9990" width="10.7109375" style="8" bestFit="1" customWidth="1"/>
    <col min="9991" max="9991" width="14.7109375" style="8" bestFit="1" customWidth="1"/>
    <col min="9992" max="10239" width="9.140625" style="8"/>
    <col min="10240" max="10242" width="9.28515625" style="8" bestFit="1" customWidth="1"/>
    <col min="10243" max="10243" width="17.85546875" style="8" customWidth="1"/>
    <col min="10244" max="10244" width="9.28515625" style="8" bestFit="1" customWidth="1"/>
    <col min="10245" max="10245" width="16.140625" style="8" bestFit="1" customWidth="1"/>
    <col min="10246" max="10246" width="10.7109375" style="8" bestFit="1" customWidth="1"/>
    <col min="10247" max="10247" width="14.7109375" style="8" bestFit="1" customWidth="1"/>
    <col min="10248" max="10495" width="9.140625" style="8"/>
    <col min="10496" max="10498" width="9.28515625" style="8" bestFit="1" customWidth="1"/>
    <col min="10499" max="10499" width="17.85546875" style="8" customWidth="1"/>
    <col min="10500" max="10500" width="9.28515625" style="8" bestFit="1" customWidth="1"/>
    <col min="10501" max="10501" width="16.140625" style="8" bestFit="1" customWidth="1"/>
    <col min="10502" max="10502" width="10.7109375" style="8" bestFit="1" customWidth="1"/>
    <col min="10503" max="10503" width="14.7109375" style="8" bestFit="1" customWidth="1"/>
    <col min="10504" max="10751" width="9.140625" style="8"/>
    <col min="10752" max="10754" width="9.28515625" style="8" bestFit="1" customWidth="1"/>
    <col min="10755" max="10755" width="17.85546875" style="8" customWidth="1"/>
    <col min="10756" max="10756" width="9.28515625" style="8" bestFit="1" customWidth="1"/>
    <col min="10757" max="10757" width="16.140625" style="8" bestFit="1" customWidth="1"/>
    <col min="10758" max="10758" width="10.7109375" style="8" bestFit="1" customWidth="1"/>
    <col min="10759" max="10759" width="14.7109375" style="8" bestFit="1" customWidth="1"/>
    <col min="10760" max="11007" width="9.140625" style="8"/>
    <col min="11008" max="11010" width="9.28515625" style="8" bestFit="1" customWidth="1"/>
    <col min="11011" max="11011" width="17.85546875" style="8" customWidth="1"/>
    <col min="11012" max="11012" width="9.28515625" style="8" bestFit="1" customWidth="1"/>
    <col min="11013" max="11013" width="16.140625" style="8" bestFit="1" customWidth="1"/>
    <col min="11014" max="11014" width="10.7109375" style="8" bestFit="1" customWidth="1"/>
    <col min="11015" max="11015" width="14.7109375" style="8" bestFit="1" customWidth="1"/>
    <col min="11016" max="11263" width="9.140625" style="8"/>
    <col min="11264" max="11266" width="9.28515625" style="8" bestFit="1" customWidth="1"/>
    <col min="11267" max="11267" width="17.85546875" style="8" customWidth="1"/>
    <col min="11268" max="11268" width="9.28515625" style="8" bestFit="1" customWidth="1"/>
    <col min="11269" max="11269" width="16.140625" style="8" bestFit="1" customWidth="1"/>
    <col min="11270" max="11270" width="10.7109375" style="8" bestFit="1" customWidth="1"/>
    <col min="11271" max="11271" width="14.7109375" style="8" bestFit="1" customWidth="1"/>
    <col min="11272" max="11519" width="9.140625" style="8"/>
    <col min="11520" max="11522" width="9.28515625" style="8" bestFit="1" customWidth="1"/>
    <col min="11523" max="11523" width="17.85546875" style="8" customWidth="1"/>
    <col min="11524" max="11524" width="9.28515625" style="8" bestFit="1" customWidth="1"/>
    <col min="11525" max="11525" width="16.140625" style="8" bestFit="1" customWidth="1"/>
    <col min="11526" max="11526" width="10.7109375" style="8" bestFit="1" customWidth="1"/>
    <col min="11527" max="11527" width="14.7109375" style="8" bestFit="1" customWidth="1"/>
    <col min="11528" max="11775" width="9.140625" style="8"/>
    <col min="11776" max="11778" width="9.28515625" style="8" bestFit="1" customWidth="1"/>
    <col min="11779" max="11779" width="17.85546875" style="8" customWidth="1"/>
    <col min="11780" max="11780" width="9.28515625" style="8" bestFit="1" customWidth="1"/>
    <col min="11781" max="11781" width="16.140625" style="8" bestFit="1" customWidth="1"/>
    <col min="11782" max="11782" width="10.7109375" style="8" bestFit="1" customWidth="1"/>
    <col min="11783" max="11783" width="14.7109375" style="8" bestFit="1" customWidth="1"/>
    <col min="11784" max="12031" width="9.140625" style="8"/>
    <col min="12032" max="12034" width="9.28515625" style="8" bestFit="1" customWidth="1"/>
    <col min="12035" max="12035" width="17.85546875" style="8" customWidth="1"/>
    <col min="12036" max="12036" width="9.28515625" style="8" bestFit="1" customWidth="1"/>
    <col min="12037" max="12037" width="16.140625" style="8" bestFit="1" customWidth="1"/>
    <col min="12038" max="12038" width="10.7109375" style="8" bestFit="1" customWidth="1"/>
    <col min="12039" max="12039" width="14.7109375" style="8" bestFit="1" customWidth="1"/>
    <col min="12040" max="12287" width="9.140625" style="8"/>
    <col min="12288" max="12290" width="9.28515625" style="8" bestFit="1" customWidth="1"/>
    <col min="12291" max="12291" width="17.85546875" style="8" customWidth="1"/>
    <col min="12292" max="12292" width="9.28515625" style="8" bestFit="1" customWidth="1"/>
    <col min="12293" max="12293" width="16.140625" style="8" bestFit="1" customWidth="1"/>
    <col min="12294" max="12294" width="10.7109375" style="8" bestFit="1" customWidth="1"/>
    <col min="12295" max="12295" width="14.7109375" style="8" bestFit="1" customWidth="1"/>
    <col min="12296" max="12543" width="9.140625" style="8"/>
    <col min="12544" max="12546" width="9.28515625" style="8" bestFit="1" customWidth="1"/>
    <col min="12547" max="12547" width="17.85546875" style="8" customWidth="1"/>
    <col min="12548" max="12548" width="9.28515625" style="8" bestFit="1" customWidth="1"/>
    <col min="12549" max="12549" width="16.140625" style="8" bestFit="1" customWidth="1"/>
    <col min="12550" max="12550" width="10.7109375" style="8" bestFit="1" customWidth="1"/>
    <col min="12551" max="12551" width="14.7109375" style="8" bestFit="1" customWidth="1"/>
    <col min="12552" max="12799" width="9.140625" style="8"/>
    <col min="12800" max="12802" width="9.28515625" style="8" bestFit="1" customWidth="1"/>
    <col min="12803" max="12803" width="17.85546875" style="8" customWidth="1"/>
    <col min="12804" max="12804" width="9.28515625" style="8" bestFit="1" customWidth="1"/>
    <col min="12805" max="12805" width="16.140625" style="8" bestFit="1" customWidth="1"/>
    <col min="12806" max="12806" width="10.7109375" style="8" bestFit="1" customWidth="1"/>
    <col min="12807" max="12807" width="14.7109375" style="8" bestFit="1" customWidth="1"/>
    <col min="12808" max="13055" width="9.140625" style="8"/>
    <col min="13056" max="13058" width="9.28515625" style="8" bestFit="1" customWidth="1"/>
    <col min="13059" max="13059" width="17.85546875" style="8" customWidth="1"/>
    <col min="13060" max="13060" width="9.28515625" style="8" bestFit="1" customWidth="1"/>
    <col min="13061" max="13061" width="16.140625" style="8" bestFit="1" customWidth="1"/>
    <col min="13062" max="13062" width="10.7109375" style="8" bestFit="1" customWidth="1"/>
    <col min="13063" max="13063" width="14.7109375" style="8" bestFit="1" customWidth="1"/>
    <col min="13064" max="13311" width="9.140625" style="8"/>
    <col min="13312" max="13314" width="9.28515625" style="8" bestFit="1" customWidth="1"/>
    <col min="13315" max="13315" width="17.85546875" style="8" customWidth="1"/>
    <col min="13316" max="13316" width="9.28515625" style="8" bestFit="1" customWidth="1"/>
    <col min="13317" max="13317" width="16.140625" style="8" bestFit="1" customWidth="1"/>
    <col min="13318" max="13318" width="10.7109375" style="8" bestFit="1" customWidth="1"/>
    <col min="13319" max="13319" width="14.7109375" style="8" bestFit="1" customWidth="1"/>
    <col min="13320" max="13567" width="9.140625" style="8"/>
    <col min="13568" max="13570" width="9.28515625" style="8" bestFit="1" customWidth="1"/>
    <col min="13571" max="13571" width="17.85546875" style="8" customWidth="1"/>
    <col min="13572" max="13572" width="9.28515625" style="8" bestFit="1" customWidth="1"/>
    <col min="13573" max="13573" width="16.140625" style="8" bestFit="1" customWidth="1"/>
    <col min="13574" max="13574" width="10.7109375" style="8" bestFit="1" customWidth="1"/>
    <col min="13575" max="13575" width="14.7109375" style="8" bestFit="1" customWidth="1"/>
    <col min="13576" max="13823" width="9.140625" style="8"/>
    <col min="13824" max="13826" width="9.28515625" style="8" bestFit="1" customWidth="1"/>
    <col min="13827" max="13827" width="17.85546875" style="8" customWidth="1"/>
    <col min="13828" max="13828" width="9.28515625" style="8" bestFit="1" customWidth="1"/>
    <col min="13829" max="13829" width="16.140625" style="8" bestFit="1" customWidth="1"/>
    <col min="13830" max="13830" width="10.7109375" style="8" bestFit="1" customWidth="1"/>
    <col min="13831" max="13831" width="14.7109375" style="8" bestFit="1" customWidth="1"/>
    <col min="13832" max="14079" width="9.140625" style="8"/>
    <col min="14080" max="14082" width="9.28515625" style="8" bestFit="1" customWidth="1"/>
    <col min="14083" max="14083" width="17.85546875" style="8" customWidth="1"/>
    <col min="14084" max="14084" width="9.28515625" style="8" bestFit="1" customWidth="1"/>
    <col min="14085" max="14085" width="16.140625" style="8" bestFit="1" customWidth="1"/>
    <col min="14086" max="14086" width="10.7109375" style="8" bestFit="1" customWidth="1"/>
    <col min="14087" max="14087" width="14.7109375" style="8" bestFit="1" customWidth="1"/>
    <col min="14088" max="14335" width="9.140625" style="8"/>
    <col min="14336" max="14338" width="9.28515625" style="8" bestFit="1" customWidth="1"/>
    <col min="14339" max="14339" width="17.85546875" style="8" customWidth="1"/>
    <col min="14340" max="14340" width="9.28515625" style="8" bestFit="1" customWidth="1"/>
    <col min="14341" max="14341" width="16.140625" style="8" bestFit="1" customWidth="1"/>
    <col min="14342" max="14342" width="10.7109375" style="8" bestFit="1" customWidth="1"/>
    <col min="14343" max="14343" width="14.7109375" style="8" bestFit="1" customWidth="1"/>
    <col min="14344" max="14591" width="9.140625" style="8"/>
    <col min="14592" max="14594" width="9.28515625" style="8" bestFit="1" customWidth="1"/>
    <col min="14595" max="14595" width="17.85546875" style="8" customWidth="1"/>
    <col min="14596" max="14596" width="9.28515625" style="8" bestFit="1" customWidth="1"/>
    <col min="14597" max="14597" width="16.140625" style="8" bestFit="1" customWidth="1"/>
    <col min="14598" max="14598" width="10.7109375" style="8" bestFit="1" customWidth="1"/>
    <col min="14599" max="14599" width="14.7109375" style="8" bestFit="1" customWidth="1"/>
    <col min="14600" max="14847" width="9.140625" style="8"/>
    <col min="14848" max="14850" width="9.28515625" style="8" bestFit="1" customWidth="1"/>
    <col min="14851" max="14851" width="17.85546875" style="8" customWidth="1"/>
    <col min="14852" max="14852" width="9.28515625" style="8" bestFit="1" customWidth="1"/>
    <col min="14853" max="14853" width="16.140625" style="8" bestFit="1" customWidth="1"/>
    <col min="14854" max="14854" width="10.7109375" style="8" bestFit="1" customWidth="1"/>
    <col min="14855" max="14855" width="14.7109375" style="8" bestFit="1" customWidth="1"/>
    <col min="14856" max="15103" width="9.140625" style="8"/>
    <col min="15104" max="15106" width="9.28515625" style="8" bestFit="1" customWidth="1"/>
    <col min="15107" max="15107" width="17.85546875" style="8" customWidth="1"/>
    <col min="15108" max="15108" width="9.28515625" style="8" bestFit="1" customWidth="1"/>
    <col min="15109" max="15109" width="16.140625" style="8" bestFit="1" customWidth="1"/>
    <col min="15110" max="15110" width="10.7109375" style="8" bestFit="1" customWidth="1"/>
    <col min="15111" max="15111" width="14.7109375" style="8" bestFit="1" customWidth="1"/>
    <col min="15112" max="15359" width="9.140625" style="8"/>
    <col min="15360" max="15362" width="9.28515625" style="8" bestFit="1" customWidth="1"/>
    <col min="15363" max="15363" width="17.85546875" style="8" customWidth="1"/>
    <col min="15364" max="15364" width="9.28515625" style="8" bestFit="1" customWidth="1"/>
    <col min="15365" max="15365" width="16.140625" style="8" bestFit="1" customWidth="1"/>
    <col min="15366" max="15366" width="10.7109375" style="8" bestFit="1" customWidth="1"/>
    <col min="15367" max="15367" width="14.7109375" style="8" bestFit="1" customWidth="1"/>
    <col min="15368" max="15615" width="9.140625" style="8"/>
    <col min="15616" max="15618" width="9.28515625" style="8" bestFit="1" customWidth="1"/>
    <col min="15619" max="15619" width="17.85546875" style="8" customWidth="1"/>
    <col min="15620" max="15620" width="9.28515625" style="8" bestFit="1" customWidth="1"/>
    <col min="15621" max="15621" width="16.140625" style="8" bestFit="1" customWidth="1"/>
    <col min="15622" max="15622" width="10.7109375" style="8" bestFit="1" customWidth="1"/>
    <col min="15623" max="15623" width="14.7109375" style="8" bestFit="1" customWidth="1"/>
    <col min="15624" max="15871" width="9.140625" style="8"/>
    <col min="15872" max="15874" width="9.28515625" style="8" bestFit="1" customWidth="1"/>
    <col min="15875" max="15875" width="17.85546875" style="8" customWidth="1"/>
    <col min="15876" max="15876" width="9.28515625" style="8" bestFit="1" customWidth="1"/>
    <col min="15877" max="15877" width="16.140625" style="8" bestFit="1" customWidth="1"/>
    <col min="15878" max="15878" width="10.7109375" style="8" bestFit="1" customWidth="1"/>
    <col min="15879" max="15879" width="14.7109375" style="8" bestFit="1" customWidth="1"/>
    <col min="15880" max="16127" width="9.140625" style="8"/>
    <col min="16128" max="16130" width="9.28515625" style="8" bestFit="1" customWidth="1"/>
    <col min="16131" max="16131" width="17.85546875" style="8" customWidth="1"/>
    <col min="16132" max="16132" width="9.28515625" style="8" bestFit="1" customWidth="1"/>
    <col min="16133" max="16133" width="16.140625" style="8" bestFit="1" customWidth="1"/>
    <col min="16134" max="16134" width="10.7109375" style="8" bestFit="1" customWidth="1"/>
    <col min="16135" max="16135" width="14.7109375" style="8" bestFit="1" customWidth="1"/>
    <col min="16136" max="16384" width="9.140625" style="8"/>
  </cols>
  <sheetData>
    <row r="1" spans="1:9" s="15" customFormat="1" ht="30" customHeight="1">
      <c r="A1" s="174" t="s">
        <v>138</v>
      </c>
      <c r="B1" s="174" t="s">
        <v>139</v>
      </c>
      <c r="C1" s="174" t="s">
        <v>140</v>
      </c>
      <c r="D1" s="175" t="s">
        <v>142</v>
      </c>
      <c r="E1" s="174" t="s">
        <v>159</v>
      </c>
      <c r="F1" s="176" t="s">
        <v>143</v>
      </c>
      <c r="G1" s="176" t="s">
        <v>144</v>
      </c>
      <c r="H1" s="177" t="s">
        <v>145</v>
      </c>
      <c r="I1" s="63"/>
    </row>
    <row r="2" spans="1:9" ht="20.25">
      <c r="A2" s="1075">
        <v>2568</v>
      </c>
      <c r="B2" s="1076">
        <v>1</v>
      </c>
      <c r="C2" s="1076">
        <v>1</v>
      </c>
      <c r="D2" s="1077" t="s">
        <v>94</v>
      </c>
      <c r="E2" s="1078">
        <v>1</v>
      </c>
      <c r="F2" s="1079">
        <v>104000</v>
      </c>
      <c r="G2" s="1080">
        <v>0</v>
      </c>
      <c r="H2" s="1081">
        <v>0</v>
      </c>
    </row>
    <row r="3" spans="1:9" ht="20.25">
      <c r="A3" s="1075">
        <v>2568</v>
      </c>
      <c r="B3" s="1076">
        <v>1</v>
      </c>
      <c r="C3" s="1076">
        <v>1</v>
      </c>
      <c r="D3" s="1077" t="s">
        <v>32</v>
      </c>
      <c r="E3" s="1078">
        <v>1</v>
      </c>
      <c r="F3" s="1079">
        <v>208000</v>
      </c>
      <c r="G3" s="1080">
        <v>0</v>
      </c>
      <c r="H3" s="1081">
        <v>0</v>
      </c>
    </row>
    <row r="4" spans="1:9" ht="20.25">
      <c r="A4" s="1075">
        <v>2568</v>
      </c>
      <c r="B4" s="1076">
        <v>1</v>
      </c>
      <c r="C4" s="1076">
        <v>1</v>
      </c>
      <c r="D4" s="1077" t="s">
        <v>95</v>
      </c>
      <c r="E4" s="1078">
        <v>2</v>
      </c>
      <c r="F4" s="1079">
        <v>90400</v>
      </c>
      <c r="G4" s="1080">
        <v>0</v>
      </c>
      <c r="H4" s="1081">
        <v>0</v>
      </c>
    </row>
    <row r="5" spans="1:9" ht="20.25">
      <c r="A5" s="1075">
        <v>2568</v>
      </c>
      <c r="B5" s="1076">
        <v>1</v>
      </c>
      <c r="C5" s="1076">
        <v>1</v>
      </c>
      <c r="D5" s="1077" t="s">
        <v>35</v>
      </c>
      <c r="E5" s="1078">
        <v>2</v>
      </c>
      <c r="F5" s="1079">
        <v>149200</v>
      </c>
      <c r="G5" s="1080">
        <v>0</v>
      </c>
      <c r="H5" s="1081">
        <v>0</v>
      </c>
    </row>
    <row r="6" spans="1:9" ht="20.25">
      <c r="A6" s="1075">
        <v>2568</v>
      </c>
      <c r="B6" s="1076">
        <v>1</v>
      </c>
      <c r="C6" s="1076">
        <v>1</v>
      </c>
      <c r="D6" s="1077" t="s">
        <v>98</v>
      </c>
      <c r="E6" s="1078">
        <v>4</v>
      </c>
      <c r="F6" s="1079">
        <v>461200</v>
      </c>
      <c r="G6" s="1080">
        <v>0</v>
      </c>
      <c r="H6" s="1081">
        <v>0</v>
      </c>
    </row>
    <row r="7" spans="1:9" ht="20.25">
      <c r="A7" s="1075">
        <v>2568</v>
      </c>
      <c r="B7" s="1076">
        <v>1</v>
      </c>
      <c r="C7" s="1076">
        <v>1</v>
      </c>
      <c r="D7" s="1077" t="s">
        <v>38</v>
      </c>
      <c r="E7" s="1078">
        <v>11</v>
      </c>
      <c r="F7" s="1079">
        <v>926800</v>
      </c>
      <c r="G7" s="1080">
        <v>0</v>
      </c>
      <c r="H7" s="1081">
        <v>0</v>
      </c>
    </row>
    <row r="8" spans="1:9" ht="20.25">
      <c r="A8" s="1075">
        <v>2568</v>
      </c>
      <c r="B8" s="1076">
        <v>1</v>
      </c>
      <c r="C8" s="1076">
        <v>1</v>
      </c>
      <c r="D8" s="1077" t="s">
        <v>39</v>
      </c>
      <c r="E8" s="1078">
        <v>4</v>
      </c>
      <c r="F8" s="1079">
        <v>565200</v>
      </c>
      <c r="G8" s="1080">
        <v>0</v>
      </c>
      <c r="H8" s="1081">
        <v>0</v>
      </c>
    </row>
    <row r="9" spans="1:9" ht="20.25">
      <c r="A9" s="1075">
        <v>2568</v>
      </c>
      <c r="B9" s="1076">
        <v>1</v>
      </c>
      <c r="C9" s="1076">
        <v>1</v>
      </c>
      <c r="D9" s="1077" t="s">
        <v>40</v>
      </c>
      <c r="E9" s="1078">
        <v>7</v>
      </c>
      <c r="F9" s="1079">
        <v>524400</v>
      </c>
      <c r="G9" s="1080">
        <v>45200</v>
      </c>
      <c r="H9" s="1081">
        <v>8.6193745232646837</v>
      </c>
    </row>
    <row r="10" spans="1:9" ht="20.25">
      <c r="A10" s="1075">
        <v>2568</v>
      </c>
      <c r="B10" s="1076">
        <v>1</v>
      </c>
      <c r="C10" s="1076">
        <v>1</v>
      </c>
      <c r="D10" s="1077" t="s">
        <v>41</v>
      </c>
      <c r="E10" s="1078">
        <v>4</v>
      </c>
      <c r="F10" s="1079">
        <v>402400</v>
      </c>
      <c r="G10" s="1080">
        <v>0</v>
      </c>
      <c r="H10" s="1081">
        <v>0</v>
      </c>
    </row>
    <row r="11" spans="1:9" ht="20.25">
      <c r="A11" s="1075">
        <v>2568</v>
      </c>
      <c r="B11" s="1076">
        <v>1</v>
      </c>
      <c r="C11" s="1076">
        <v>1</v>
      </c>
      <c r="D11" s="1077" t="s">
        <v>42</v>
      </c>
      <c r="E11" s="1078">
        <v>1</v>
      </c>
      <c r="F11" s="1079">
        <v>135600</v>
      </c>
      <c r="G11" s="1080">
        <v>0</v>
      </c>
      <c r="H11" s="1081">
        <v>0</v>
      </c>
    </row>
    <row r="12" spans="1:9" ht="20.25">
      <c r="A12" s="1075">
        <v>2568</v>
      </c>
      <c r="B12" s="1076">
        <v>1</v>
      </c>
      <c r="C12" s="1076">
        <v>1</v>
      </c>
      <c r="D12" s="1077" t="s">
        <v>170</v>
      </c>
      <c r="E12" s="1078">
        <v>9</v>
      </c>
      <c r="F12" s="1079">
        <v>1356400</v>
      </c>
      <c r="G12" s="1080">
        <v>0</v>
      </c>
      <c r="H12" s="1081">
        <v>0</v>
      </c>
    </row>
    <row r="13" spans="1:9" ht="20.25">
      <c r="A13" s="1075">
        <v>2568</v>
      </c>
      <c r="B13" s="1076">
        <v>1</v>
      </c>
      <c r="C13" s="1076">
        <v>1</v>
      </c>
      <c r="D13" s="1077" t="s">
        <v>43</v>
      </c>
      <c r="E13" s="1078">
        <v>5</v>
      </c>
      <c r="F13" s="1079">
        <v>773200</v>
      </c>
      <c r="G13" s="1080">
        <v>253200</v>
      </c>
      <c r="H13" s="1081">
        <v>32.74702534919814</v>
      </c>
    </row>
    <row r="14" spans="1:9" ht="20.25">
      <c r="A14" s="1075">
        <v>2568</v>
      </c>
      <c r="B14" s="1076">
        <v>1</v>
      </c>
      <c r="C14" s="1076">
        <v>1</v>
      </c>
      <c r="D14" s="1077" t="s">
        <v>171</v>
      </c>
      <c r="E14" s="1078">
        <v>6</v>
      </c>
      <c r="F14" s="1079">
        <v>551600</v>
      </c>
      <c r="G14" s="1080">
        <v>0</v>
      </c>
      <c r="H14" s="1081">
        <v>0</v>
      </c>
    </row>
    <row r="15" spans="1:9" ht="20.25">
      <c r="A15" s="1075">
        <v>2568</v>
      </c>
      <c r="B15" s="1076">
        <v>1</v>
      </c>
      <c r="C15" s="1076">
        <v>1</v>
      </c>
      <c r="D15" s="1077" t="s">
        <v>44</v>
      </c>
      <c r="E15" s="1078">
        <v>7</v>
      </c>
      <c r="F15" s="1079">
        <v>1085200</v>
      </c>
      <c r="G15" s="1080">
        <v>101672</v>
      </c>
      <c r="H15" s="1081">
        <v>9.3689642462218945</v>
      </c>
    </row>
    <row r="16" spans="1:9" ht="20.25">
      <c r="A16" s="1075">
        <v>2568</v>
      </c>
      <c r="B16" s="1076">
        <v>1</v>
      </c>
      <c r="C16" s="1076">
        <v>1</v>
      </c>
      <c r="D16" s="1077" t="s">
        <v>172</v>
      </c>
      <c r="E16" s="1078">
        <v>7</v>
      </c>
      <c r="F16" s="1079">
        <v>863600</v>
      </c>
      <c r="G16" s="1080">
        <v>0</v>
      </c>
      <c r="H16" s="1081">
        <v>0</v>
      </c>
    </row>
    <row r="17" spans="1:8" ht="20.25">
      <c r="A17" s="1075">
        <v>2568</v>
      </c>
      <c r="B17" s="1076">
        <v>1</v>
      </c>
      <c r="C17" s="1076">
        <v>1</v>
      </c>
      <c r="D17" s="1077" t="s">
        <v>45</v>
      </c>
      <c r="E17" s="1078">
        <v>8</v>
      </c>
      <c r="F17" s="1079">
        <v>863600</v>
      </c>
      <c r="G17" s="1082">
        <v>0</v>
      </c>
      <c r="H17" s="1081">
        <v>0</v>
      </c>
    </row>
    <row r="18" spans="1:8" ht="20.25">
      <c r="A18" s="1075">
        <v>2568</v>
      </c>
      <c r="B18" s="1076">
        <v>1</v>
      </c>
      <c r="C18" s="1076">
        <v>1</v>
      </c>
      <c r="D18" s="1077" t="s">
        <v>46</v>
      </c>
      <c r="E18" s="1078">
        <v>4</v>
      </c>
      <c r="F18" s="1079">
        <v>371980</v>
      </c>
      <c r="G18" s="1080">
        <v>156880</v>
      </c>
      <c r="H18" s="1081">
        <v>42.174310446798216</v>
      </c>
    </row>
    <row r="19" spans="1:8" ht="20.25">
      <c r="A19" s="1075">
        <v>2568</v>
      </c>
      <c r="B19" s="1076">
        <v>1</v>
      </c>
      <c r="C19" s="1076">
        <v>1</v>
      </c>
      <c r="D19" s="1077" t="s">
        <v>47</v>
      </c>
      <c r="E19" s="1078">
        <v>5</v>
      </c>
      <c r="F19" s="1079">
        <v>1324800</v>
      </c>
      <c r="G19" s="1080">
        <v>0</v>
      </c>
      <c r="H19" s="1081">
        <v>0</v>
      </c>
    </row>
    <row r="20" spans="1:8" ht="20.25">
      <c r="A20" s="1075">
        <v>2568</v>
      </c>
      <c r="B20" s="1076">
        <v>1</v>
      </c>
      <c r="C20" s="1076">
        <v>1</v>
      </c>
      <c r="D20" s="1077" t="s">
        <v>48</v>
      </c>
      <c r="E20" s="1078">
        <v>10</v>
      </c>
      <c r="F20" s="1079">
        <v>940400</v>
      </c>
      <c r="G20" s="1080">
        <v>0</v>
      </c>
      <c r="H20" s="1081">
        <v>0</v>
      </c>
    </row>
    <row r="21" spans="1:8" ht="20.25">
      <c r="A21" s="1075">
        <v>2568</v>
      </c>
      <c r="B21" s="1076">
        <v>1</v>
      </c>
      <c r="C21" s="1076">
        <v>1</v>
      </c>
      <c r="D21" s="1077" t="s">
        <v>49</v>
      </c>
      <c r="E21" s="1078">
        <v>2</v>
      </c>
      <c r="F21" s="1079">
        <v>312000</v>
      </c>
      <c r="G21" s="1080">
        <v>0</v>
      </c>
      <c r="H21" s="1081">
        <v>0</v>
      </c>
    </row>
    <row r="22" spans="1:8" ht="20.25">
      <c r="A22" s="1075">
        <v>2568</v>
      </c>
      <c r="B22" s="1076">
        <v>1</v>
      </c>
      <c r="C22" s="1076">
        <v>1</v>
      </c>
      <c r="D22" s="1077" t="s">
        <v>50</v>
      </c>
      <c r="E22" s="1078">
        <v>15</v>
      </c>
      <c r="F22" s="1079">
        <v>2812400</v>
      </c>
      <c r="G22" s="1080">
        <v>0</v>
      </c>
      <c r="H22" s="1081">
        <v>0</v>
      </c>
    </row>
    <row r="23" spans="1:8" ht="20.25">
      <c r="A23" s="1075">
        <v>2568</v>
      </c>
      <c r="B23" s="1076">
        <v>1</v>
      </c>
      <c r="C23" s="1076">
        <v>1</v>
      </c>
      <c r="D23" s="1077" t="s">
        <v>103</v>
      </c>
      <c r="E23" s="1078">
        <v>13</v>
      </c>
      <c r="F23" s="1079">
        <v>1193600</v>
      </c>
      <c r="G23" s="1080">
        <v>0</v>
      </c>
      <c r="H23" s="1081">
        <v>0</v>
      </c>
    </row>
    <row r="24" spans="1:8" ht="20.25">
      <c r="A24" s="1075">
        <v>2568</v>
      </c>
      <c r="B24" s="1076">
        <v>1</v>
      </c>
      <c r="C24" s="1076">
        <v>1</v>
      </c>
      <c r="D24" s="1077" t="s">
        <v>51</v>
      </c>
      <c r="E24" s="1078">
        <v>2</v>
      </c>
      <c r="F24" s="1079">
        <v>514000</v>
      </c>
      <c r="G24" s="1080">
        <v>410000</v>
      </c>
      <c r="H24" s="1081">
        <v>79.766536964980546</v>
      </c>
    </row>
    <row r="25" spans="1:8" ht="20.25">
      <c r="A25" s="1075">
        <v>2568</v>
      </c>
      <c r="B25" s="1076">
        <v>1</v>
      </c>
      <c r="C25" s="1076">
        <v>1</v>
      </c>
      <c r="D25" s="1077" t="s">
        <v>21</v>
      </c>
      <c r="E25" s="1078">
        <v>3</v>
      </c>
      <c r="F25" s="1079">
        <v>135600</v>
      </c>
      <c r="G25" s="1080">
        <v>0</v>
      </c>
      <c r="H25" s="1081">
        <v>0</v>
      </c>
    </row>
    <row r="26" spans="1:8" ht="20.25">
      <c r="A26" s="1075">
        <v>2568</v>
      </c>
      <c r="B26" s="1076">
        <v>1</v>
      </c>
      <c r="C26" s="1076">
        <v>1</v>
      </c>
      <c r="D26" s="1077" t="s">
        <v>23</v>
      </c>
      <c r="E26" s="1078">
        <v>2</v>
      </c>
      <c r="F26" s="1079">
        <v>149200</v>
      </c>
      <c r="G26" s="1080">
        <v>0</v>
      </c>
      <c r="H26" s="1081">
        <v>0</v>
      </c>
    </row>
    <row r="27" spans="1:8" ht="20.25">
      <c r="A27" s="1075">
        <v>2568</v>
      </c>
      <c r="B27" s="1076">
        <v>1</v>
      </c>
      <c r="C27" s="1076">
        <v>1</v>
      </c>
      <c r="D27" s="1077" t="s">
        <v>173</v>
      </c>
      <c r="E27" s="1078">
        <v>4</v>
      </c>
      <c r="F27" s="1079">
        <v>703200</v>
      </c>
      <c r="G27" s="1080">
        <v>0</v>
      </c>
      <c r="H27" s="1081">
        <v>0</v>
      </c>
    </row>
    <row r="28" spans="1:8" ht="20.25">
      <c r="A28" s="1075">
        <v>2568</v>
      </c>
      <c r="B28" s="1076">
        <v>1</v>
      </c>
      <c r="C28" s="1076">
        <v>1</v>
      </c>
      <c r="D28" s="1077" t="s">
        <v>54</v>
      </c>
      <c r="E28" s="1078">
        <v>2</v>
      </c>
      <c r="F28" s="1079">
        <v>149200</v>
      </c>
      <c r="G28" s="1080">
        <v>104000</v>
      </c>
      <c r="H28" s="1081">
        <v>69.705093833780154</v>
      </c>
    </row>
    <row r="29" spans="1:8" ht="20.25">
      <c r="A29" s="1075">
        <v>2568</v>
      </c>
      <c r="B29" s="1076">
        <v>1</v>
      </c>
      <c r="C29" s="1076">
        <v>1</v>
      </c>
      <c r="D29" s="1077" t="s">
        <v>55</v>
      </c>
      <c r="E29" s="1078">
        <v>7</v>
      </c>
      <c r="F29" s="1079">
        <v>791200</v>
      </c>
      <c r="G29" s="1080">
        <v>0</v>
      </c>
      <c r="H29" s="1081">
        <v>0</v>
      </c>
    </row>
    <row r="30" spans="1:8" ht="20.25">
      <c r="A30" s="1075">
        <v>2568</v>
      </c>
      <c r="B30" s="1076">
        <v>1</v>
      </c>
      <c r="C30" s="1076">
        <v>1</v>
      </c>
      <c r="D30" s="1077" t="s">
        <v>24</v>
      </c>
      <c r="E30" s="1078">
        <v>1</v>
      </c>
      <c r="F30" s="1079">
        <v>972100</v>
      </c>
      <c r="G30" s="1080">
        <v>950000</v>
      </c>
      <c r="H30" s="1081">
        <v>97.726571340397072</v>
      </c>
    </row>
    <row r="31" spans="1:8" ht="20.25">
      <c r="A31" s="1075">
        <v>2568</v>
      </c>
      <c r="B31" s="1076">
        <v>1</v>
      </c>
      <c r="C31" s="1076">
        <v>1</v>
      </c>
      <c r="D31" s="1077" t="s">
        <v>56</v>
      </c>
      <c r="E31" s="1078">
        <v>2</v>
      </c>
      <c r="F31" s="1079">
        <v>545100</v>
      </c>
      <c r="G31" s="1080">
        <v>0</v>
      </c>
      <c r="H31" s="1081">
        <v>0</v>
      </c>
    </row>
    <row r="32" spans="1:8" ht="20.25">
      <c r="A32" s="1075">
        <v>2568</v>
      </c>
      <c r="B32" s="1076">
        <v>1</v>
      </c>
      <c r="C32" s="1076">
        <v>1</v>
      </c>
      <c r="D32" s="1077" t="s">
        <v>57</v>
      </c>
      <c r="E32" s="1078">
        <v>1</v>
      </c>
      <c r="F32" s="1079">
        <v>104000</v>
      </c>
      <c r="G32" s="1080">
        <v>0</v>
      </c>
      <c r="H32" s="1081">
        <v>0</v>
      </c>
    </row>
    <row r="33" spans="1:8" ht="20.25">
      <c r="A33" s="1075">
        <v>2568</v>
      </c>
      <c r="B33" s="1076">
        <v>1</v>
      </c>
      <c r="C33" s="1076">
        <v>1</v>
      </c>
      <c r="D33" s="1077" t="s">
        <v>59</v>
      </c>
      <c r="E33" s="1078">
        <v>1</v>
      </c>
      <c r="F33" s="1079">
        <v>208000</v>
      </c>
      <c r="G33" s="1080">
        <v>0</v>
      </c>
      <c r="H33" s="1081">
        <v>0</v>
      </c>
    </row>
    <row r="34" spans="1:8" ht="20.25">
      <c r="A34" s="1075">
        <v>2568</v>
      </c>
      <c r="B34" s="1076">
        <v>1</v>
      </c>
      <c r="C34" s="1076">
        <v>1</v>
      </c>
      <c r="D34" s="1077" t="s">
        <v>62</v>
      </c>
      <c r="E34" s="1078">
        <v>2</v>
      </c>
      <c r="F34" s="1079">
        <v>149200</v>
      </c>
      <c r="G34" s="1080">
        <v>82165.42</v>
      </c>
      <c r="H34" s="1081">
        <v>55.070656836461126</v>
      </c>
    </row>
    <row r="35" spans="1:8" ht="20.25">
      <c r="A35" s="1075">
        <v>2568</v>
      </c>
      <c r="B35" s="1076">
        <v>1</v>
      </c>
      <c r="C35" s="1076">
        <v>1</v>
      </c>
      <c r="D35" s="1077" t="s">
        <v>183</v>
      </c>
      <c r="E35" s="1078">
        <v>2</v>
      </c>
      <c r="F35" s="1079">
        <v>400110</v>
      </c>
      <c r="G35" s="1080">
        <v>399800</v>
      </c>
      <c r="H35" s="1081">
        <v>99.922521306640675</v>
      </c>
    </row>
    <row r="36" spans="1:8" ht="20.25">
      <c r="A36" s="1075">
        <v>2568</v>
      </c>
      <c r="B36" s="1076">
        <v>1</v>
      </c>
      <c r="C36" s="1076">
        <v>1</v>
      </c>
      <c r="D36" s="1077" t="s">
        <v>66</v>
      </c>
      <c r="E36" s="1078">
        <v>3</v>
      </c>
      <c r="F36" s="1079">
        <v>135600</v>
      </c>
      <c r="G36" s="1080">
        <v>0</v>
      </c>
      <c r="H36" s="1081">
        <v>0</v>
      </c>
    </row>
    <row r="37" spans="1:8" ht="20.25">
      <c r="A37" s="1075">
        <v>2568</v>
      </c>
      <c r="B37" s="1076">
        <v>1</v>
      </c>
      <c r="C37" s="1076">
        <v>1</v>
      </c>
      <c r="D37" s="1077" t="s">
        <v>67</v>
      </c>
      <c r="E37" s="1078">
        <v>1</v>
      </c>
      <c r="F37" s="1079">
        <v>60000</v>
      </c>
      <c r="G37" s="1080">
        <v>60000</v>
      </c>
      <c r="H37" s="1081">
        <v>100</v>
      </c>
    </row>
    <row r="38" spans="1:8" ht="20.25">
      <c r="A38" s="1075">
        <v>2568</v>
      </c>
      <c r="B38" s="1076">
        <v>1</v>
      </c>
      <c r="C38" s="1076">
        <v>1</v>
      </c>
      <c r="D38" s="1077" t="s">
        <v>174</v>
      </c>
      <c r="E38" s="1078">
        <v>3</v>
      </c>
      <c r="F38" s="1079">
        <v>194400</v>
      </c>
      <c r="G38" s="1080">
        <v>0</v>
      </c>
      <c r="H38" s="1081">
        <v>0</v>
      </c>
    </row>
    <row r="39" spans="1:8" ht="20.25">
      <c r="A39" s="1075">
        <v>2568</v>
      </c>
      <c r="B39" s="1076">
        <v>1</v>
      </c>
      <c r="C39" s="1076">
        <v>1</v>
      </c>
      <c r="D39" s="1077" t="s">
        <v>69</v>
      </c>
      <c r="E39" s="1078">
        <v>1</v>
      </c>
      <c r="F39" s="1079">
        <v>45200</v>
      </c>
      <c r="G39" s="1080">
        <v>0</v>
      </c>
      <c r="H39" s="1081">
        <v>0</v>
      </c>
    </row>
    <row r="40" spans="1:8" ht="20.25">
      <c r="A40" s="1075">
        <v>2568</v>
      </c>
      <c r="B40" s="1076">
        <v>1</v>
      </c>
      <c r="C40" s="1076">
        <v>1</v>
      </c>
      <c r="D40" s="1077" t="s">
        <v>71</v>
      </c>
      <c r="E40" s="1078">
        <v>2</v>
      </c>
      <c r="F40" s="1079">
        <v>149200</v>
      </c>
      <c r="G40" s="1080">
        <v>148000</v>
      </c>
      <c r="H40" s="1081">
        <v>99.195710455764072</v>
      </c>
    </row>
    <row r="41" spans="1:8" ht="20.25">
      <c r="A41" s="1075">
        <v>2568</v>
      </c>
      <c r="B41" s="1076">
        <v>1</v>
      </c>
      <c r="C41" s="1076">
        <v>1</v>
      </c>
      <c r="D41" s="1077" t="s">
        <v>72</v>
      </c>
      <c r="E41" s="1078">
        <v>2</v>
      </c>
      <c r="F41" s="1079">
        <v>1174700</v>
      </c>
      <c r="G41" s="1080">
        <v>0</v>
      </c>
      <c r="H41" s="1081">
        <v>0</v>
      </c>
    </row>
    <row r="42" spans="1:8" ht="20.25">
      <c r="A42" s="1075">
        <v>2568</v>
      </c>
      <c r="B42" s="1076">
        <v>1</v>
      </c>
      <c r="C42" s="1076">
        <v>1</v>
      </c>
      <c r="D42" s="1077" t="s">
        <v>73</v>
      </c>
      <c r="E42" s="1078">
        <v>3</v>
      </c>
      <c r="F42" s="1079">
        <v>253200</v>
      </c>
      <c r="G42" s="1080">
        <v>0</v>
      </c>
      <c r="H42" s="1081">
        <v>0</v>
      </c>
    </row>
    <row r="43" spans="1:8" ht="20.25">
      <c r="A43" s="1075">
        <v>2568</v>
      </c>
      <c r="B43" s="1076">
        <v>1</v>
      </c>
      <c r="C43" s="1076">
        <v>1</v>
      </c>
      <c r="D43" s="1077" t="s">
        <v>175</v>
      </c>
      <c r="E43" s="1078">
        <v>6</v>
      </c>
      <c r="F43" s="1079">
        <v>524400</v>
      </c>
      <c r="G43" s="1080">
        <v>0</v>
      </c>
      <c r="H43" s="1081">
        <v>0</v>
      </c>
    </row>
    <row r="44" spans="1:8" ht="20.25">
      <c r="A44" s="1075">
        <v>2568</v>
      </c>
      <c r="B44" s="1076">
        <v>1</v>
      </c>
      <c r="C44" s="1076">
        <v>1</v>
      </c>
      <c r="D44" s="1077" t="s">
        <v>74</v>
      </c>
      <c r="E44" s="1078">
        <v>1</v>
      </c>
      <c r="F44" s="1079">
        <v>90400</v>
      </c>
      <c r="G44" s="1080">
        <v>0</v>
      </c>
      <c r="H44" s="1081">
        <v>0</v>
      </c>
    </row>
    <row r="45" spans="1:8" ht="20.25">
      <c r="A45" s="1075">
        <v>2568</v>
      </c>
      <c r="B45" s="1076">
        <v>1</v>
      </c>
      <c r="C45" s="1076">
        <v>1</v>
      </c>
      <c r="D45" s="1077" t="s">
        <v>75</v>
      </c>
      <c r="E45" s="1078">
        <v>2</v>
      </c>
      <c r="F45" s="1079">
        <v>149200</v>
      </c>
      <c r="G45" s="1080">
        <v>0</v>
      </c>
      <c r="H45" s="1081">
        <v>0</v>
      </c>
    </row>
    <row r="46" spans="1:8" ht="20.25">
      <c r="A46" s="1075">
        <v>2568</v>
      </c>
      <c r="B46" s="1076">
        <v>1</v>
      </c>
      <c r="C46" s="1076">
        <v>1</v>
      </c>
      <c r="D46" s="1077" t="s">
        <v>76</v>
      </c>
      <c r="E46" s="1078">
        <v>8</v>
      </c>
      <c r="F46" s="1079">
        <v>773200</v>
      </c>
      <c r="G46" s="1080">
        <v>0</v>
      </c>
      <c r="H46" s="1081">
        <v>0</v>
      </c>
    </row>
  </sheetData>
  <sortState xmlns:xlrd2="http://schemas.microsoft.com/office/spreadsheetml/2017/richdata2" ref="D2:H46">
    <sortCondition descending="1" ref="H2:H46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7"/>
  <dimension ref="A1:H8"/>
  <sheetViews>
    <sheetView workbookViewId="0">
      <selection activeCell="H10" sqref="H10"/>
    </sheetView>
  </sheetViews>
  <sheetFormatPr defaultRowHeight="15.75"/>
  <cols>
    <col min="1" max="1" width="9.28515625" style="38" bestFit="1" customWidth="1"/>
    <col min="2" max="3" width="9.28515625" style="37" bestFit="1" customWidth="1"/>
    <col min="4" max="4" width="19.140625" style="38" customWidth="1"/>
    <col min="5" max="5" width="9.28515625" style="38" bestFit="1" customWidth="1"/>
    <col min="6" max="6" width="18" style="29" bestFit="1" customWidth="1"/>
    <col min="7" max="7" width="15.7109375" style="29" customWidth="1"/>
    <col min="8" max="8" width="9.85546875" style="38" bestFit="1" customWidth="1"/>
    <col min="9" max="259" width="9.140625" style="8"/>
    <col min="260" max="260" width="19.140625" style="8" customWidth="1"/>
    <col min="261" max="261" width="9.140625" style="8"/>
    <col min="262" max="262" width="15.140625" style="8" bestFit="1" customWidth="1"/>
    <col min="263" max="263" width="10.5703125" style="8" bestFit="1" customWidth="1"/>
    <col min="264" max="515" width="9.140625" style="8"/>
    <col min="516" max="516" width="19.140625" style="8" customWidth="1"/>
    <col min="517" max="517" width="9.140625" style="8"/>
    <col min="518" max="518" width="15.140625" style="8" bestFit="1" customWidth="1"/>
    <col min="519" max="519" width="10.5703125" style="8" bestFit="1" customWidth="1"/>
    <col min="520" max="771" width="9.140625" style="8"/>
    <col min="772" max="772" width="19.140625" style="8" customWidth="1"/>
    <col min="773" max="773" width="9.140625" style="8"/>
    <col min="774" max="774" width="15.140625" style="8" bestFit="1" customWidth="1"/>
    <col min="775" max="775" width="10.5703125" style="8" bestFit="1" customWidth="1"/>
    <col min="776" max="1027" width="9.140625" style="8"/>
    <col min="1028" max="1028" width="19.140625" style="8" customWidth="1"/>
    <col min="1029" max="1029" width="9.140625" style="8"/>
    <col min="1030" max="1030" width="15.140625" style="8" bestFit="1" customWidth="1"/>
    <col min="1031" max="1031" width="10.5703125" style="8" bestFit="1" customWidth="1"/>
    <col min="1032" max="1283" width="9.140625" style="8"/>
    <col min="1284" max="1284" width="19.140625" style="8" customWidth="1"/>
    <col min="1285" max="1285" width="9.140625" style="8"/>
    <col min="1286" max="1286" width="15.140625" style="8" bestFit="1" customWidth="1"/>
    <col min="1287" max="1287" width="10.5703125" style="8" bestFit="1" customWidth="1"/>
    <col min="1288" max="1539" width="9.140625" style="8"/>
    <col min="1540" max="1540" width="19.140625" style="8" customWidth="1"/>
    <col min="1541" max="1541" width="9.140625" style="8"/>
    <col min="1542" max="1542" width="15.140625" style="8" bestFit="1" customWidth="1"/>
    <col min="1543" max="1543" width="10.5703125" style="8" bestFit="1" customWidth="1"/>
    <col min="1544" max="1795" width="9.140625" style="8"/>
    <col min="1796" max="1796" width="19.140625" style="8" customWidth="1"/>
    <col min="1797" max="1797" width="9.140625" style="8"/>
    <col min="1798" max="1798" width="15.140625" style="8" bestFit="1" customWidth="1"/>
    <col min="1799" max="1799" width="10.5703125" style="8" bestFit="1" customWidth="1"/>
    <col min="1800" max="2051" width="9.140625" style="8"/>
    <col min="2052" max="2052" width="19.140625" style="8" customWidth="1"/>
    <col min="2053" max="2053" width="9.140625" style="8"/>
    <col min="2054" max="2054" width="15.140625" style="8" bestFit="1" customWidth="1"/>
    <col min="2055" max="2055" width="10.5703125" style="8" bestFit="1" customWidth="1"/>
    <col min="2056" max="2307" width="9.140625" style="8"/>
    <col min="2308" max="2308" width="19.140625" style="8" customWidth="1"/>
    <col min="2309" max="2309" width="9.140625" style="8"/>
    <col min="2310" max="2310" width="15.140625" style="8" bestFit="1" customWidth="1"/>
    <col min="2311" max="2311" width="10.5703125" style="8" bestFit="1" customWidth="1"/>
    <col min="2312" max="2563" width="9.140625" style="8"/>
    <col min="2564" max="2564" width="19.140625" style="8" customWidth="1"/>
    <col min="2565" max="2565" width="9.140625" style="8"/>
    <col min="2566" max="2566" width="15.140625" style="8" bestFit="1" customWidth="1"/>
    <col min="2567" max="2567" width="10.5703125" style="8" bestFit="1" customWidth="1"/>
    <col min="2568" max="2819" width="9.140625" style="8"/>
    <col min="2820" max="2820" width="19.140625" style="8" customWidth="1"/>
    <col min="2821" max="2821" width="9.140625" style="8"/>
    <col min="2822" max="2822" width="15.140625" style="8" bestFit="1" customWidth="1"/>
    <col min="2823" max="2823" width="10.5703125" style="8" bestFit="1" customWidth="1"/>
    <col min="2824" max="3075" width="9.140625" style="8"/>
    <col min="3076" max="3076" width="19.140625" style="8" customWidth="1"/>
    <col min="3077" max="3077" width="9.140625" style="8"/>
    <col min="3078" max="3078" width="15.140625" style="8" bestFit="1" customWidth="1"/>
    <col min="3079" max="3079" width="10.5703125" style="8" bestFit="1" customWidth="1"/>
    <col min="3080" max="3331" width="9.140625" style="8"/>
    <col min="3332" max="3332" width="19.140625" style="8" customWidth="1"/>
    <col min="3333" max="3333" width="9.140625" style="8"/>
    <col min="3334" max="3334" width="15.140625" style="8" bestFit="1" customWidth="1"/>
    <col min="3335" max="3335" width="10.5703125" style="8" bestFit="1" customWidth="1"/>
    <col min="3336" max="3587" width="9.140625" style="8"/>
    <col min="3588" max="3588" width="19.140625" style="8" customWidth="1"/>
    <col min="3589" max="3589" width="9.140625" style="8"/>
    <col min="3590" max="3590" width="15.140625" style="8" bestFit="1" customWidth="1"/>
    <col min="3591" max="3591" width="10.5703125" style="8" bestFit="1" customWidth="1"/>
    <col min="3592" max="3843" width="9.140625" style="8"/>
    <col min="3844" max="3844" width="19.140625" style="8" customWidth="1"/>
    <col min="3845" max="3845" width="9.140625" style="8"/>
    <col min="3846" max="3846" width="15.140625" style="8" bestFit="1" customWidth="1"/>
    <col min="3847" max="3847" width="10.5703125" style="8" bestFit="1" customWidth="1"/>
    <col min="3848" max="4099" width="9.140625" style="8"/>
    <col min="4100" max="4100" width="19.140625" style="8" customWidth="1"/>
    <col min="4101" max="4101" width="9.140625" style="8"/>
    <col min="4102" max="4102" width="15.140625" style="8" bestFit="1" customWidth="1"/>
    <col min="4103" max="4103" width="10.5703125" style="8" bestFit="1" customWidth="1"/>
    <col min="4104" max="4355" width="9.140625" style="8"/>
    <col min="4356" max="4356" width="19.140625" style="8" customWidth="1"/>
    <col min="4357" max="4357" width="9.140625" style="8"/>
    <col min="4358" max="4358" width="15.140625" style="8" bestFit="1" customWidth="1"/>
    <col min="4359" max="4359" width="10.5703125" style="8" bestFit="1" customWidth="1"/>
    <col min="4360" max="4611" width="9.140625" style="8"/>
    <col min="4612" max="4612" width="19.140625" style="8" customWidth="1"/>
    <col min="4613" max="4613" width="9.140625" style="8"/>
    <col min="4614" max="4614" width="15.140625" style="8" bestFit="1" customWidth="1"/>
    <col min="4615" max="4615" width="10.5703125" style="8" bestFit="1" customWidth="1"/>
    <col min="4616" max="4867" width="9.140625" style="8"/>
    <col min="4868" max="4868" width="19.140625" style="8" customWidth="1"/>
    <col min="4869" max="4869" width="9.140625" style="8"/>
    <col min="4870" max="4870" width="15.140625" style="8" bestFit="1" customWidth="1"/>
    <col min="4871" max="4871" width="10.5703125" style="8" bestFit="1" customWidth="1"/>
    <col min="4872" max="5123" width="9.140625" style="8"/>
    <col min="5124" max="5124" width="19.140625" style="8" customWidth="1"/>
    <col min="5125" max="5125" width="9.140625" style="8"/>
    <col min="5126" max="5126" width="15.140625" style="8" bestFit="1" customWidth="1"/>
    <col min="5127" max="5127" width="10.5703125" style="8" bestFit="1" customWidth="1"/>
    <col min="5128" max="5379" width="9.140625" style="8"/>
    <col min="5380" max="5380" width="19.140625" style="8" customWidth="1"/>
    <col min="5381" max="5381" width="9.140625" style="8"/>
    <col min="5382" max="5382" width="15.140625" style="8" bestFit="1" customWidth="1"/>
    <col min="5383" max="5383" width="10.5703125" style="8" bestFit="1" customWidth="1"/>
    <col min="5384" max="5635" width="9.140625" style="8"/>
    <col min="5636" max="5636" width="19.140625" style="8" customWidth="1"/>
    <col min="5637" max="5637" width="9.140625" style="8"/>
    <col min="5638" max="5638" width="15.140625" style="8" bestFit="1" customWidth="1"/>
    <col min="5639" max="5639" width="10.5703125" style="8" bestFit="1" customWidth="1"/>
    <col min="5640" max="5891" width="9.140625" style="8"/>
    <col min="5892" max="5892" width="19.140625" style="8" customWidth="1"/>
    <col min="5893" max="5893" width="9.140625" style="8"/>
    <col min="5894" max="5894" width="15.140625" style="8" bestFit="1" customWidth="1"/>
    <col min="5895" max="5895" width="10.5703125" style="8" bestFit="1" customWidth="1"/>
    <col min="5896" max="6147" width="9.140625" style="8"/>
    <col min="6148" max="6148" width="19.140625" style="8" customWidth="1"/>
    <col min="6149" max="6149" width="9.140625" style="8"/>
    <col min="6150" max="6150" width="15.140625" style="8" bestFit="1" customWidth="1"/>
    <col min="6151" max="6151" width="10.5703125" style="8" bestFit="1" customWidth="1"/>
    <col min="6152" max="6403" width="9.140625" style="8"/>
    <col min="6404" max="6404" width="19.140625" style="8" customWidth="1"/>
    <col min="6405" max="6405" width="9.140625" style="8"/>
    <col min="6406" max="6406" width="15.140625" style="8" bestFit="1" customWidth="1"/>
    <col min="6407" max="6407" width="10.5703125" style="8" bestFit="1" customWidth="1"/>
    <col min="6408" max="6659" width="9.140625" style="8"/>
    <col min="6660" max="6660" width="19.140625" style="8" customWidth="1"/>
    <col min="6661" max="6661" width="9.140625" style="8"/>
    <col min="6662" max="6662" width="15.140625" style="8" bestFit="1" customWidth="1"/>
    <col min="6663" max="6663" width="10.5703125" style="8" bestFit="1" customWidth="1"/>
    <col min="6664" max="6915" width="9.140625" style="8"/>
    <col min="6916" max="6916" width="19.140625" style="8" customWidth="1"/>
    <col min="6917" max="6917" width="9.140625" style="8"/>
    <col min="6918" max="6918" width="15.140625" style="8" bestFit="1" customWidth="1"/>
    <col min="6919" max="6919" width="10.5703125" style="8" bestFit="1" customWidth="1"/>
    <col min="6920" max="7171" width="9.140625" style="8"/>
    <col min="7172" max="7172" width="19.140625" style="8" customWidth="1"/>
    <col min="7173" max="7173" width="9.140625" style="8"/>
    <col min="7174" max="7174" width="15.140625" style="8" bestFit="1" customWidth="1"/>
    <col min="7175" max="7175" width="10.5703125" style="8" bestFit="1" customWidth="1"/>
    <col min="7176" max="7427" width="9.140625" style="8"/>
    <col min="7428" max="7428" width="19.140625" style="8" customWidth="1"/>
    <col min="7429" max="7429" width="9.140625" style="8"/>
    <col min="7430" max="7430" width="15.140625" style="8" bestFit="1" customWidth="1"/>
    <col min="7431" max="7431" width="10.5703125" style="8" bestFit="1" customWidth="1"/>
    <col min="7432" max="7683" width="9.140625" style="8"/>
    <col min="7684" max="7684" width="19.140625" style="8" customWidth="1"/>
    <col min="7685" max="7685" width="9.140625" style="8"/>
    <col min="7686" max="7686" width="15.140625" style="8" bestFit="1" customWidth="1"/>
    <col min="7687" max="7687" width="10.5703125" style="8" bestFit="1" customWidth="1"/>
    <col min="7688" max="7939" width="9.140625" style="8"/>
    <col min="7940" max="7940" width="19.140625" style="8" customWidth="1"/>
    <col min="7941" max="7941" width="9.140625" style="8"/>
    <col min="7942" max="7942" width="15.140625" style="8" bestFit="1" customWidth="1"/>
    <col min="7943" max="7943" width="10.5703125" style="8" bestFit="1" customWidth="1"/>
    <col min="7944" max="8195" width="9.140625" style="8"/>
    <col min="8196" max="8196" width="19.140625" style="8" customWidth="1"/>
    <col min="8197" max="8197" width="9.140625" style="8"/>
    <col min="8198" max="8198" width="15.140625" style="8" bestFit="1" customWidth="1"/>
    <col min="8199" max="8199" width="10.5703125" style="8" bestFit="1" customWidth="1"/>
    <col min="8200" max="8451" width="9.140625" style="8"/>
    <col min="8452" max="8452" width="19.140625" style="8" customWidth="1"/>
    <col min="8453" max="8453" width="9.140625" style="8"/>
    <col min="8454" max="8454" width="15.140625" style="8" bestFit="1" customWidth="1"/>
    <col min="8455" max="8455" width="10.5703125" style="8" bestFit="1" customWidth="1"/>
    <col min="8456" max="8707" width="9.140625" style="8"/>
    <col min="8708" max="8708" width="19.140625" style="8" customWidth="1"/>
    <col min="8709" max="8709" width="9.140625" style="8"/>
    <col min="8710" max="8710" width="15.140625" style="8" bestFit="1" customWidth="1"/>
    <col min="8711" max="8711" width="10.5703125" style="8" bestFit="1" customWidth="1"/>
    <col min="8712" max="8963" width="9.140625" style="8"/>
    <col min="8964" max="8964" width="19.140625" style="8" customWidth="1"/>
    <col min="8965" max="8965" width="9.140625" style="8"/>
    <col min="8966" max="8966" width="15.140625" style="8" bestFit="1" customWidth="1"/>
    <col min="8967" max="8967" width="10.5703125" style="8" bestFit="1" customWidth="1"/>
    <col min="8968" max="9219" width="9.140625" style="8"/>
    <col min="9220" max="9220" width="19.140625" style="8" customWidth="1"/>
    <col min="9221" max="9221" width="9.140625" style="8"/>
    <col min="9222" max="9222" width="15.140625" style="8" bestFit="1" customWidth="1"/>
    <col min="9223" max="9223" width="10.5703125" style="8" bestFit="1" customWidth="1"/>
    <col min="9224" max="9475" width="9.140625" style="8"/>
    <col min="9476" max="9476" width="19.140625" style="8" customWidth="1"/>
    <col min="9477" max="9477" width="9.140625" style="8"/>
    <col min="9478" max="9478" width="15.140625" style="8" bestFit="1" customWidth="1"/>
    <col min="9479" max="9479" width="10.5703125" style="8" bestFit="1" customWidth="1"/>
    <col min="9480" max="9731" width="9.140625" style="8"/>
    <col min="9732" max="9732" width="19.140625" style="8" customWidth="1"/>
    <col min="9733" max="9733" width="9.140625" style="8"/>
    <col min="9734" max="9734" width="15.140625" style="8" bestFit="1" customWidth="1"/>
    <col min="9735" max="9735" width="10.5703125" style="8" bestFit="1" customWidth="1"/>
    <col min="9736" max="9987" width="9.140625" style="8"/>
    <col min="9988" max="9988" width="19.140625" style="8" customWidth="1"/>
    <col min="9989" max="9989" width="9.140625" style="8"/>
    <col min="9990" max="9990" width="15.140625" style="8" bestFit="1" customWidth="1"/>
    <col min="9991" max="9991" width="10.5703125" style="8" bestFit="1" customWidth="1"/>
    <col min="9992" max="10243" width="9.140625" style="8"/>
    <col min="10244" max="10244" width="19.140625" style="8" customWidth="1"/>
    <col min="10245" max="10245" width="9.140625" style="8"/>
    <col min="10246" max="10246" width="15.140625" style="8" bestFit="1" customWidth="1"/>
    <col min="10247" max="10247" width="10.5703125" style="8" bestFit="1" customWidth="1"/>
    <col min="10248" max="10499" width="9.140625" style="8"/>
    <col min="10500" max="10500" width="19.140625" style="8" customWidth="1"/>
    <col min="10501" max="10501" width="9.140625" style="8"/>
    <col min="10502" max="10502" width="15.140625" style="8" bestFit="1" customWidth="1"/>
    <col min="10503" max="10503" width="10.5703125" style="8" bestFit="1" customWidth="1"/>
    <col min="10504" max="10755" width="9.140625" style="8"/>
    <col min="10756" max="10756" width="19.140625" style="8" customWidth="1"/>
    <col min="10757" max="10757" width="9.140625" style="8"/>
    <col min="10758" max="10758" width="15.140625" style="8" bestFit="1" customWidth="1"/>
    <col min="10759" max="10759" width="10.5703125" style="8" bestFit="1" customWidth="1"/>
    <col min="10760" max="11011" width="9.140625" style="8"/>
    <col min="11012" max="11012" width="19.140625" style="8" customWidth="1"/>
    <col min="11013" max="11013" width="9.140625" style="8"/>
    <col min="11014" max="11014" width="15.140625" style="8" bestFit="1" customWidth="1"/>
    <col min="11015" max="11015" width="10.5703125" style="8" bestFit="1" customWidth="1"/>
    <col min="11016" max="11267" width="9.140625" style="8"/>
    <col min="11268" max="11268" width="19.140625" style="8" customWidth="1"/>
    <col min="11269" max="11269" width="9.140625" style="8"/>
    <col min="11270" max="11270" width="15.140625" style="8" bestFit="1" customWidth="1"/>
    <col min="11271" max="11271" width="10.5703125" style="8" bestFit="1" customWidth="1"/>
    <col min="11272" max="11523" width="9.140625" style="8"/>
    <col min="11524" max="11524" width="19.140625" style="8" customWidth="1"/>
    <col min="11525" max="11525" width="9.140625" style="8"/>
    <col min="11526" max="11526" width="15.140625" style="8" bestFit="1" customWidth="1"/>
    <col min="11527" max="11527" width="10.5703125" style="8" bestFit="1" customWidth="1"/>
    <col min="11528" max="11779" width="9.140625" style="8"/>
    <col min="11780" max="11780" width="19.140625" style="8" customWidth="1"/>
    <col min="11781" max="11781" width="9.140625" style="8"/>
    <col min="11782" max="11782" width="15.140625" style="8" bestFit="1" customWidth="1"/>
    <col min="11783" max="11783" width="10.5703125" style="8" bestFit="1" customWidth="1"/>
    <col min="11784" max="12035" width="9.140625" style="8"/>
    <col min="12036" max="12036" width="19.140625" style="8" customWidth="1"/>
    <col min="12037" max="12037" width="9.140625" style="8"/>
    <col min="12038" max="12038" width="15.140625" style="8" bestFit="1" customWidth="1"/>
    <col min="12039" max="12039" width="10.5703125" style="8" bestFit="1" customWidth="1"/>
    <col min="12040" max="12291" width="9.140625" style="8"/>
    <col min="12292" max="12292" width="19.140625" style="8" customWidth="1"/>
    <col min="12293" max="12293" width="9.140625" style="8"/>
    <col min="12294" max="12294" width="15.140625" style="8" bestFit="1" customWidth="1"/>
    <col min="12295" max="12295" width="10.5703125" style="8" bestFit="1" customWidth="1"/>
    <col min="12296" max="12547" width="9.140625" style="8"/>
    <col min="12548" max="12548" width="19.140625" style="8" customWidth="1"/>
    <col min="12549" max="12549" width="9.140625" style="8"/>
    <col min="12550" max="12550" width="15.140625" style="8" bestFit="1" customWidth="1"/>
    <col min="12551" max="12551" width="10.5703125" style="8" bestFit="1" customWidth="1"/>
    <col min="12552" max="12803" width="9.140625" style="8"/>
    <col min="12804" max="12804" width="19.140625" style="8" customWidth="1"/>
    <col min="12805" max="12805" width="9.140625" style="8"/>
    <col min="12806" max="12806" width="15.140625" style="8" bestFit="1" customWidth="1"/>
    <col min="12807" max="12807" width="10.5703125" style="8" bestFit="1" customWidth="1"/>
    <col min="12808" max="13059" width="9.140625" style="8"/>
    <col min="13060" max="13060" width="19.140625" style="8" customWidth="1"/>
    <col min="13061" max="13061" width="9.140625" style="8"/>
    <col min="13062" max="13062" width="15.140625" style="8" bestFit="1" customWidth="1"/>
    <col min="13063" max="13063" width="10.5703125" style="8" bestFit="1" customWidth="1"/>
    <col min="13064" max="13315" width="9.140625" style="8"/>
    <col min="13316" max="13316" width="19.140625" style="8" customWidth="1"/>
    <col min="13317" max="13317" width="9.140625" style="8"/>
    <col min="13318" max="13318" width="15.140625" style="8" bestFit="1" customWidth="1"/>
    <col min="13319" max="13319" width="10.5703125" style="8" bestFit="1" customWidth="1"/>
    <col min="13320" max="13571" width="9.140625" style="8"/>
    <col min="13572" max="13572" width="19.140625" style="8" customWidth="1"/>
    <col min="13573" max="13573" width="9.140625" style="8"/>
    <col min="13574" max="13574" width="15.140625" style="8" bestFit="1" customWidth="1"/>
    <col min="13575" max="13575" width="10.5703125" style="8" bestFit="1" customWidth="1"/>
    <col min="13576" max="13827" width="9.140625" style="8"/>
    <col min="13828" max="13828" width="19.140625" style="8" customWidth="1"/>
    <col min="13829" max="13829" width="9.140625" style="8"/>
    <col min="13830" max="13830" width="15.140625" style="8" bestFit="1" customWidth="1"/>
    <col min="13831" max="13831" width="10.5703125" style="8" bestFit="1" customWidth="1"/>
    <col min="13832" max="14083" width="9.140625" style="8"/>
    <col min="14084" max="14084" width="19.140625" style="8" customWidth="1"/>
    <col min="14085" max="14085" width="9.140625" style="8"/>
    <col min="14086" max="14086" width="15.140625" style="8" bestFit="1" customWidth="1"/>
    <col min="14087" max="14087" width="10.5703125" style="8" bestFit="1" customWidth="1"/>
    <col min="14088" max="14339" width="9.140625" style="8"/>
    <col min="14340" max="14340" width="19.140625" style="8" customWidth="1"/>
    <col min="14341" max="14341" width="9.140625" style="8"/>
    <col min="14342" max="14342" width="15.140625" style="8" bestFit="1" customWidth="1"/>
    <col min="14343" max="14343" width="10.5703125" style="8" bestFit="1" customWidth="1"/>
    <col min="14344" max="14595" width="9.140625" style="8"/>
    <col min="14596" max="14596" width="19.140625" style="8" customWidth="1"/>
    <col min="14597" max="14597" width="9.140625" style="8"/>
    <col min="14598" max="14598" width="15.140625" style="8" bestFit="1" customWidth="1"/>
    <col min="14599" max="14599" width="10.5703125" style="8" bestFit="1" customWidth="1"/>
    <col min="14600" max="14851" width="9.140625" style="8"/>
    <col min="14852" max="14852" width="19.140625" style="8" customWidth="1"/>
    <col min="14853" max="14853" width="9.140625" style="8"/>
    <col min="14854" max="14854" width="15.140625" style="8" bestFit="1" customWidth="1"/>
    <col min="14855" max="14855" width="10.5703125" style="8" bestFit="1" customWidth="1"/>
    <col min="14856" max="15107" width="9.140625" style="8"/>
    <col min="15108" max="15108" width="19.140625" style="8" customWidth="1"/>
    <col min="15109" max="15109" width="9.140625" style="8"/>
    <col min="15110" max="15110" width="15.140625" style="8" bestFit="1" customWidth="1"/>
    <col min="15111" max="15111" width="10.5703125" style="8" bestFit="1" customWidth="1"/>
    <col min="15112" max="15363" width="9.140625" style="8"/>
    <col min="15364" max="15364" width="19.140625" style="8" customWidth="1"/>
    <col min="15365" max="15365" width="9.140625" style="8"/>
    <col min="15366" max="15366" width="15.140625" style="8" bestFit="1" customWidth="1"/>
    <col min="15367" max="15367" width="10.5703125" style="8" bestFit="1" customWidth="1"/>
    <col min="15368" max="15619" width="9.140625" style="8"/>
    <col min="15620" max="15620" width="19.140625" style="8" customWidth="1"/>
    <col min="15621" max="15621" width="9.140625" style="8"/>
    <col min="15622" max="15622" width="15.140625" style="8" bestFit="1" customWidth="1"/>
    <col min="15623" max="15623" width="10.5703125" style="8" bestFit="1" customWidth="1"/>
    <col min="15624" max="15875" width="9.140625" style="8"/>
    <col min="15876" max="15876" width="19.140625" style="8" customWidth="1"/>
    <col min="15877" max="15877" width="9.140625" style="8"/>
    <col min="15878" max="15878" width="15.140625" style="8" bestFit="1" customWidth="1"/>
    <col min="15879" max="15879" width="10.5703125" style="8" bestFit="1" customWidth="1"/>
    <col min="15880" max="16131" width="9.140625" style="8"/>
    <col min="16132" max="16132" width="19.140625" style="8" customWidth="1"/>
    <col min="16133" max="16133" width="9.140625" style="8"/>
    <col min="16134" max="16134" width="15.140625" style="8" bestFit="1" customWidth="1"/>
    <col min="16135" max="16135" width="10.5703125" style="8" bestFit="1" customWidth="1"/>
    <col min="16136" max="16384" width="9.140625" style="8"/>
  </cols>
  <sheetData>
    <row r="1" spans="1:8" ht="26.25" customHeight="1">
      <c r="A1" s="33" t="s">
        <v>138</v>
      </c>
      <c r="B1" s="33" t="s">
        <v>139</v>
      </c>
      <c r="C1" s="33" t="s">
        <v>140</v>
      </c>
      <c r="D1" s="33" t="s">
        <v>142</v>
      </c>
      <c r="E1" s="33" t="s">
        <v>159</v>
      </c>
      <c r="F1" s="34" t="s">
        <v>143</v>
      </c>
      <c r="G1" s="34" t="s">
        <v>144</v>
      </c>
      <c r="H1" s="33" t="s">
        <v>145</v>
      </c>
    </row>
    <row r="2" spans="1:8" s="93" customFormat="1" ht="23.25" customHeight="1">
      <c r="A2" s="227">
        <v>2568</v>
      </c>
      <c r="B2" s="28">
        <v>1</v>
      </c>
      <c r="C2" s="28">
        <v>1</v>
      </c>
      <c r="D2" s="228" t="s">
        <v>83</v>
      </c>
      <c r="E2" s="229">
        <v>1</v>
      </c>
      <c r="F2" s="230">
        <v>263000</v>
      </c>
      <c r="G2" s="41">
        <v>263000</v>
      </c>
      <c r="H2" s="42">
        <v>100</v>
      </c>
    </row>
    <row r="3" spans="1:8" s="93" customFormat="1" ht="23.25" customHeight="1">
      <c r="A3" s="227">
        <v>2568</v>
      </c>
      <c r="B3" s="28">
        <v>1</v>
      </c>
      <c r="C3" s="28">
        <v>1</v>
      </c>
      <c r="D3" s="228" t="s">
        <v>85</v>
      </c>
      <c r="E3" s="229">
        <v>1</v>
      </c>
      <c r="F3" s="230">
        <v>10800</v>
      </c>
      <c r="G3" s="41">
        <v>10800</v>
      </c>
      <c r="H3" s="42">
        <v>100</v>
      </c>
    </row>
    <row r="4" spans="1:8">
      <c r="A4" s="224"/>
      <c r="B4" s="225"/>
      <c r="C4" s="225"/>
      <c r="D4" s="224"/>
      <c r="E4" s="224"/>
      <c r="F4" s="226"/>
      <c r="G4" s="226"/>
      <c r="H4" s="224"/>
    </row>
    <row r="5" spans="1:8">
      <c r="A5" s="224"/>
      <c r="B5" s="225"/>
      <c r="C5" s="225"/>
      <c r="D5" s="224"/>
      <c r="E5" s="224"/>
      <c r="F5" s="226"/>
      <c r="G5" s="226"/>
      <c r="H5" s="224"/>
    </row>
    <row r="6" spans="1:8">
      <c r="A6" s="224"/>
      <c r="B6" s="225"/>
      <c r="C6" s="225"/>
      <c r="D6" s="224"/>
      <c r="E6" s="224"/>
      <c r="F6" s="226"/>
      <c r="G6" s="226"/>
      <c r="H6" s="224"/>
    </row>
    <row r="7" spans="1:8">
      <c r="A7" s="224"/>
      <c r="B7" s="225"/>
      <c r="C7" s="225"/>
      <c r="D7" s="224"/>
      <c r="E7" s="224"/>
      <c r="F7" s="226"/>
      <c r="G7" s="226"/>
      <c r="H7" s="224"/>
    </row>
    <row r="8" spans="1:8">
      <c r="A8" s="224"/>
      <c r="B8" s="225"/>
      <c r="C8" s="225"/>
      <c r="D8" s="224"/>
      <c r="E8" s="224"/>
      <c r="F8" s="226"/>
      <c r="G8" s="226"/>
      <c r="H8" s="224"/>
    </row>
  </sheetData>
  <sortState xmlns:xlrd2="http://schemas.microsoft.com/office/spreadsheetml/2017/richdata2" ref="D2:H3">
    <sortCondition descending="1" ref="H2:H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X53"/>
  <sheetViews>
    <sheetView zoomScaleNormal="100" workbookViewId="0">
      <selection activeCell="D24" sqref="D24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6" width="13.7109375" hidden="1" customWidth="1"/>
    <col min="7" max="8" width="8" customWidth="1"/>
    <col min="9" max="11" width="13.28515625" customWidth="1"/>
    <col min="12" max="12" width="11.28515625" hidden="1" customWidth="1"/>
    <col min="13" max="14" width="8" customWidth="1"/>
    <col min="15" max="17" width="13.28515625" customWidth="1"/>
    <col min="18" max="18" width="13.42578125" hidden="1" customWidth="1"/>
    <col min="19" max="20" width="8" customWidth="1"/>
  </cols>
  <sheetData>
    <row r="1" spans="1:24" ht="29.25" customHeight="1">
      <c r="A1" s="808" t="s">
        <v>461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808"/>
    </row>
    <row r="2" spans="1:24" ht="26.25" customHeight="1">
      <c r="A2" s="808" t="s">
        <v>462</v>
      </c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  <c r="P2" s="808"/>
      <c r="Q2" s="808"/>
      <c r="R2" s="808"/>
      <c r="S2" s="808"/>
      <c r="T2" s="808"/>
    </row>
    <row r="3" spans="1:24" ht="26.25" customHeight="1">
      <c r="A3" s="808" t="s">
        <v>517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808"/>
      <c r="O3" s="808"/>
      <c r="P3" s="808"/>
      <c r="Q3" s="808"/>
      <c r="R3" s="808"/>
      <c r="S3" s="808"/>
      <c r="T3" s="808"/>
    </row>
    <row r="4" spans="1:24" ht="19.5" customHeight="1"/>
    <row r="5" spans="1:24" ht="32.25" customHeight="1">
      <c r="A5" s="809" t="s">
        <v>463</v>
      </c>
      <c r="B5" s="809" t="s">
        <v>464</v>
      </c>
      <c r="C5" s="964" t="s">
        <v>465</v>
      </c>
      <c r="D5" s="965"/>
      <c r="E5" s="965"/>
      <c r="F5" s="965"/>
      <c r="G5" s="966"/>
      <c r="H5" s="967"/>
      <c r="I5" s="968" t="s">
        <v>466</v>
      </c>
      <c r="J5" s="969"/>
      <c r="K5" s="969"/>
      <c r="L5" s="969"/>
      <c r="M5" s="970"/>
      <c r="N5" s="971"/>
      <c r="O5" s="811" t="s">
        <v>467</v>
      </c>
      <c r="P5" s="812"/>
      <c r="Q5" s="812"/>
      <c r="R5" s="812"/>
      <c r="S5" s="812"/>
      <c r="T5" s="813"/>
    </row>
    <row r="6" spans="1:24" ht="39.75" customHeight="1">
      <c r="A6" s="810"/>
      <c r="B6" s="809"/>
      <c r="C6" s="576" t="s">
        <v>468</v>
      </c>
      <c r="D6" s="576" t="s">
        <v>470</v>
      </c>
      <c r="E6" s="576" t="s">
        <v>469</v>
      </c>
      <c r="F6" s="576" t="s">
        <v>2</v>
      </c>
      <c r="G6" s="576" t="s">
        <v>518</v>
      </c>
      <c r="H6" s="576" t="s">
        <v>472</v>
      </c>
      <c r="I6" s="577" t="s">
        <v>468</v>
      </c>
      <c r="J6" s="577" t="s">
        <v>470</v>
      </c>
      <c r="K6" s="577" t="s">
        <v>469</v>
      </c>
      <c r="L6" s="577" t="s">
        <v>2</v>
      </c>
      <c r="M6" s="577" t="s">
        <v>518</v>
      </c>
      <c r="N6" s="577" t="s">
        <v>472</v>
      </c>
      <c r="O6" s="578" t="s">
        <v>468</v>
      </c>
      <c r="P6" s="578" t="s">
        <v>470</v>
      </c>
      <c r="Q6" s="578" t="s">
        <v>469</v>
      </c>
      <c r="R6" s="578" t="s">
        <v>2</v>
      </c>
      <c r="S6" s="578" t="s">
        <v>471</v>
      </c>
      <c r="T6" s="578" t="s">
        <v>472</v>
      </c>
    </row>
    <row r="7" spans="1:24" ht="30" customHeight="1">
      <c r="A7" s="579" t="s">
        <v>473</v>
      </c>
      <c r="B7" s="580" t="s">
        <v>474</v>
      </c>
      <c r="C7" s="581">
        <v>1525.3033049999999</v>
      </c>
      <c r="D7" s="582">
        <v>11.439975390000001</v>
      </c>
      <c r="E7" s="582">
        <v>471.59847299</v>
      </c>
      <c r="F7" s="582">
        <f t="shared" ref="F7:F13" si="0">SUM(D7:E7)</f>
        <v>483.03844837999998</v>
      </c>
      <c r="G7" s="583">
        <f>+E7*100/C7</f>
        <v>30.918340728960793</v>
      </c>
      <c r="H7" s="583">
        <f>+F7*100/C7</f>
        <v>31.668353880607373</v>
      </c>
      <c r="I7" s="582">
        <v>40492.986794999997</v>
      </c>
      <c r="J7" s="584">
        <v>17377.73087711</v>
      </c>
      <c r="K7" s="584">
        <v>2616.1311436999999</v>
      </c>
      <c r="L7" s="584">
        <f t="shared" ref="L7:L13" si="1">SUM(J7:K7)</f>
        <v>19993.86202081</v>
      </c>
      <c r="M7" s="583">
        <f>+K7*100/I7</f>
        <v>6.4607018418879276</v>
      </c>
      <c r="N7" s="583">
        <f>+L7*100/I7</f>
        <v>49.376110786865461</v>
      </c>
      <c r="O7" s="582">
        <v>42018.290099999998</v>
      </c>
      <c r="P7" s="582">
        <v>17389.170852499999</v>
      </c>
      <c r="Q7" s="582">
        <v>3087.7296166900001</v>
      </c>
      <c r="R7" s="582">
        <f t="shared" ref="R7:R13" si="2">SUM(P7:Q7)</f>
        <v>20476.900469190001</v>
      </c>
      <c r="S7" s="583">
        <f t="shared" ref="S7:S13" si="3">+Q7*100/O7</f>
        <v>7.3485370521776661</v>
      </c>
      <c r="T7" s="585">
        <f t="shared" ref="T7:T13" si="4">+R7*100/O7</f>
        <v>48.733302617637939</v>
      </c>
    </row>
    <row r="8" spans="1:24" ht="30" customHeight="1">
      <c r="A8" s="579" t="s">
        <v>475</v>
      </c>
      <c r="B8" s="580" t="s">
        <v>476</v>
      </c>
      <c r="C8" s="581">
        <v>128274.9932</v>
      </c>
      <c r="D8" s="582">
        <v>29.522477609999999</v>
      </c>
      <c r="E8" s="582">
        <v>68401.959382460002</v>
      </c>
      <c r="F8" s="582">
        <f t="shared" si="0"/>
        <v>68431.481860069995</v>
      </c>
      <c r="G8" s="583">
        <f t="shared" ref="G8:G13" si="5">+E8*100/C8</f>
        <v>53.324469310874228</v>
      </c>
      <c r="H8" s="583">
        <f t="shared" ref="H8:H13" si="6">+F8*100/C8</f>
        <v>53.347484301460867</v>
      </c>
      <c r="I8" s="582">
        <v>47482.873899999999</v>
      </c>
      <c r="J8" s="584">
        <v>34.307209999999998</v>
      </c>
      <c r="K8" s="584">
        <v>16093.16415353</v>
      </c>
      <c r="L8" s="584">
        <f t="shared" si="1"/>
        <v>16127.471363530001</v>
      </c>
      <c r="M8" s="583">
        <f t="shared" ref="M8:M13" si="7">+K8*100/I8</f>
        <v>33.892565533043701</v>
      </c>
      <c r="N8" s="583">
        <f t="shared" ref="N8:N13" si="8">+L8*100/I8</f>
        <v>33.96481728863931</v>
      </c>
      <c r="O8" s="582">
        <v>175757.8671</v>
      </c>
      <c r="P8" s="582">
        <v>63.829687610000001</v>
      </c>
      <c r="Q8" s="582">
        <v>84495.123535990002</v>
      </c>
      <c r="R8" s="582">
        <f t="shared" si="2"/>
        <v>84558.953223600009</v>
      </c>
      <c r="S8" s="583">
        <f t="shared" si="3"/>
        <v>48.074731976529549</v>
      </c>
      <c r="T8" s="585">
        <f t="shared" si="4"/>
        <v>48.111048807555775</v>
      </c>
    </row>
    <row r="9" spans="1:24" ht="30" customHeight="1">
      <c r="A9" s="579" t="s">
        <v>477</v>
      </c>
      <c r="B9" s="580" t="s">
        <v>481</v>
      </c>
      <c r="C9" s="581">
        <v>3080.6803</v>
      </c>
      <c r="D9" s="582">
        <v>151.94326339</v>
      </c>
      <c r="E9" s="582">
        <v>755.20133606000002</v>
      </c>
      <c r="F9" s="582">
        <f t="shared" si="0"/>
        <v>907.14459944999999</v>
      </c>
      <c r="G9" s="583">
        <f t="shared" si="5"/>
        <v>24.514109304363714</v>
      </c>
      <c r="H9" s="583">
        <f t="shared" si="6"/>
        <v>29.446242748720142</v>
      </c>
      <c r="I9" s="582">
        <v>3196.4535000000001</v>
      </c>
      <c r="J9" s="582">
        <v>1109.91066671</v>
      </c>
      <c r="K9" s="582">
        <v>25.319312020000002</v>
      </c>
      <c r="L9" s="584">
        <f t="shared" si="1"/>
        <v>1135.2299787300001</v>
      </c>
      <c r="M9" s="583">
        <f t="shared" si="7"/>
        <v>0.7921063772709348</v>
      </c>
      <c r="N9" s="583">
        <f t="shared" si="8"/>
        <v>35.515297773923507</v>
      </c>
      <c r="O9" s="582">
        <v>6277.1337999999996</v>
      </c>
      <c r="P9" s="582">
        <v>1261.8539301000001</v>
      </c>
      <c r="Q9" s="582">
        <v>780.52064808</v>
      </c>
      <c r="R9" s="582">
        <f t="shared" si="2"/>
        <v>2042.3745781800001</v>
      </c>
      <c r="S9" s="583">
        <f t="shared" si="3"/>
        <v>12.434347792299727</v>
      </c>
      <c r="T9" s="585">
        <f t="shared" si="4"/>
        <v>32.53673799624918</v>
      </c>
    </row>
    <row r="10" spans="1:24" s="972" customFormat="1" ht="30" customHeight="1">
      <c r="A10" s="586" t="s">
        <v>479</v>
      </c>
      <c r="B10" s="587" t="s">
        <v>17</v>
      </c>
      <c r="C10" s="588">
        <v>4920.0748999999996</v>
      </c>
      <c r="D10" s="589">
        <v>234.20675555</v>
      </c>
      <c r="E10" s="589">
        <v>1254.9264938199999</v>
      </c>
      <c r="F10" s="590">
        <f t="shared" si="0"/>
        <v>1489.1332493699999</v>
      </c>
      <c r="G10" s="591">
        <f t="shared" si="5"/>
        <v>25.506247756919311</v>
      </c>
      <c r="H10" s="591">
        <f t="shared" si="6"/>
        <v>30.266475198782036</v>
      </c>
      <c r="I10" s="589">
        <v>689.13440000000003</v>
      </c>
      <c r="J10" s="589">
        <v>11.844987420000001</v>
      </c>
      <c r="K10" s="589">
        <v>21.343324450000001</v>
      </c>
      <c r="L10" s="592">
        <f t="shared" si="1"/>
        <v>33.18831187</v>
      </c>
      <c r="M10" s="591">
        <f t="shared" si="7"/>
        <v>3.0971207430655037</v>
      </c>
      <c r="N10" s="591">
        <f t="shared" si="8"/>
        <v>4.815941835148557</v>
      </c>
      <c r="O10" s="589">
        <v>5609.2093000000004</v>
      </c>
      <c r="P10" s="589">
        <v>246.05174296999999</v>
      </c>
      <c r="Q10" s="589">
        <v>1276.2698182700001</v>
      </c>
      <c r="R10" s="590">
        <f t="shared" si="2"/>
        <v>1522.3215612400002</v>
      </c>
      <c r="S10" s="591">
        <f t="shared" si="3"/>
        <v>22.753114565897906</v>
      </c>
      <c r="T10" s="593">
        <f t="shared" si="4"/>
        <v>27.139681902046341</v>
      </c>
    </row>
    <row r="11" spans="1:24" s="972" customFormat="1" ht="30" customHeight="1">
      <c r="A11" s="579" t="s">
        <v>480</v>
      </c>
      <c r="B11" s="580" t="s">
        <v>483</v>
      </c>
      <c r="C11" s="581">
        <v>5140.0317999999997</v>
      </c>
      <c r="D11" s="582">
        <v>63.865718520000001</v>
      </c>
      <c r="E11" s="582">
        <v>1582.45900854</v>
      </c>
      <c r="F11" s="582">
        <f t="shared" si="0"/>
        <v>1646.32472706</v>
      </c>
      <c r="G11" s="583">
        <f t="shared" si="5"/>
        <v>30.786949772178456</v>
      </c>
      <c r="H11" s="583">
        <f t="shared" si="6"/>
        <v>32.029465791631871</v>
      </c>
      <c r="I11" s="582">
        <v>2349.1601999999998</v>
      </c>
      <c r="J11" s="582">
        <v>159.03061373</v>
      </c>
      <c r="K11" s="582">
        <v>48.464561209999999</v>
      </c>
      <c r="L11" s="584">
        <f t="shared" si="1"/>
        <v>207.49517494</v>
      </c>
      <c r="M11" s="583">
        <f t="shared" si="7"/>
        <v>2.0630590118971028</v>
      </c>
      <c r="N11" s="583">
        <f t="shared" si="8"/>
        <v>8.8327383947676292</v>
      </c>
      <c r="O11" s="582">
        <v>7489.192</v>
      </c>
      <c r="P11" s="582">
        <v>222.89633225</v>
      </c>
      <c r="Q11" s="582">
        <v>1630.9235697500001</v>
      </c>
      <c r="R11" s="582">
        <f t="shared" si="2"/>
        <v>1853.8199020000002</v>
      </c>
      <c r="S11" s="583">
        <f t="shared" si="3"/>
        <v>21.777029748336002</v>
      </c>
      <c r="T11" s="585">
        <f t="shared" si="4"/>
        <v>24.753269805340821</v>
      </c>
      <c r="U11"/>
      <c r="V11"/>
      <c r="W11"/>
      <c r="X11"/>
    </row>
    <row r="12" spans="1:24" ht="30" customHeight="1">
      <c r="A12" s="579" t="s">
        <v>482</v>
      </c>
      <c r="B12" s="580" t="s">
        <v>478</v>
      </c>
      <c r="C12" s="581">
        <v>46730.425309999999</v>
      </c>
      <c r="D12" s="582">
        <v>82.459637839999999</v>
      </c>
      <c r="E12" s="582">
        <v>11677.94168779</v>
      </c>
      <c r="F12" s="582">
        <f t="shared" si="0"/>
        <v>11760.40132563</v>
      </c>
      <c r="G12" s="583">
        <f t="shared" si="5"/>
        <v>24.990017981477685</v>
      </c>
      <c r="H12" s="583">
        <f t="shared" si="6"/>
        <v>25.166476118318901</v>
      </c>
      <c r="I12" s="582">
        <v>3908.2899900000002</v>
      </c>
      <c r="J12" s="582">
        <v>288.97719916</v>
      </c>
      <c r="K12" s="582">
        <v>165.26537005</v>
      </c>
      <c r="L12" s="584">
        <f t="shared" si="1"/>
        <v>454.24256921</v>
      </c>
      <c r="M12" s="583">
        <f t="shared" si="7"/>
        <v>4.2285851477975918</v>
      </c>
      <c r="N12" s="583">
        <f t="shared" si="8"/>
        <v>11.622540046215967</v>
      </c>
      <c r="O12" s="582">
        <v>50638.715300000003</v>
      </c>
      <c r="P12" s="582">
        <v>371.43683700000003</v>
      </c>
      <c r="Q12" s="582">
        <v>11843.20705784</v>
      </c>
      <c r="R12" s="582">
        <f t="shared" si="2"/>
        <v>12214.643894839999</v>
      </c>
      <c r="S12" s="583">
        <f t="shared" si="3"/>
        <v>23.387653078631715</v>
      </c>
      <c r="T12" s="585">
        <f t="shared" si="4"/>
        <v>24.121156752252755</v>
      </c>
    </row>
    <row r="13" spans="1:24" ht="30" customHeight="1">
      <c r="A13" s="579" t="s">
        <v>484</v>
      </c>
      <c r="B13" s="580" t="s">
        <v>485</v>
      </c>
      <c r="C13" s="581">
        <v>1861.494422</v>
      </c>
      <c r="D13" s="582">
        <v>57.74792514</v>
      </c>
      <c r="E13" s="582">
        <v>521.95443402000001</v>
      </c>
      <c r="F13" s="582">
        <f t="shared" si="0"/>
        <v>579.70235916000001</v>
      </c>
      <c r="G13" s="583">
        <f t="shared" si="5"/>
        <v>28.03953790305798</v>
      </c>
      <c r="H13" s="583">
        <f t="shared" si="6"/>
        <v>31.141772562346151</v>
      </c>
      <c r="I13" s="582">
        <v>4760.8004780000001</v>
      </c>
      <c r="J13" s="582">
        <v>55.657858730000001</v>
      </c>
      <c r="K13" s="582">
        <v>8.7220121600000002</v>
      </c>
      <c r="L13" s="584">
        <f t="shared" si="1"/>
        <v>64.379870890000007</v>
      </c>
      <c r="M13" s="583">
        <f t="shared" si="7"/>
        <v>0.18320474046969712</v>
      </c>
      <c r="N13" s="583">
        <f t="shared" si="8"/>
        <v>1.3522908844322292</v>
      </c>
      <c r="O13" s="582">
        <v>6622.2948999999999</v>
      </c>
      <c r="P13" s="582">
        <v>113.40578386999999</v>
      </c>
      <c r="Q13" s="582">
        <v>530.67644617999997</v>
      </c>
      <c r="R13" s="582">
        <f t="shared" si="2"/>
        <v>644.08223004999991</v>
      </c>
      <c r="S13" s="583">
        <f t="shared" si="3"/>
        <v>8.0134825493802762</v>
      </c>
      <c r="T13" s="585">
        <f t="shared" si="4"/>
        <v>9.7259672028498745</v>
      </c>
    </row>
    <row r="14" spans="1:24" ht="21" customHeight="1"/>
    <row r="15" spans="1:24" ht="29.25" customHeight="1">
      <c r="A15" s="973" t="s">
        <v>486</v>
      </c>
      <c r="B15" s="974"/>
      <c r="C15" s="974"/>
      <c r="D15" s="974"/>
      <c r="E15" s="974"/>
      <c r="F15" s="974"/>
      <c r="G15" s="974"/>
      <c r="H15" s="974"/>
      <c r="I15" s="974"/>
      <c r="J15" s="974"/>
      <c r="K15" s="974"/>
      <c r="L15" s="974"/>
      <c r="M15" s="974"/>
      <c r="N15" s="974"/>
      <c r="O15" s="974"/>
      <c r="P15" s="974"/>
      <c r="Q15" s="974"/>
      <c r="R15" s="974"/>
      <c r="S15" s="974"/>
      <c r="T15" s="974"/>
      <c r="U15" s="974"/>
    </row>
    <row r="16" spans="1:24" ht="27" customHeight="1">
      <c r="A16" s="973" t="s">
        <v>519</v>
      </c>
      <c r="B16" s="974"/>
      <c r="C16" s="974"/>
      <c r="D16" s="974"/>
      <c r="E16" s="974"/>
      <c r="F16" s="974"/>
      <c r="G16" s="974"/>
      <c r="H16" s="974"/>
      <c r="I16" s="974"/>
      <c r="J16" s="974"/>
      <c r="K16" s="974"/>
      <c r="L16" s="974"/>
      <c r="M16" s="974"/>
      <c r="N16" s="974"/>
      <c r="O16" s="974"/>
      <c r="P16" s="974"/>
      <c r="Q16" s="974"/>
      <c r="R16" s="974"/>
      <c r="S16" s="974"/>
      <c r="T16" s="974"/>
      <c r="U16" s="974"/>
    </row>
    <row r="17" spans="1:21" ht="27.75" customHeight="1">
      <c r="A17" s="973" t="s">
        <v>520</v>
      </c>
      <c r="B17" s="974"/>
      <c r="C17" s="974"/>
      <c r="D17" s="974"/>
      <c r="E17" s="974"/>
      <c r="F17" s="974"/>
      <c r="G17" s="974"/>
      <c r="H17" s="974"/>
      <c r="I17" s="974"/>
      <c r="J17" s="974"/>
      <c r="K17" s="974"/>
      <c r="L17" s="974"/>
      <c r="M17" s="974"/>
      <c r="N17" s="974"/>
      <c r="O17" s="974"/>
      <c r="P17" s="974"/>
      <c r="Q17" s="974"/>
      <c r="R17" s="974"/>
      <c r="S17" s="974"/>
      <c r="T17" s="974"/>
      <c r="U17" s="974"/>
    </row>
    <row r="18" spans="1:21" ht="14.25">
      <c r="A18" s="598"/>
      <c r="B18" s="598"/>
      <c r="C18" s="598"/>
      <c r="D18" s="598"/>
      <c r="E18" s="598"/>
      <c r="F18" s="598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9"/>
      <c r="U18" s="598"/>
    </row>
    <row r="19" spans="1:21" ht="14.25">
      <c r="A19" s="598"/>
      <c r="B19" s="598"/>
      <c r="C19" s="598"/>
      <c r="D19" s="598"/>
      <c r="E19" s="598"/>
      <c r="F19" s="598"/>
      <c r="G19" s="598"/>
      <c r="H19" s="598"/>
      <c r="I19" s="598"/>
      <c r="J19" s="598"/>
      <c r="K19" s="598"/>
      <c r="L19" s="598"/>
      <c r="M19" s="598"/>
      <c r="N19" s="598"/>
      <c r="O19" s="598"/>
      <c r="P19" s="598"/>
      <c r="Q19" s="598"/>
      <c r="R19" s="598"/>
      <c r="S19" s="598"/>
      <c r="T19" s="599"/>
      <c r="U19" s="598"/>
    </row>
    <row r="20" spans="1:21" ht="14.25">
      <c r="A20" s="598"/>
      <c r="B20" s="598"/>
      <c r="C20" s="598"/>
      <c r="D20" s="598"/>
      <c r="E20" s="598"/>
      <c r="F20" s="598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9"/>
      <c r="U20" s="598"/>
    </row>
    <row r="21" spans="1:21" ht="14.25">
      <c r="A21" s="598"/>
      <c r="B21" s="598"/>
      <c r="C21" s="598"/>
      <c r="D21" s="598"/>
      <c r="E21" s="598"/>
      <c r="F21" s="598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9"/>
      <c r="U21" s="598"/>
    </row>
    <row r="22" spans="1:21" ht="14.25">
      <c r="A22" s="598"/>
      <c r="B22" s="598"/>
      <c r="C22" s="598"/>
      <c r="D22" s="598"/>
      <c r="E22" s="598"/>
      <c r="F22" s="598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9"/>
      <c r="U22" s="598"/>
    </row>
    <row r="23" spans="1:21" ht="14.25">
      <c r="A23" s="598"/>
      <c r="B23" s="598"/>
      <c r="C23" s="598"/>
      <c r="D23" s="598"/>
      <c r="E23" s="598"/>
      <c r="F23" s="598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9"/>
      <c r="U23" s="598"/>
    </row>
    <row r="24" spans="1:21" ht="14.25">
      <c r="A24" s="598"/>
      <c r="B24" s="598"/>
      <c r="C24" s="598"/>
      <c r="D24" s="598"/>
      <c r="E24" s="598"/>
      <c r="F24" s="598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9"/>
      <c r="U24" s="598"/>
    </row>
    <row r="25" spans="1:21" ht="14.25">
      <c r="A25" s="598"/>
      <c r="B25" s="598"/>
      <c r="C25" s="598"/>
      <c r="D25" s="598"/>
      <c r="E25" s="598"/>
      <c r="F25" s="598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9"/>
      <c r="U25" s="598"/>
    </row>
    <row r="26" spans="1:21" ht="14.25">
      <c r="A26" s="598"/>
      <c r="B26" s="598"/>
      <c r="C26" s="598"/>
      <c r="D26" s="598"/>
      <c r="E26" s="598"/>
      <c r="F26" s="598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9"/>
      <c r="U26" s="598"/>
    </row>
    <row r="27" spans="1:21" ht="15">
      <c r="A27" s="594"/>
      <c r="B27" s="594"/>
      <c r="C27" s="594"/>
      <c r="D27" s="594"/>
      <c r="E27" s="594"/>
      <c r="F27" s="594"/>
      <c r="G27" s="594"/>
      <c r="H27" s="594"/>
      <c r="I27" s="594"/>
      <c r="J27" s="600">
        <f>J7+K7</f>
        <v>19993.86202081</v>
      </c>
      <c r="K27" s="594"/>
      <c r="L27" s="600"/>
      <c r="M27" s="601">
        <f>J27/I7*100</f>
        <v>49.376110786865461</v>
      </c>
      <c r="N27" s="601">
        <f>K27/J7*100</f>
        <v>0</v>
      </c>
      <c r="O27" s="594"/>
      <c r="P27" s="600">
        <f>P7+Q7</f>
        <v>20476.900469190001</v>
      </c>
      <c r="Q27" s="594"/>
      <c r="R27" s="600"/>
      <c r="S27" s="600"/>
      <c r="T27" s="601">
        <f>P27/O7*100</f>
        <v>48.733302617637939</v>
      </c>
      <c r="U27" s="594"/>
    </row>
    <row r="28" spans="1:21" ht="15">
      <c r="A28" s="594"/>
      <c r="B28" s="594"/>
      <c r="C28" s="594"/>
      <c r="D28" s="602">
        <f>D7+E7</f>
        <v>483.03844837999998</v>
      </c>
      <c r="E28" s="594"/>
      <c r="F28" s="602"/>
      <c r="G28" s="601">
        <f>D28/C7*100</f>
        <v>31.668353880607373</v>
      </c>
      <c r="H28" s="601">
        <f>E28/D7*100</f>
        <v>0</v>
      </c>
      <c r="I28" s="594"/>
      <c r="J28" s="602">
        <f>J7+K7</f>
        <v>19993.86202081</v>
      </c>
      <c r="K28" s="594"/>
      <c r="L28" s="602"/>
      <c r="M28" s="601">
        <f>J28/I7*100</f>
        <v>49.376110786865461</v>
      </c>
      <c r="N28" s="601">
        <f>K28/J7*100</f>
        <v>0</v>
      </c>
      <c r="O28" s="594"/>
      <c r="P28" s="600">
        <f>P7+Q7</f>
        <v>20476.900469190001</v>
      </c>
      <c r="Q28" s="594"/>
      <c r="R28" s="600"/>
      <c r="S28" s="600"/>
      <c r="T28" s="601">
        <f>P28/O7*100</f>
        <v>48.733302617637939</v>
      </c>
      <c r="U28" s="594"/>
    </row>
    <row r="29" spans="1:21" ht="15">
      <c r="A29" s="594"/>
      <c r="B29" s="594"/>
      <c r="C29" s="594"/>
      <c r="D29" s="602">
        <f>D8+E8</f>
        <v>68431.481860069995</v>
      </c>
      <c r="E29" s="594"/>
      <c r="F29" s="602"/>
      <c r="G29" s="601">
        <f>D29/C8*100</f>
        <v>53.347484301460867</v>
      </c>
      <c r="H29" s="601">
        <f>E29/D8*100</f>
        <v>0</v>
      </c>
      <c r="I29" s="594"/>
      <c r="J29" s="602">
        <f>J8+K8</f>
        <v>16127.471363530001</v>
      </c>
      <c r="K29" s="594"/>
      <c r="L29" s="602"/>
      <c r="M29" s="601">
        <f>J29/I8*100</f>
        <v>33.96481728863931</v>
      </c>
      <c r="N29" s="601">
        <f>K29/J8*100</f>
        <v>0</v>
      </c>
      <c r="O29" s="594"/>
      <c r="P29" s="600">
        <f>P8+Q8</f>
        <v>84558.953223600009</v>
      </c>
      <c r="Q29" s="594"/>
      <c r="R29" s="600"/>
      <c r="S29" s="600"/>
      <c r="T29" s="601">
        <f>P29/O8*100</f>
        <v>48.111048807555775</v>
      </c>
      <c r="U29" s="594"/>
    </row>
    <row r="30" spans="1:21" ht="15">
      <c r="A30" s="594"/>
      <c r="B30" s="595"/>
      <c r="C30" s="595"/>
      <c r="D30" s="596"/>
      <c r="E30" s="595"/>
      <c r="F30" s="596"/>
      <c r="G30" s="603"/>
      <c r="H30" s="603"/>
      <c r="I30" s="595"/>
      <c r="J30" s="596"/>
      <c r="K30" s="595"/>
      <c r="L30" s="596"/>
      <c r="M30" s="603"/>
      <c r="N30" s="603"/>
      <c r="O30" s="595"/>
      <c r="P30" s="604"/>
      <c r="Q30" s="595"/>
      <c r="R30" s="604"/>
      <c r="S30" s="604"/>
      <c r="T30" s="603"/>
      <c r="U30" s="595"/>
    </row>
    <row r="31" spans="1:21" ht="15">
      <c r="A31" s="594"/>
      <c r="B31" s="595"/>
      <c r="C31" s="595"/>
      <c r="D31" s="596"/>
      <c r="E31" s="595"/>
      <c r="F31" s="596"/>
      <c r="G31" s="603"/>
      <c r="H31" s="603"/>
      <c r="I31" s="595"/>
      <c r="J31" s="596"/>
      <c r="K31" s="595"/>
      <c r="L31" s="596"/>
      <c r="M31" s="603"/>
      <c r="N31" s="603"/>
      <c r="O31" s="595"/>
      <c r="P31" s="604"/>
      <c r="Q31" s="595"/>
      <c r="R31" s="604"/>
      <c r="S31" s="604"/>
      <c r="T31" s="603"/>
      <c r="U31" s="595"/>
    </row>
    <row r="32" spans="1:21" ht="15">
      <c r="A32" s="594"/>
      <c r="B32" s="595"/>
      <c r="C32" s="595"/>
      <c r="D32" s="596"/>
      <c r="E32" s="595"/>
      <c r="F32" s="596"/>
      <c r="G32" s="603"/>
      <c r="H32" s="603"/>
      <c r="I32" s="595"/>
      <c r="J32" s="596"/>
      <c r="K32" s="595"/>
      <c r="L32" s="596"/>
      <c r="M32" s="603"/>
      <c r="N32" s="603"/>
      <c r="O32" s="595"/>
      <c r="P32" s="604"/>
      <c r="Q32" s="595"/>
      <c r="R32" s="604"/>
      <c r="S32" s="604"/>
      <c r="T32" s="603"/>
      <c r="U32" s="595"/>
    </row>
    <row r="33" spans="1:21" ht="15">
      <c r="A33" s="594"/>
      <c r="B33" s="595"/>
      <c r="C33" s="595"/>
      <c r="D33" s="596"/>
      <c r="E33" s="595"/>
      <c r="F33" s="596"/>
      <c r="G33" s="603"/>
      <c r="H33" s="603"/>
      <c r="I33" s="595"/>
      <c r="J33" s="596"/>
      <c r="K33" s="595"/>
      <c r="L33" s="596"/>
      <c r="M33" s="603"/>
      <c r="N33" s="603"/>
      <c r="O33" s="595"/>
      <c r="P33" s="604"/>
      <c r="Q33" s="595"/>
      <c r="R33" s="604"/>
      <c r="S33" s="604"/>
      <c r="T33" s="603"/>
      <c r="U33" s="595"/>
    </row>
    <row r="34" spans="1:21" ht="15">
      <c r="A34" s="594"/>
      <c r="B34" s="595"/>
      <c r="C34" s="595"/>
      <c r="D34" s="596"/>
      <c r="E34" s="595"/>
      <c r="F34" s="596"/>
      <c r="G34" s="603"/>
      <c r="H34" s="603"/>
      <c r="I34" s="595"/>
      <c r="J34" s="596"/>
      <c r="K34" s="595"/>
      <c r="L34" s="596"/>
      <c r="M34" s="603"/>
      <c r="N34" s="603"/>
      <c r="O34" s="595"/>
      <c r="P34" s="604"/>
      <c r="Q34" s="595"/>
      <c r="R34" s="604"/>
      <c r="S34" s="604"/>
      <c r="T34" s="603"/>
      <c r="U34" s="595"/>
    </row>
    <row r="35" spans="1:21" ht="15">
      <c r="A35" s="594"/>
      <c r="B35" s="595"/>
      <c r="C35" s="595"/>
      <c r="D35" s="596"/>
      <c r="E35" s="595"/>
      <c r="F35" s="596"/>
      <c r="G35" s="603"/>
      <c r="H35" s="603"/>
      <c r="I35" s="595"/>
      <c r="J35" s="596"/>
      <c r="K35" s="595"/>
      <c r="L35" s="596"/>
      <c r="M35" s="603"/>
      <c r="N35" s="603"/>
      <c r="O35" s="595"/>
      <c r="P35" s="604"/>
      <c r="Q35" s="595"/>
      <c r="R35" s="604"/>
      <c r="S35" s="604"/>
      <c r="T35" s="603"/>
      <c r="U35" s="595"/>
    </row>
    <row r="36" spans="1:21" ht="15">
      <c r="A36" s="594"/>
      <c r="B36" s="595"/>
      <c r="C36" s="595"/>
      <c r="D36" s="596"/>
      <c r="E36" s="595"/>
      <c r="F36" s="596"/>
      <c r="G36" s="603"/>
      <c r="H36" s="603"/>
      <c r="I36" s="595"/>
      <c r="J36" s="596"/>
      <c r="K36" s="595"/>
      <c r="L36" s="596"/>
      <c r="M36" s="603"/>
      <c r="N36" s="603"/>
      <c r="O36" s="595"/>
      <c r="P36" s="604"/>
      <c r="Q36" s="595"/>
      <c r="R36" s="604"/>
      <c r="S36" s="604"/>
      <c r="T36" s="603"/>
      <c r="U36" s="595"/>
    </row>
    <row r="37" spans="1:21" ht="15">
      <c r="A37" s="594"/>
      <c r="B37" s="595"/>
      <c r="C37" s="595"/>
      <c r="D37" s="596"/>
      <c r="E37" s="595"/>
      <c r="F37" s="596"/>
      <c r="G37" s="595"/>
      <c r="H37" s="595"/>
      <c r="I37" s="595"/>
      <c r="J37" s="596"/>
      <c r="K37" s="595"/>
      <c r="L37" s="596"/>
      <c r="M37" s="595"/>
      <c r="N37" s="595"/>
      <c r="O37" s="595"/>
      <c r="P37" s="595"/>
      <c r="Q37" s="595"/>
      <c r="R37" s="595"/>
      <c r="S37" s="595"/>
      <c r="T37" s="595"/>
      <c r="U37" s="595"/>
    </row>
    <row r="38" spans="1:21" ht="15">
      <c r="A38" s="594"/>
      <c r="B38" s="595"/>
      <c r="C38" s="595"/>
      <c r="D38" s="595"/>
      <c r="E38" s="595"/>
      <c r="F38" s="595"/>
      <c r="G38" s="595"/>
      <c r="H38" s="595"/>
      <c r="I38" s="595"/>
      <c r="J38" s="596"/>
      <c r="K38" s="595"/>
      <c r="L38" s="596"/>
      <c r="M38" s="595"/>
      <c r="N38" s="595"/>
      <c r="O38" s="595"/>
      <c r="P38" s="595"/>
      <c r="Q38" s="595"/>
      <c r="R38" s="595"/>
      <c r="S38" s="595"/>
      <c r="T38" s="595"/>
      <c r="U38" s="595"/>
    </row>
    <row r="39" spans="1:21" ht="15">
      <c r="A39" s="594"/>
      <c r="B39" s="595"/>
      <c r="C39" s="595"/>
      <c r="D39" s="595"/>
      <c r="E39" s="595"/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5"/>
      <c r="T39" s="595"/>
      <c r="U39" s="595"/>
    </row>
    <row r="40" spans="1:21" ht="15">
      <c r="A40" s="594"/>
      <c r="B40" s="595"/>
      <c r="C40" s="595"/>
      <c r="D40" s="595"/>
      <c r="E40" s="595"/>
      <c r="F40" s="595"/>
      <c r="G40" s="595"/>
      <c r="H40" s="595"/>
      <c r="I40" s="595"/>
      <c r="J40" s="595"/>
      <c r="K40" s="595"/>
      <c r="L40" s="595"/>
      <c r="M40" s="595"/>
      <c r="N40" s="595"/>
      <c r="O40" s="595"/>
      <c r="P40" s="595"/>
      <c r="Q40" s="595"/>
      <c r="R40" s="595"/>
      <c r="S40" s="595"/>
      <c r="T40" s="595"/>
      <c r="U40" s="595"/>
    </row>
    <row r="41" spans="1:21" ht="15">
      <c r="A41" s="594"/>
      <c r="B41" s="595"/>
      <c r="C41" s="595"/>
      <c r="D41" s="595"/>
      <c r="E41" s="595"/>
      <c r="F41" s="595"/>
      <c r="G41" s="595"/>
      <c r="H41" s="595"/>
      <c r="I41" s="595"/>
      <c r="J41" s="595"/>
      <c r="K41" s="595"/>
      <c r="L41" s="595"/>
      <c r="M41" s="595"/>
      <c r="N41" s="595"/>
      <c r="O41" s="595"/>
      <c r="P41" s="595"/>
      <c r="Q41" s="595"/>
      <c r="R41" s="595"/>
      <c r="S41" s="595"/>
      <c r="T41" s="595"/>
      <c r="U41" s="595"/>
    </row>
    <row r="42" spans="1:21" ht="15">
      <c r="B42" s="595"/>
      <c r="C42" s="595"/>
      <c r="D42" s="595"/>
      <c r="E42" s="595"/>
      <c r="F42" s="595"/>
      <c r="G42" s="595"/>
      <c r="H42" s="595"/>
      <c r="I42" s="595"/>
      <c r="J42" s="595"/>
      <c r="K42" s="595"/>
      <c r="L42" s="595"/>
      <c r="M42" s="595"/>
      <c r="N42" s="595"/>
      <c r="O42" s="595"/>
      <c r="P42" s="595"/>
      <c r="Q42" s="595"/>
      <c r="R42" s="595"/>
      <c r="S42" s="595"/>
      <c r="T42" s="595"/>
      <c r="U42" s="595"/>
    </row>
    <row r="43" spans="1:21" ht="15">
      <c r="B43" s="595"/>
      <c r="C43" s="595"/>
      <c r="D43" s="595"/>
      <c r="E43" s="595"/>
      <c r="F43" s="595"/>
      <c r="G43" s="595"/>
      <c r="H43" s="595"/>
      <c r="I43" s="595"/>
      <c r="J43" s="595"/>
      <c r="K43" s="595"/>
      <c r="L43" s="595"/>
      <c r="M43" s="595"/>
      <c r="N43" s="595"/>
      <c r="O43" s="595"/>
      <c r="P43" s="595"/>
      <c r="Q43" s="595"/>
      <c r="R43" s="595"/>
      <c r="S43" s="595"/>
      <c r="T43" s="595"/>
      <c r="U43" s="595"/>
    </row>
    <row r="44" spans="1:21" ht="15">
      <c r="B44" s="595"/>
      <c r="C44" s="595"/>
      <c r="D44" s="595"/>
      <c r="E44" s="595"/>
      <c r="F44" s="595"/>
      <c r="G44" s="595"/>
      <c r="H44" s="595"/>
      <c r="I44" s="595"/>
      <c r="J44" s="595"/>
      <c r="K44" s="595"/>
      <c r="L44" s="595"/>
      <c r="M44" s="595"/>
      <c r="N44" s="595"/>
      <c r="O44" s="595"/>
      <c r="P44" s="595"/>
      <c r="Q44" s="595"/>
      <c r="R44" s="595"/>
      <c r="S44" s="595"/>
      <c r="T44" s="595"/>
      <c r="U44" s="595"/>
    </row>
    <row r="45" spans="1:21" ht="15">
      <c r="B45" s="595"/>
      <c r="C45" s="595"/>
      <c r="D45" s="595"/>
      <c r="E45" s="595"/>
      <c r="F45" s="595"/>
      <c r="G45" s="595"/>
      <c r="H45" s="595"/>
      <c r="I45" s="595"/>
      <c r="J45" s="595"/>
      <c r="K45" s="595"/>
      <c r="L45" s="595"/>
      <c r="M45" s="595"/>
      <c r="N45" s="595"/>
      <c r="O45" s="595"/>
      <c r="P45" s="595"/>
      <c r="Q45" s="595"/>
      <c r="R45" s="595"/>
      <c r="S45" s="595"/>
      <c r="T45" s="595"/>
      <c r="U45" s="595"/>
    </row>
    <row r="46" spans="1:21" ht="15">
      <c r="B46" s="595"/>
      <c r="C46" s="595"/>
      <c r="D46" s="595"/>
      <c r="E46" s="595"/>
      <c r="F46" s="595"/>
      <c r="G46" s="595"/>
      <c r="H46" s="595"/>
      <c r="I46" s="595"/>
      <c r="J46" s="595"/>
      <c r="K46" s="595"/>
      <c r="L46" s="595"/>
      <c r="M46" s="595"/>
      <c r="N46" s="595"/>
      <c r="O46" s="595"/>
      <c r="P46" s="595"/>
      <c r="Q46" s="595"/>
      <c r="R46" s="595"/>
      <c r="S46" s="595"/>
      <c r="T46" s="595"/>
      <c r="U46" s="595"/>
    </row>
    <row r="47" spans="1:21" ht="15">
      <c r="B47" s="595"/>
      <c r="C47" s="595"/>
      <c r="D47" s="595"/>
      <c r="E47" s="595"/>
      <c r="F47" s="595"/>
      <c r="G47" s="595"/>
      <c r="H47" s="595"/>
      <c r="I47" s="595"/>
      <c r="J47" s="595"/>
      <c r="K47" s="595"/>
      <c r="L47" s="595"/>
      <c r="M47" s="595"/>
      <c r="N47" s="595"/>
      <c r="O47" s="595"/>
      <c r="P47" s="595"/>
      <c r="Q47" s="595"/>
      <c r="R47" s="595"/>
      <c r="S47" s="595"/>
      <c r="T47" s="595"/>
      <c r="U47" s="595"/>
    </row>
    <row r="48" spans="1:21" ht="15">
      <c r="B48" s="597"/>
      <c r="C48" s="597"/>
      <c r="D48" s="597"/>
      <c r="E48" s="597"/>
      <c r="F48" s="597"/>
      <c r="G48" s="597"/>
      <c r="H48" s="597"/>
      <c r="I48" s="597"/>
      <c r="J48" s="597"/>
      <c r="K48" s="597"/>
      <c r="L48" s="597"/>
      <c r="M48" s="597"/>
      <c r="N48" s="597"/>
      <c r="O48" s="597"/>
      <c r="P48" s="597"/>
      <c r="Q48" s="597"/>
      <c r="R48" s="597"/>
      <c r="S48" s="597"/>
      <c r="T48" s="597"/>
    </row>
    <row r="49" spans="2:20" ht="15">
      <c r="B49" s="597"/>
      <c r="C49" s="597"/>
      <c r="D49" s="597"/>
      <c r="E49" s="597"/>
      <c r="F49" s="597"/>
      <c r="G49" s="597"/>
      <c r="H49" s="597"/>
      <c r="I49" s="597"/>
      <c r="J49" s="597"/>
      <c r="K49" s="597"/>
      <c r="L49" s="597"/>
      <c r="M49" s="597"/>
      <c r="N49" s="597"/>
      <c r="O49" s="597"/>
      <c r="P49" s="597"/>
      <c r="Q49" s="597"/>
      <c r="R49" s="597"/>
      <c r="S49" s="597"/>
      <c r="T49" s="597"/>
    </row>
    <row r="50" spans="2:20" ht="15">
      <c r="B50" s="597"/>
      <c r="C50" s="597"/>
      <c r="D50" s="597"/>
      <c r="E50" s="597"/>
      <c r="F50" s="597"/>
      <c r="G50" s="597"/>
      <c r="H50" s="597"/>
      <c r="I50" s="597"/>
      <c r="J50" s="597"/>
      <c r="K50" s="597"/>
      <c r="L50" s="597"/>
      <c r="M50" s="597"/>
      <c r="N50" s="597"/>
      <c r="O50" s="597"/>
      <c r="P50" s="597"/>
      <c r="Q50" s="597"/>
      <c r="R50" s="597"/>
      <c r="S50" s="597"/>
      <c r="T50" s="597"/>
    </row>
    <row r="51" spans="2:20" ht="15">
      <c r="B51" s="597"/>
      <c r="C51" s="597"/>
      <c r="D51" s="597"/>
      <c r="E51" s="597"/>
      <c r="F51" s="597"/>
      <c r="G51" s="597"/>
      <c r="H51" s="597"/>
      <c r="I51" s="597"/>
      <c r="J51" s="597"/>
      <c r="K51" s="597"/>
      <c r="L51" s="597"/>
      <c r="M51" s="597"/>
      <c r="N51" s="597"/>
      <c r="O51" s="597"/>
      <c r="P51" s="597"/>
      <c r="Q51" s="597"/>
      <c r="R51" s="597"/>
      <c r="S51" s="597"/>
      <c r="T51" s="597"/>
    </row>
    <row r="52" spans="2:20" ht="15">
      <c r="B52" s="597"/>
      <c r="C52" s="597"/>
      <c r="D52" s="597"/>
      <c r="E52" s="597"/>
      <c r="F52" s="597"/>
      <c r="G52" s="597"/>
      <c r="H52" s="597"/>
      <c r="I52" s="597"/>
      <c r="J52" s="597"/>
      <c r="K52" s="597"/>
      <c r="L52" s="597"/>
      <c r="M52" s="597"/>
      <c r="N52" s="597"/>
      <c r="O52" s="597"/>
      <c r="P52" s="597"/>
      <c r="Q52" s="597"/>
      <c r="R52" s="597"/>
      <c r="S52" s="597"/>
      <c r="T52" s="597"/>
    </row>
    <row r="53" spans="2:20" ht="15">
      <c r="B53" s="597"/>
      <c r="C53" s="597"/>
      <c r="D53" s="597"/>
      <c r="E53" s="597"/>
      <c r="F53" s="597"/>
      <c r="G53" s="597"/>
      <c r="H53" s="597"/>
      <c r="I53" s="597"/>
      <c r="J53" s="597"/>
      <c r="K53" s="597"/>
      <c r="L53" s="597"/>
      <c r="M53" s="597"/>
      <c r="N53" s="597"/>
      <c r="O53" s="597"/>
      <c r="P53" s="597"/>
      <c r="Q53" s="597"/>
      <c r="R53" s="597"/>
      <c r="S53" s="597"/>
      <c r="T53" s="597"/>
    </row>
  </sheetData>
  <mergeCells count="8">
    <mergeCell ref="O5:T5"/>
    <mergeCell ref="A5:A6"/>
    <mergeCell ref="B5:B6"/>
    <mergeCell ref="C5:G5"/>
    <mergeCell ref="A1:T1"/>
    <mergeCell ref="A2:T2"/>
    <mergeCell ref="A3:T3"/>
    <mergeCell ref="I5:M5"/>
  </mergeCells>
  <pageMargins left="0.51181102362204722" right="0.51181102362204722" top="0.55118110236220474" bottom="0.74803149606299213" header="0.31496062992125984" footer="0.31496062992125984"/>
  <pageSetup paperSize="9" scale="75" orientation="landscape" horizontalDpi="0" verticalDpi="0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Y81"/>
  <sheetViews>
    <sheetView zoomScale="70" zoomScaleNormal="7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16" sqref="C16"/>
    </sheetView>
  </sheetViews>
  <sheetFormatPr defaultColWidth="9.140625" defaultRowHeight="22.5"/>
  <cols>
    <col min="1" max="1" width="6.42578125" style="252" customWidth="1"/>
    <col min="2" max="2" width="17.7109375" style="252" customWidth="1"/>
    <col min="3" max="3" width="40.5703125" style="252" customWidth="1"/>
    <col min="4" max="4" width="20.7109375" style="100" customWidth="1"/>
    <col min="5" max="5" width="20.7109375" style="101" customWidth="1"/>
    <col min="6" max="6" width="12.7109375" style="102" customWidth="1"/>
    <col min="7" max="7" width="20.7109375" style="101" customWidth="1"/>
    <col min="8" max="8" width="12.7109375" style="101" customWidth="1"/>
    <col min="9" max="9" width="20.7109375" style="103" customWidth="1"/>
    <col min="10" max="10" width="12.7109375" style="102" customWidth="1"/>
    <col min="11" max="11" width="20.5703125" style="253" hidden="1" customWidth="1"/>
    <col min="12" max="12" width="21.85546875" style="253" hidden="1" customWidth="1"/>
    <col min="13" max="13" width="10.7109375" style="253" hidden="1" customWidth="1"/>
    <col min="14" max="14" width="20.7109375" style="253" customWidth="1"/>
    <col min="15" max="16384" width="9.140625" style="254"/>
  </cols>
  <sheetData>
    <row r="1" spans="1:14" s="649" customFormat="1" ht="30" customHeight="1">
      <c r="A1" s="817" t="s">
        <v>235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</row>
    <row r="2" spans="1:14" s="649" customFormat="1" ht="30" customHeight="1">
      <c r="A2" s="817" t="s">
        <v>135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</row>
    <row r="3" spans="1:14" s="649" customFormat="1" ht="30" customHeight="1">
      <c r="A3" s="818" t="str">
        <f>[4]จังหวัด!A3</f>
        <v>ข้อมูลสะสมตั้งแต่วันที่ 1 ตุลาคม 2567 ถึงวันที่ 15 มกราคม 2568</v>
      </c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</row>
    <row r="4" spans="1:14" s="649" customFormat="1" ht="30" customHeight="1">
      <c r="A4" s="819" t="s">
        <v>114</v>
      </c>
      <c r="B4" s="819"/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</row>
    <row r="5" spans="1:14" s="650" customFormat="1" ht="27.95" customHeight="1">
      <c r="A5" s="820" t="s">
        <v>115</v>
      </c>
      <c r="B5" s="822" t="s">
        <v>77</v>
      </c>
      <c r="C5" s="823" t="s">
        <v>78</v>
      </c>
      <c r="D5" s="825" t="s">
        <v>190</v>
      </c>
      <c r="E5" s="827" t="s">
        <v>178</v>
      </c>
      <c r="F5" s="827"/>
      <c r="G5" s="827"/>
      <c r="H5" s="827"/>
      <c r="I5" s="827"/>
      <c r="J5" s="828"/>
      <c r="K5" s="975" t="s">
        <v>521</v>
      </c>
      <c r="L5" s="975" t="s">
        <v>522</v>
      </c>
      <c r="M5" s="975" t="s">
        <v>7</v>
      </c>
      <c r="N5" s="829" t="s">
        <v>4</v>
      </c>
    </row>
    <row r="6" spans="1:14" s="650" customFormat="1" ht="27.95" customHeight="1">
      <c r="A6" s="821"/>
      <c r="B6" s="803"/>
      <c r="C6" s="824"/>
      <c r="D6" s="826"/>
      <c r="E6" s="832" t="s">
        <v>116</v>
      </c>
      <c r="F6" s="832"/>
      <c r="G6" s="833" t="s">
        <v>90</v>
      </c>
      <c r="H6" s="834"/>
      <c r="I6" s="832" t="s">
        <v>500</v>
      </c>
      <c r="J6" s="832"/>
      <c r="K6" s="830"/>
      <c r="L6" s="976"/>
      <c r="M6" s="976"/>
      <c r="N6" s="830"/>
    </row>
    <row r="7" spans="1:14" s="650" customFormat="1" ht="27.95" customHeight="1">
      <c r="A7" s="821"/>
      <c r="B7" s="803"/>
      <c r="C7" s="824"/>
      <c r="D7" s="826"/>
      <c r="E7" s="104" t="s">
        <v>113</v>
      </c>
      <c r="F7" s="105" t="s">
        <v>7</v>
      </c>
      <c r="G7" s="104" t="s">
        <v>113</v>
      </c>
      <c r="H7" s="255" t="s">
        <v>7</v>
      </c>
      <c r="I7" s="104" t="s">
        <v>113</v>
      </c>
      <c r="J7" s="255" t="s">
        <v>7</v>
      </c>
      <c r="K7" s="831"/>
      <c r="L7" s="977"/>
      <c r="M7" s="977"/>
      <c r="N7" s="831"/>
    </row>
    <row r="8" spans="1:14" s="652" customFormat="1" ht="27.95" customHeight="1" thickBot="1">
      <c r="A8" s="814" t="s">
        <v>13</v>
      </c>
      <c r="B8" s="815"/>
      <c r="C8" s="816"/>
      <c r="D8" s="182">
        <f>SUM(D9:D22)</f>
        <v>583742849</v>
      </c>
      <c r="E8" s="182">
        <f>SUM(E9:E22)</f>
        <v>30325938.719999999</v>
      </c>
      <c r="F8" s="183">
        <f t="shared" ref="F8:F22" si="0">E8*100/D8</f>
        <v>5.1950852626204931</v>
      </c>
      <c r="G8" s="182">
        <f>SUM(G9:G22)</f>
        <v>190090253</v>
      </c>
      <c r="H8" s="651">
        <f t="shared" ref="H8:H22" si="1">G8/D8*100</f>
        <v>32.564039683850588</v>
      </c>
      <c r="I8" s="182">
        <f>SUM(I9:I22)</f>
        <v>220416191.72000003</v>
      </c>
      <c r="J8" s="183">
        <f>I8*100/D8</f>
        <v>37.759124946471083</v>
      </c>
      <c r="K8" s="978">
        <f>SUM(K9:K22)</f>
        <v>0</v>
      </c>
      <c r="L8" s="978">
        <f t="shared" ref="L8:L22" si="2">K8+I8</f>
        <v>220416191.72000003</v>
      </c>
      <c r="M8" s="978">
        <f t="shared" ref="M8:M22" si="3">L8/D8*100</f>
        <v>37.759124946471083</v>
      </c>
      <c r="N8" s="182">
        <f>SUM(N9:N22)</f>
        <v>363326657.27999997</v>
      </c>
    </row>
    <row r="9" spans="1:14" s="650" customFormat="1" ht="27.95" customHeight="1" thickTop="1">
      <c r="A9" s="653">
        <v>1</v>
      </c>
      <c r="B9" s="653">
        <f>[4]ส่วนกลาง!B12</f>
        <v>1500400004</v>
      </c>
      <c r="C9" s="654" t="s">
        <v>118</v>
      </c>
      <c r="D9" s="655">
        <f>+[4]ส่วนกลาง!D12</f>
        <v>3378540</v>
      </c>
      <c r="E9" s="656">
        <f>+[4]ส่วนกลาง!E12</f>
        <v>2527459.0299999998</v>
      </c>
      <c r="F9" s="657">
        <f t="shared" si="0"/>
        <v>74.809208415469399</v>
      </c>
      <c r="G9" s="658">
        <f>+[4]ส่วนกลาง!G12</f>
        <v>0</v>
      </c>
      <c r="H9" s="658">
        <f t="shared" si="1"/>
        <v>0</v>
      </c>
      <c r="I9" s="659">
        <f t="shared" ref="I9:I22" si="4">+E9+G9</f>
        <v>2527459.0299999998</v>
      </c>
      <c r="J9" s="657">
        <f t="shared" ref="J9:J22" si="5">+I9*100/D9</f>
        <v>74.809208415469399</v>
      </c>
      <c r="K9" s="660"/>
      <c r="L9" s="660">
        <f t="shared" si="2"/>
        <v>2527459.0299999998</v>
      </c>
      <c r="M9" s="979">
        <f t="shared" si="3"/>
        <v>74.809208415469399</v>
      </c>
      <c r="N9" s="660">
        <f t="shared" ref="N9:N22" si="6">+D9-I9</f>
        <v>851080.9700000002</v>
      </c>
    </row>
    <row r="10" spans="1:14" s="650" customFormat="1" ht="27.95" customHeight="1">
      <c r="A10" s="661">
        <v>2</v>
      </c>
      <c r="B10" s="661">
        <f>[4]ส่วนกลาง!B18</f>
        <v>1500400010</v>
      </c>
      <c r="C10" s="662" t="s">
        <v>123</v>
      </c>
      <c r="D10" s="663">
        <f>+[4]ส่วนกลาง!D18</f>
        <v>410327585</v>
      </c>
      <c r="E10" s="664">
        <f>+[4]ส่วนกลาง!E18</f>
        <v>20030050</v>
      </c>
      <c r="F10" s="665">
        <f t="shared" si="0"/>
        <v>4.8814778075424785</v>
      </c>
      <c r="G10" s="666">
        <f>+[4]ส่วนกลาง!G18</f>
        <v>188714000</v>
      </c>
      <c r="H10" s="665">
        <f t="shared" si="1"/>
        <v>45.991058583107446</v>
      </c>
      <c r="I10" s="667">
        <f t="shared" si="4"/>
        <v>208744050</v>
      </c>
      <c r="J10" s="668">
        <f t="shared" si="5"/>
        <v>50.872536390649927</v>
      </c>
      <c r="K10" s="669"/>
      <c r="L10" s="669">
        <f t="shared" si="2"/>
        <v>208744050</v>
      </c>
      <c r="M10" s="980">
        <f t="shared" si="3"/>
        <v>50.872536390649927</v>
      </c>
      <c r="N10" s="669">
        <f t="shared" si="6"/>
        <v>201583535</v>
      </c>
    </row>
    <row r="11" spans="1:14" s="650" customFormat="1" ht="27.95" customHeight="1">
      <c r="A11" s="670">
        <v>3</v>
      </c>
      <c r="B11" s="670">
        <f>[4]ส่วนกลาง!B19</f>
        <v>1500400011</v>
      </c>
      <c r="C11" s="671" t="s">
        <v>125</v>
      </c>
      <c r="D11" s="663">
        <f>+[4]ส่วนกลาง!D19</f>
        <v>816400</v>
      </c>
      <c r="E11" s="664">
        <f>+[4]ส่วนกลาง!E19</f>
        <v>380186.37</v>
      </c>
      <c r="F11" s="668">
        <f t="shared" si="0"/>
        <v>46.56863914747673</v>
      </c>
      <c r="G11" s="666">
        <f>+[4]ส่วนกลาง!G19</f>
        <v>0</v>
      </c>
      <c r="H11" s="666">
        <f t="shared" si="1"/>
        <v>0</v>
      </c>
      <c r="I11" s="667">
        <f t="shared" si="4"/>
        <v>380186.37</v>
      </c>
      <c r="J11" s="668">
        <f t="shared" si="5"/>
        <v>46.56863914747673</v>
      </c>
      <c r="K11" s="669"/>
      <c r="L11" s="669">
        <f t="shared" si="2"/>
        <v>380186.37</v>
      </c>
      <c r="M11" s="980">
        <f t="shared" si="3"/>
        <v>46.568639147476723</v>
      </c>
      <c r="N11" s="669">
        <f t="shared" si="6"/>
        <v>436213.63</v>
      </c>
    </row>
    <row r="12" spans="1:14" s="650" customFormat="1" ht="27.95" customHeight="1">
      <c r="A12" s="661">
        <v>4</v>
      </c>
      <c r="B12" s="673">
        <f>[4]ส่วนกลาง!B16</f>
        <v>1500400008</v>
      </c>
      <c r="C12" s="674" t="s">
        <v>126</v>
      </c>
      <c r="D12" s="663">
        <f>+[4]ส่วนกลาง!D16</f>
        <v>3124344</v>
      </c>
      <c r="E12" s="664">
        <f>+[4]ส่วนกลาง!E16</f>
        <v>1418739</v>
      </c>
      <c r="F12" s="675">
        <f t="shared" si="0"/>
        <v>45.409180295127555</v>
      </c>
      <c r="G12" s="666">
        <f>+[4]ส่วนกลาง!G16</f>
        <v>0</v>
      </c>
      <c r="H12" s="676">
        <f t="shared" si="1"/>
        <v>0</v>
      </c>
      <c r="I12" s="667">
        <f t="shared" si="4"/>
        <v>1418739</v>
      </c>
      <c r="J12" s="668">
        <f t="shared" si="5"/>
        <v>45.409180295127555</v>
      </c>
      <c r="K12" s="669"/>
      <c r="L12" s="669">
        <f t="shared" si="2"/>
        <v>1418739</v>
      </c>
      <c r="M12" s="980">
        <f t="shared" si="3"/>
        <v>45.409180295127555</v>
      </c>
      <c r="N12" s="669">
        <f t="shared" si="6"/>
        <v>1705605</v>
      </c>
    </row>
    <row r="13" spans="1:14" s="650" customFormat="1" ht="27.95" customHeight="1">
      <c r="A13" s="670">
        <v>5</v>
      </c>
      <c r="B13" s="661">
        <f>[4]ส่วนกลาง!B20</f>
        <v>1500400111</v>
      </c>
      <c r="C13" s="672" t="s">
        <v>122</v>
      </c>
      <c r="D13" s="663">
        <f>+[4]ส่วนกลาง!D20</f>
        <v>4397300</v>
      </c>
      <c r="E13" s="664">
        <f>+[4]ส่วนกลาง!E20</f>
        <v>1906693.67</v>
      </c>
      <c r="F13" s="665">
        <f t="shared" si="0"/>
        <v>43.360554658540465</v>
      </c>
      <c r="G13" s="666">
        <f>+[4]ส่วนกลาง!G20</f>
        <v>8000</v>
      </c>
      <c r="H13" s="665">
        <f t="shared" si="1"/>
        <v>0.18192982057171447</v>
      </c>
      <c r="I13" s="667">
        <f t="shared" si="4"/>
        <v>1914693.67</v>
      </c>
      <c r="J13" s="668">
        <f t="shared" si="5"/>
        <v>43.542484479112183</v>
      </c>
      <c r="K13" s="669"/>
      <c r="L13" s="669">
        <f t="shared" si="2"/>
        <v>1914693.67</v>
      </c>
      <c r="M13" s="980">
        <f t="shared" si="3"/>
        <v>43.542484479112183</v>
      </c>
      <c r="N13" s="669">
        <f t="shared" si="6"/>
        <v>2482606.33</v>
      </c>
    </row>
    <row r="14" spans="1:14" s="650" customFormat="1" ht="27.95" customHeight="1">
      <c r="A14" s="661">
        <v>6</v>
      </c>
      <c r="B14" s="661">
        <f>[4]ส่วนกลาง!B11</f>
        <v>1500400003</v>
      </c>
      <c r="C14" s="672" t="s">
        <v>119</v>
      </c>
      <c r="D14" s="663">
        <f>+[4]ส่วนกลาง!D11</f>
        <v>1565900</v>
      </c>
      <c r="E14" s="664">
        <f>+[4]ส่วนกลาง!E11</f>
        <v>675959</v>
      </c>
      <c r="F14" s="665">
        <f t="shared" si="0"/>
        <v>43.167443642633629</v>
      </c>
      <c r="G14" s="666">
        <f>+[4]ส่วนกลาง!G11</f>
        <v>0</v>
      </c>
      <c r="H14" s="666">
        <f t="shared" si="1"/>
        <v>0</v>
      </c>
      <c r="I14" s="667">
        <f t="shared" si="4"/>
        <v>675959</v>
      </c>
      <c r="J14" s="668">
        <f t="shared" si="5"/>
        <v>43.167443642633629</v>
      </c>
      <c r="K14" s="669"/>
      <c r="L14" s="669">
        <f t="shared" si="2"/>
        <v>675959</v>
      </c>
      <c r="M14" s="980">
        <f t="shared" si="3"/>
        <v>43.167443642633629</v>
      </c>
      <c r="N14" s="669">
        <f t="shared" si="6"/>
        <v>889941</v>
      </c>
    </row>
    <row r="15" spans="1:14" s="650" customFormat="1" ht="27.95" customHeight="1">
      <c r="A15" s="670">
        <v>7</v>
      </c>
      <c r="B15" s="661">
        <f>[4]ส่วนกลาง!B9</f>
        <v>1500400001</v>
      </c>
      <c r="C15" s="672" t="s">
        <v>121</v>
      </c>
      <c r="D15" s="663">
        <f>+[4]ส่วนกลาง!D9</f>
        <v>384800</v>
      </c>
      <c r="E15" s="677">
        <f>+[4]ส่วนกลาง!E9</f>
        <v>144997</v>
      </c>
      <c r="F15" s="665">
        <f t="shared" si="0"/>
        <v>37.681133056133056</v>
      </c>
      <c r="G15" s="666">
        <f>+[4]ส่วนกลาง!G9</f>
        <v>7490</v>
      </c>
      <c r="H15" s="665">
        <f t="shared" si="1"/>
        <v>1.9464656964656966</v>
      </c>
      <c r="I15" s="667">
        <f t="shared" si="4"/>
        <v>152487</v>
      </c>
      <c r="J15" s="668">
        <f t="shared" si="5"/>
        <v>39.62759875259875</v>
      </c>
      <c r="K15" s="669"/>
      <c r="L15" s="669">
        <f t="shared" si="2"/>
        <v>152487</v>
      </c>
      <c r="M15" s="669">
        <f t="shared" si="3"/>
        <v>39.62759875259875</v>
      </c>
      <c r="N15" s="669">
        <f t="shared" si="6"/>
        <v>232313</v>
      </c>
    </row>
    <row r="16" spans="1:14" s="650" customFormat="1" ht="27.95" customHeight="1">
      <c r="A16" s="661">
        <v>8</v>
      </c>
      <c r="B16" s="661">
        <f>[4]ส่วนกลาง!B15</f>
        <v>1500400007</v>
      </c>
      <c r="C16" s="672" t="s">
        <v>124</v>
      </c>
      <c r="D16" s="663">
        <f>+[4]ส่วนกลาง!D15</f>
        <v>3170800</v>
      </c>
      <c r="E16" s="664">
        <f>+[4]ส่วนกลาง!E15</f>
        <v>486020.05</v>
      </c>
      <c r="F16" s="665">
        <f t="shared" si="0"/>
        <v>15.327994512425887</v>
      </c>
      <c r="G16" s="666">
        <f>+[4]ส่วนกลาง!G15</f>
        <v>475000</v>
      </c>
      <c r="H16" s="665">
        <f t="shared" si="1"/>
        <v>14.980446574996847</v>
      </c>
      <c r="I16" s="667">
        <f t="shared" si="4"/>
        <v>961020.05</v>
      </c>
      <c r="J16" s="668">
        <f t="shared" si="5"/>
        <v>30.308441087422732</v>
      </c>
      <c r="K16" s="669"/>
      <c r="L16" s="669">
        <f t="shared" si="2"/>
        <v>961020.05</v>
      </c>
      <c r="M16" s="980">
        <f t="shared" si="3"/>
        <v>30.308441087422732</v>
      </c>
      <c r="N16" s="669">
        <f t="shared" si="6"/>
        <v>2209779.9500000002</v>
      </c>
    </row>
    <row r="17" spans="1:14" s="650" customFormat="1" ht="27.95" customHeight="1">
      <c r="A17" s="670">
        <v>9</v>
      </c>
      <c r="B17" s="673">
        <f>[4]ส่วนกลาง!B21</f>
        <v>1500400112</v>
      </c>
      <c r="C17" s="674" t="s">
        <v>89</v>
      </c>
      <c r="D17" s="663">
        <f>+[4]ส่วนกลาง!D21</f>
        <v>2225000</v>
      </c>
      <c r="E17" s="664">
        <f>+[4]ส่วนกลาง!E21</f>
        <v>270829.71999999997</v>
      </c>
      <c r="F17" s="675">
        <f t="shared" si="0"/>
        <v>12.172122247191009</v>
      </c>
      <c r="G17" s="666">
        <f>+[4]ส่วนกลาง!G21</f>
        <v>0</v>
      </c>
      <c r="H17" s="676">
        <f t="shared" si="1"/>
        <v>0</v>
      </c>
      <c r="I17" s="667">
        <f t="shared" si="4"/>
        <v>270829.71999999997</v>
      </c>
      <c r="J17" s="668">
        <f t="shared" si="5"/>
        <v>12.172122247191009</v>
      </c>
      <c r="K17" s="669"/>
      <c r="L17" s="669">
        <f t="shared" si="2"/>
        <v>270829.71999999997</v>
      </c>
      <c r="M17" s="980">
        <f t="shared" si="3"/>
        <v>12.172122247191011</v>
      </c>
      <c r="N17" s="669">
        <f t="shared" si="6"/>
        <v>1954170.28</v>
      </c>
    </row>
    <row r="18" spans="1:14" s="650" customFormat="1" ht="27.95" customHeight="1">
      <c r="A18" s="661">
        <v>10</v>
      </c>
      <c r="B18" s="661">
        <f>[4]ส่วนกลาง!B22</f>
        <v>1500400125</v>
      </c>
      <c r="C18" s="662" t="s">
        <v>148</v>
      </c>
      <c r="D18" s="663">
        <f>+[4]ส่วนกลาง!D22</f>
        <v>2513500</v>
      </c>
      <c r="E18" s="664">
        <f>+[4]ส่วนกลาง!E22</f>
        <v>153974.51999999999</v>
      </c>
      <c r="F18" s="665">
        <f t="shared" si="0"/>
        <v>6.1259009349512628</v>
      </c>
      <c r="G18" s="666">
        <f>+[4]ส่วนกลาง!G22</f>
        <v>0</v>
      </c>
      <c r="H18" s="666">
        <f t="shared" si="1"/>
        <v>0</v>
      </c>
      <c r="I18" s="667">
        <f t="shared" si="4"/>
        <v>153974.51999999999</v>
      </c>
      <c r="J18" s="668">
        <f t="shared" si="5"/>
        <v>6.1259009349512628</v>
      </c>
      <c r="K18" s="669"/>
      <c r="L18" s="669">
        <f t="shared" si="2"/>
        <v>153974.51999999999</v>
      </c>
      <c r="M18" s="980">
        <f t="shared" si="3"/>
        <v>6.1259009349512628</v>
      </c>
      <c r="N18" s="669">
        <f t="shared" si="6"/>
        <v>2359525.48</v>
      </c>
    </row>
    <row r="19" spans="1:14" s="650" customFormat="1" ht="27.95" customHeight="1">
      <c r="A19" s="670">
        <v>11</v>
      </c>
      <c r="B19" s="661">
        <f>[4]ส่วนกลาง!B14</f>
        <v>1500400006</v>
      </c>
      <c r="C19" s="662" t="s">
        <v>120</v>
      </c>
      <c r="D19" s="663">
        <f>+[4]ส่วนกลาง!D14</f>
        <v>17128400</v>
      </c>
      <c r="E19" s="664">
        <f>+[4]ส่วนกลาง!E14</f>
        <v>108050</v>
      </c>
      <c r="F19" s="665">
        <f t="shared" si="0"/>
        <v>0.63082366128768597</v>
      </c>
      <c r="G19" s="666">
        <f>+[4]ส่วนกลาง!G14</f>
        <v>685763</v>
      </c>
      <c r="H19" s="665">
        <f t="shared" si="1"/>
        <v>4.0036605870951165</v>
      </c>
      <c r="I19" s="667">
        <f t="shared" si="4"/>
        <v>793813</v>
      </c>
      <c r="J19" s="668">
        <f t="shared" si="5"/>
        <v>4.6344842483828028</v>
      </c>
      <c r="K19" s="669"/>
      <c r="L19" s="669">
        <f t="shared" si="2"/>
        <v>793813</v>
      </c>
      <c r="M19" s="980">
        <f t="shared" si="3"/>
        <v>4.6344842483828028</v>
      </c>
      <c r="N19" s="669">
        <f t="shared" si="6"/>
        <v>16334587</v>
      </c>
    </row>
    <row r="20" spans="1:14" s="650" customFormat="1" ht="27.95" customHeight="1">
      <c r="A20" s="661">
        <v>12</v>
      </c>
      <c r="B20" s="673">
        <f>[4]ส่วนกลาง!B13</f>
        <v>1500400004</v>
      </c>
      <c r="C20" s="674" t="s">
        <v>199</v>
      </c>
      <c r="D20" s="663">
        <f>+[4]ส่วนกลาง!D13</f>
        <v>523900</v>
      </c>
      <c r="E20" s="664">
        <f>+[4]ส่วนกลาง!E13</f>
        <v>22464</v>
      </c>
      <c r="F20" s="675">
        <f t="shared" si="0"/>
        <v>4.2878411910669971</v>
      </c>
      <c r="G20" s="666">
        <f>+[4]ส่วนกลาง!G13</f>
        <v>0</v>
      </c>
      <c r="H20" s="676">
        <f t="shared" si="1"/>
        <v>0</v>
      </c>
      <c r="I20" s="667">
        <f t="shared" si="4"/>
        <v>22464</v>
      </c>
      <c r="J20" s="668">
        <f t="shared" si="5"/>
        <v>4.2878411910669971</v>
      </c>
      <c r="K20" s="669"/>
      <c r="L20" s="669">
        <f t="shared" si="2"/>
        <v>22464</v>
      </c>
      <c r="M20" s="980">
        <f t="shared" si="3"/>
        <v>4.2878411910669971</v>
      </c>
      <c r="N20" s="669">
        <f t="shared" si="6"/>
        <v>501436</v>
      </c>
    </row>
    <row r="21" spans="1:14" s="650" customFormat="1" ht="27.95" customHeight="1">
      <c r="A21" s="670">
        <v>13</v>
      </c>
      <c r="B21" s="661">
        <f>[4]ส่วนกลาง!B17</f>
        <v>1500400009</v>
      </c>
      <c r="C21" s="662" t="s">
        <v>237</v>
      </c>
      <c r="D21" s="663">
        <f>+[4]ส่วนกลาง!D17</f>
        <v>132961480</v>
      </c>
      <c r="E21" s="664">
        <f>+[4]ส่วนกลาง!E17</f>
        <v>2195166.36</v>
      </c>
      <c r="F21" s="665">
        <f t="shared" si="0"/>
        <v>1.6509791858514211</v>
      </c>
      <c r="G21" s="666">
        <f>+[4]ส่วนกลาง!G17</f>
        <v>200000</v>
      </c>
      <c r="H21" s="665">
        <f t="shared" si="1"/>
        <v>0.1504195049573756</v>
      </c>
      <c r="I21" s="667">
        <f t="shared" si="4"/>
        <v>2395166.36</v>
      </c>
      <c r="J21" s="668">
        <f t="shared" si="5"/>
        <v>1.8013986908087967</v>
      </c>
      <c r="K21" s="669"/>
      <c r="L21" s="669">
        <f t="shared" si="2"/>
        <v>2395166.36</v>
      </c>
      <c r="M21" s="980">
        <f t="shared" si="3"/>
        <v>1.8013986908087964</v>
      </c>
      <c r="N21" s="669">
        <f t="shared" si="6"/>
        <v>130566313.64</v>
      </c>
    </row>
    <row r="22" spans="1:14" s="650" customFormat="1" ht="27.95" customHeight="1">
      <c r="A22" s="661">
        <v>14</v>
      </c>
      <c r="B22" s="678">
        <f>[4]ส่วนกลาง!B10</f>
        <v>1500400002</v>
      </c>
      <c r="C22" s="679" t="s">
        <v>117</v>
      </c>
      <c r="D22" s="663">
        <f>+[4]ส่วนกลาง!D10</f>
        <v>1224900</v>
      </c>
      <c r="E22" s="664">
        <f>+[4]ส่วนกลาง!E10</f>
        <v>5350</v>
      </c>
      <c r="F22" s="680">
        <f t="shared" si="0"/>
        <v>0.43677034859988573</v>
      </c>
      <c r="G22" s="666">
        <f>+[4]ส่วนกลาง!G10</f>
        <v>0</v>
      </c>
      <c r="H22" s="666">
        <f t="shared" si="1"/>
        <v>0</v>
      </c>
      <c r="I22" s="667">
        <f t="shared" si="4"/>
        <v>5350</v>
      </c>
      <c r="J22" s="668">
        <f t="shared" si="5"/>
        <v>0.43677034859988573</v>
      </c>
      <c r="K22" s="669"/>
      <c r="L22" s="669">
        <f t="shared" si="2"/>
        <v>5350</v>
      </c>
      <c r="M22" s="980">
        <f t="shared" si="3"/>
        <v>0.43677034859988573</v>
      </c>
      <c r="N22" s="669">
        <f t="shared" si="6"/>
        <v>1219550</v>
      </c>
    </row>
    <row r="23" spans="1:14" s="650" customFormat="1" ht="27.95" customHeight="1">
      <c r="A23" s="256"/>
      <c r="B23" s="256"/>
      <c r="C23" s="681"/>
      <c r="D23" s="106"/>
      <c r="E23" s="109"/>
      <c r="F23" s="108"/>
      <c r="G23" s="107"/>
      <c r="H23" s="110"/>
      <c r="I23" s="111"/>
      <c r="J23" s="108"/>
      <c r="K23" s="256"/>
      <c r="L23" s="256"/>
      <c r="M23" s="256"/>
      <c r="N23" s="256"/>
    </row>
    <row r="24" spans="1:14" s="3" customFormat="1" ht="26.1" customHeight="1">
      <c r="A24" s="252"/>
      <c r="B24" s="252"/>
      <c r="C24" s="257"/>
      <c r="D24" s="112"/>
      <c r="E24" s="4"/>
      <c r="F24" s="114"/>
      <c r="G24" s="103"/>
      <c r="H24" s="103"/>
      <c r="I24" s="103"/>
      <c r="J24" s="258"/>
      <c r="K24" s="253"/>
      <c r="L24" s="253"/>
      <c r="M24" s="253"/>
      <c r="N24" s="253"/>
    </row>
    <row r="25" spans="1:14" s="3" customFormat="1" ht="26.1" customHeight="1">
      <c r="A25" s="259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26.1" customHeight="1">
      <c r="A26" s="4"/>
      <c r="B26" s="4"/>
      <c r="C26" s="4"/>
      <c r="D26" s="4"/>
      <c r="E26" s="113"/>
      <c r="F26" s="4"/>
      <c r="G26" s="4"/>
      <c r="H26" s="4"/>
      <c r="I26" s="4"/>
      <c r="J26" s="4"/>
      <c r="K26" s="4"/>
      <c r="L26" s="4"/>
      <c r="M26" s="4"/>
      <c r="N26" s="4"/>
    </row>
    <row r="27" spans="1:14" s="3" customFormat="1" ht="26.1" customHeight="1">
      <c r="A27" s="252"/>
      <c r="B27" s="252"/>
      <c r="C27" s="260"/>
      <c r="D27" s="112"/>
      <c r="E27" s="113"/>
      <c r="F27" s="102"/>
      <c r="G27" s="101"/>
      <c r="H27" s="101"/>
      <c r="I27" s="103"/>
      <c r="J27" s="102"/>
      <c r="K27" s="253"/>
      <c r="L27" s="253"/>
      <c r="M27" s="253"/>
      <c r="N27" s="253"/>
    </row>
    <row r="28" spans="1:14" s="3" customFormat="1" ht="26.1" customHeight="1">
      <c r="A28" s="252"/>
      <c r="B28" s="252"/>
      <c r="C28" s="257"/>
      <c r="D28" s="112"/>
      <c r="E28" s="101"/>
      <c r="F28" s="102"/>
      <c r="G28" s="101"/>
      <c r="H28" s="101"/>
      <c r="I28" s="103"/>
      <c r="J28" s="102"/>
      <c r="K28" s="253"/>
      <c r="L28" s="253"/>
      <c r="M28" s="253"/>
      <c r="N28" s="253"/>
    </row>
    <row r="29" spans="1:14" s="3" customFormat="1" ht="26.1" customHeight="1">
      <c r="A29" s="252"/>
      <c r="B29" s="252"/>
      <c r="C29" s="252"/>
      <c r="D29" s="100"/>
      <c r="E29" s="101"/>
      <c r="F29" s="102"/>
      <c r="G29" s="101"/>
      <c r="H29" s="101"/>
      <c r="I29" s="103"/>
      <c r="J29" s="102"/>
      <c r="K29" s="253"/>
      <c r="L29" s="253"/>
      <c r="M29" s="253"/>
      <c r="N29" s="253"/>
    </row>
    <row r="30" spans="1:14" s="3" customFormat="1" ht="26.1" customHeight="1">
      <c r="A30" s="252"/>
      <c r="B30" s="252"/>
      <c r="C30" s="252"/>
      <c r="D30" s="100"/>
      <c r="E30" s="101"/>
      <c r="F30" s="102"/>
      <c r="G30" s="101"/>
      <c r="H30" s="101"/>
      <c r="I30" s="103"/>
      <c r="J30" s="102"/>
      <c r="K30" s="253"/>
      <c r="L30" s="253"/>
      <c r="M30" s="253"/>
      <c r="N30" s="253"/>
    </row>
    <row r="31" spans="1:14" s="3" customFormat="1" ht="26.1" customHeight="1">
      <c r="A31" s="252"/>
      <c r="B31" s="252"/>
      <c r="C31" s="252"/>
      <c r="D31" s="100"/>
      <c r="E31" s="101"/>
      <c r="F31" s="102"/>
      <c r="G31" s="101"/>
      <c r="H31" s="101"/>
      <c r="I31" s="103"/>
      <c r="J31" s="102"/>
      <c r="K31" s="253"/>
      <c r="L31" s="253"/>
      <c r="M31" s="253"/>
      <c r="N31" s="253"/>
    </row>
    <row r="32" spans="1:14" s="3" customFormat="1" ht="26.1" customHeight="1">
      <c r="A32" s="252"/>
      <c r="B32" s="252"/>
      <c r="C32" s="252"/>
      <c r="D32" s="100"/>
      <c r="E32" s="101"/>
      <c r="F32" s="102"/>
      <c r="G32" s="101"/>
      <c r="H32" s="101"/>
      <c r="I32" s="103"/>
      <c r="J32" s="102"/>
      <c r="K32" s="253"/>
      <c r="L32" s="253"/>
      <c r="M32" s="253"/>
      <c r="N32" s="253"/>
    </row>
    <row r="33" spans="1:14" s="3" customFormat="1" ht="26.1" customHeight="1">
      <c r="A33" s="252"/>
      <c r="B33" s="252"/>
      <c r="C33" s="252"/>
      <c r="D33" s="100"/>
      <c r="E33" s="101"/>
      <c r="F33" s="102"/>
      <c r="G33" s="101"/>
      <c r="H33" s="101"/>
      <c r="I33" s="103"/>
      <c r="J33" s="102"/>
      <c r="K33" s="253"/>
      <c r="L33" s="253"/>
      <c r="M33" s="253"/>
      <c r="N33" s="253"/>
    </row>
    <row r="34" spans="1:14" s="3" customFormat="1" ht="26.1" customHeight="1">
      <c r="A34" s="252"/>
      <c r="B34" s="252"/>
      <c r="C34" s="252"/>
      <c r="D34" s="100"/>
      <c r="E34" s="101"/>
      <c r="F34" s="102"/>
      <c r="G34" s="101"/>
      <c r="H34" s="101"/>
      <c r="I34" s="103"/>
      <c r="J34" s="102"/>
      <c r="K34" s="253"/>
      <c r="L34" s="253"/>
      <c r="M34" s="253"/>
      <c r="N34" s="253"/>
    </row>
    <row r="35" spans="1:14" s="3" customFormat="1" ht="26.1" customHeight="1">
      <c r="A35" s="252"/>
      <c r="B35" s="252"/>
      <c r="C35" s="252"/>
      <c r="D35" s="100"/>
      <c r="E35" s="101"/>
      <c r="F35" s="102"/>
      <c r="G35" s="101"/>
      <c r="H35" s="101"/>
      <c r="I35" s="103"/>
      <c r="J35" s="102"/>
      <c r="K35" s="253"/>
      <c r="L35" s="253"/>
      <c r="M35" s="253"/>
      <c r="N35" s="253"/>
    </row>
    <row r="36" spans="1:14" s="3" customFormat="1" ht="26.1" customHeight="1">
      <c r="A36" s="252"/>
      <c r="B36" s="252"/>
      <c r="C36" s="252"/>
      <c r="D36" s="100"/>
      <c r="E36" s="101"/>
      <c r="F36" s="102"/>
      <c r="G36" s="101"/>
      <c r="H36" s="101"/>
      <c r="I36" s="103"/>
      <c r="J36" s="102"/>
      <c r="K36" s="253"/>
      <c r="L36" s="253"/>
      <c r="M36" s="253"/>
      <c r="N36" s="253"/>
    </row>
    <row r="37" spans="1:14" s="3" customFormat="1" ht="26.1" customHeight="1">
      <c r="A37" s="252"/>
      <c r="B37" s="252"/>
      <c r="C37" s="252"/>
      <c r="D37" s="100"/>
      <c r="E37" s="101"/>
      <c r="F37" s="102"/>
      <c r="G37" s="101"/>
      <c r="H37" s="101"/>
      <c r="I37" s="103"/>
      <c r="J37" s="102"/>
      <c r="K37" s="253"/>
      <c r="L37" s="253"/>
      <c r="M37" s="253"/>
      <c r="N37" s="253"/>
    </row>
    <row r="38" spans="1:14" s="3" customFormat="1" ht="26.1" customHeight="1">
      <c r="A38" s="252"/>
      <c r="B38" s="252"/>
      <c r="C38" s="252"/>
      <c r="D38" s="100"/>
      <c r="E38" s="101"/>
      <c r="F38" s="102"/>
      <c r="G38" s="101"/>
      <c r="H38" s="101"/>
      <c r="I38" s="103"/>
      <c r="J38" s="102"/>
      <c r="K38" s="253"/>
      <c r="L38" s="253"/>
      <c r="M38" s="253"/>
      <c r="N38" s="253"/>
    </row>
    <row r="39" spans="1:14" s="3" customFormat="1" ht="26.1" customHeight="1">
      <c r="A39" s="252"/>
      <c r="B39" s="252"/>
      <c r="C39" s="252"/>
      <c r="D39" s="100"/>
      <c r="E39" s="101"/>
      <c r="F39" s="102"/>
      <c r="G39" s="101"/>
      <c r="H39" s="101"/>
      <c r="I39" s="103"/>
      <c r="J39" s="102"/>
      <c r="K39" s="253"/>
      <c r="L39" s="253"/>
      <c r="M39" s="253"/>
      <c r="N39" s="253"/>
    </row>
    <row r="40" spans="1:14" s="3" customFormat="1" ht="26.1" customHeight="1">
      <c r="A40" s="252"/>
      <c r="B40" s="252"/>
      <c r="C40" s="252"/>
      <c r="D40" s="100"/>
      <c r="E40" s="101"/>
      <c r="F40" s="102"/>
      <c r="G40" s="101"/>
      <c r="H40" s="101"/>
      <c r="I40" s="103"/>
      <c r="J40" s="102"/>
      <c r="K40" s="253"/>
      <c r="L40" s="253"/>
      <c r="M40" s="253"/>
      <c r="N40" s="253"/>
    </row>
    <row r="41" spans="1:14" s="3" customFormat="1" ht="26.1" customHeight="1">
      <c r="A41" s="252"/>
      <c r="B41" s="252"/>
      <c r="C41" s="252"/>
      <c r="D41" s="100"/>
      <c r="E41" s="101"/>
      <c r="F41" s="102"/>
      <c r="G41" s="101"/>
      <c r="H41" s="101"/>
      <c r="I41" s="103"/>
      <c r="J41" s="102"/>
      <c r="K41" s="253"/>
      <c r="L41" s="253"/>
      <c r="M41" s="253"/>
      <c r="N41" s="253"/>
    </row>
    <row r="42" spans="1:14" s="3" customFormat="1" ht="26.1" customHeight="1">
      <c r="A42" s="252"/>
      <c r="B42" s="252"/>
      <c r="C42" s="252"/>
      <c r="D42" s="100"/>
      <c r="E42" s="101"/>
      <c r="F42" s="102"/>
      <c r="G42" s="101"/>
      <c r="H42" s="101"/>
      <c r="I42" s="103"/>
      <c r="J42" s="102"/>
      <c r="K42" s="253"/>
      <c r="L42" s="253"/>
      <c r="M42" s="253"/>
      <c r="N42" s="253"/>
    </row>
    <row r="43" spans="1:14" s="3" customFormat="1" ht="26.1" customHeight="1">
      <c r="A43" s="252"/>
      <c r="B43" s="252"/>
      <c r="C43" s="252"/>
      <c r="D43" s="100"/>
      <c r="E43" s="101"/>
      <c r="F43" s="102"/>
      <c r="G43" s="101"/>
      <c r="H43" s="101"/>
      <c r="I43" s="103"/>
      <c r="J43" s="102"/>
      <c r="K43" s="253"/>
      <c r="L43" s="253"/>
      <c r="M43" s="253"/>
      <c r="N43" s="253"/>
    </row>
    <row r="44" spans="1:14" s="3" customFormat="1" ht="26.1" customHeight="1">
      <c r="A44" s="252"/>
      <c r="B44" s="252"/>
      <c r="C44" s="252"/>
      <c r="D44" s="100"/>
      <c r="E44" s="101"/>
      <c r="F44" s="102"/>
      <c r="G44" s="101"/>
      <c r="H44" s="101"/>
      <c r="I44" s="103"/>
      <c r="J44" s="102"/>
      <c r="K44" s="253"/>
      <c r="L44" s="253"/>
      <c r="M44" s="253"/>
      <c r="N44" s="253"/>
    </row>
    <row r="45" spans="1:14" s="3" customFormat="1" ht="26.1" customHeight="1">
      <c r="A45" s="252"/>
      <c r="B45" s="252"/>
      <c r="C45" s="252"/>
      <c r="D45" s="100"/>
      <c r="E45" s="101"/>
      <c r="F45" s="102"/>
      <c r="G45" s="101"/>
      <c r="H45" s="101"/>
      <c r="I45" s="103"/>
      <c r="J45" s="102"/>
      <c r="K45" s="253"/>
      <c r="L45" s="253"/>
      <c r="M45" s="253"/>
      <c r="N45" s="253"/>
    </row>
    <row r="46" spans="1:14" s="3" customFormat="1" ht="26.1" customHeight="1">
      <c r="A46" s="252"/>
      <c r="B46" s="252"/>
      <c r="C46" s="252"/>
      <c r="D46" s="100"/>
      <c r="E46" s="101"/>
      <c r="F46" s="102"/>
      <c r="G46" s="101"/>
      <c r="H46" s="101"/>
      <c r="I46" s="103"/>
      <c r="J46" s="102"/>
      <c r="K46" s="253"/>
      <c r="L46" s="253"/>
      <c r="M46" s="253"/>
      <c r="N46" s="253"/>
    </row>
    <row r="47" spans="1:14" s="3" customFormat="1" ht="26.1" customHeight="1">
      <c r="A47" s="252"/>
      <c r="B47" s="252"/>
      <c r="C47" s="252"/>
      <c r="D47" s="100"/>
      <c r="E47" s="101"/>
      <c r="F47" s="102"/>
      <c r="G47" s="101"/>
      <c r="H47" s="101"/>
      <c r="I47" s="103"/>
      <c r="J47" s="102"/>
      <c r="K47" s="253"/>
      <c r="L47" s="253"/>
      <c r="M47" s="253"/>
      <c r="N47" s="253"/>
    </row>
    <row r="48" spans="1:14" s="3" customFormat="1" ht="26.1" customHeight="1">
      <c r="A48" s="252"/>
      <c r="B48" s="252"/>
      <c r="C48" s="252"/>
      <c r="D48" s="100"/>
      <c r="E48" s="101"/>
      <c r="F48" s="102"/>
      <c r="G48" s="101"/>
      <c r="H48" s="101"/>
      <c r="I48" s="103"/>
      <c r="J48" s="102"/>
      <c r="K48" s="253"/>
      <c r="L48" s="253"/>
      <c r="M48" s="253"/>
      <c r="N48" s="253"/>
    </row>
    <row r="49" spans="1:14" s="3" customFormat="1" ht="26.1" customHeight="1">
      <c r="A49" s="252"/>
      <c r="B49" s="252"/>
      <c r="C49" s="252"/>
      <c r="D49" s="100"/>
      <c r="E49" s="101"/>
      <c r="F49" s="102"/>
      <c r="G49" s="101"/>
      <c r="H49" s="101"/>
      <c r="I49" s="103"/>
      <c r="J49" s="102"/>
      <c r="K49" s="253"/>
      <c r="L49" s="253"/>
      <c r="M49" s="253"/>
      <c r="N49" s="253"/>
    </row>
    <row r="50" spans="1:14" s="3" customFormat="1" ht="26.1" customHeight="1">
      <c r="A50" s="252"/>
      <c r="B50" s="252"/>
      <c r="C50" s="252"/>
      <c r="D50" s="100"/>
      <c r="E50" s="101"/>
      <c r="F50" s="102"/>
      <c r="G50" s="101"/>
      <c r="H50" s="101"/>
      <c r="I50" s="103"/>
      <c r="J50" s="102"/>
      <c r="K50" s="253"/>
      <c r="L50" s="253"/>
      <c r="M50" s="253"/>
      <c r="N50" s="253"/>
    </row>
    <row r="51" spans="1:14" s="3" customFormat="1" ht="26.1" customHeight="1">
      <c r="A51" s="252"/>
      <c r="B51" s="252"/>
      <c r="C51" s="252"/>
      <c r="D51" s="100"/>
      <c r="E51" s="101"/>
      <c r="F51" s="102"/>
      <c r="G51" s="101"/>
      <c r="H51" s="101"/>
      <c r="I51" s="103"/>
      <c r="J51" s="102"/>
      <c r="K51" s="253"/>
      <c r="L51" s="253"/>
      <c r="M51" s="253"/>
      <c r="N51" s="253"/>
    </row>
    <row r="52" spans="1:14" s="3" customFormat="1" ht="26.1" customHeight="1">
      <c r="A52" s="252"/>
      <c r="B52" s="252"/>
      <c r="C52" s="252"/>
      <c r="D52" s="100"/>
      <c r="E52" s="101"/>
      <c r="F52" s="102"/>
      <c r="G52" s="101"/>
      <c r="H52" s="101"/>
      <c r="I52" s="103"/>
      <c r="J52" s="102"/>
      <c r="K52" s="253"/>
      <c r="L52" s="253"/>
      <c r="M52" s="253"/>
      <c r="N52" s="253"/>
    </row>
    <row r="53" spans="1:14" s="3" customFormat="1" ht="26.1" customHeight="1">
      <c r="A53" s="252"/>
      <c r="B53" s="252"/>
      <c r="C53" s="252"/>
      <c r="D53" s="100"/>
      <c r="E53" s="101"/>
      <c r="F53" s="102"/>
      <c r="G53" s="101"/>
      <c r="H53" s="101"/>
      <c r="I53" s="103"/>
      <c r="J53" s="102"/>
      <c r="K53" s="253"/>
      <c r="L53" s="253"/>
      <c r="M53" s="253"/>
      <c r="N53" s="253"/>
    </row>
    <row r="54" spans="1:14" s="3" customFormat="1" ht="26.1" customHeight="1">
      <c r="A54" s="252"/>
      <c r="B54" s="252"/>
      <c r="C54" s="252"/>
      <c r="D54" s="100"/>
      <c r="E54" s="101"/>
      <c r="F54" s="102"/>
      <c r="G54" s="101"/>
      <c r="H54" s="101"/>
      <c r="I54" s="103"/>
      <c r="J54" s="102"/>
      <c r="K54" s="253"/>
      <c r="L54" s="253"/>
      <c r="M54" s="253"/>
      <c r="N54" s="253"/>
    </row>
    <row r="55" spans="1:14" s="3" customFormat="1" ht="26.1" customHeight="1">
      <c r="A55" s="252"/>
      <c r="B55" s="252"/>
      <c r="C55" s="252"/>
      <c r="D55" s="100"/>
      <c r="E55" s="101"/>
      <c r="F55" s="102"/>
      <c r="G55" s="101"/>
      <c r="H55" s="101"/>
      <c r="I55" s="103"/>
      <c r="J55" s="102"/>
      <c r="K55" s="253"/>
      <c r="L55" s="253"/>
      <c r="M55" s="253"/>
      <c r="N55" s="253"/>
    </row>
    <row r="56" spans="1:14" s="3" customFormat="1" ht="26.1" customHeight="1">
      <c r="A56" s="252"/>
      <c r="B56" s="252"/>
      <c r="C56" s="252"/>
      <c r="D56" s="100"/>
      <c r="E56" s="101"/>
      <c r="F56" s="102"/>
      <c r="G56" s="101"/>
      <c r="H56" s="101"/>
      <c r="I56" s="103"/>
      <c r="J56" s="102"/>
      <c r="K56" s="253"/>
      <c r="L56" s="253"/>
      <c r="M56" s="253"/>
      <c r="N56" s="253"/>
    </row>
    <row r="57" spans="1:14" s="3" customFormat="1" ht="26.1" customHeight="1">
      <c r="A57" s="252"/>
      <c r="B57" s="252"/>
      <c r="C57" s="252"/>
      <c r="D57" s="100"/>
      <c r="E57" s="101"/>
      <c r="F57" s="102"/>
      <c r="G57" s="101"/>
      <c r="H57" s="101"/>
      <c r="I57" s="103"/>
      <c r="J57" s="102"/>
      <c r="K57" s="253"/>
      <c r="L57" s="253"/>
      <c r="M57" s="253"/>
      <c r="N57" s="253"/>
    </row>
    <row r="58" spans="1:14" s="3" customFormat="1" ht="26.1" customHeight="1">
      <c r="A58" s="252"/>
      <c r="B58" s="252"/>
      <c r="C58" s="252"/>
      <c r="D58" s="100"/>
      <c r="E58" s="101"/>
      <c r="F58" s="102"/>
      <c r="G58" s="101"/>
      <c r="H58" s="101"/>
      <c r="I58" s="103"/>
      <c r="J58" s="102"/>
      <c r="K58" s="253"/>
      <c r="L58" s="253"/>
      <c r="M58" s="253"/>
      <c r="N58" s="253"/>
    </row>
    <row r="59" spans="1:14" s="3" customFormat="1" ht="26.1" customHeight="1">
      <c r="A59" s="252"/>
      <c r="B59" s="252"/>
      <c r="C59" s="252"/>
      <c r="D59" s="100"/>
      <c r="E59" s="101"/>
      <c r="F59" s="102"/>
      <c r="G59" s="101"/>
      <c r="H59" s="101"/>
      <c r="I59" s="103"/>
      <c r="J59" s="102"/>
      <c r="K59" s="253"/>
      <c r="L59" s="253"/>
      <c r="M59" s="253"/>
      <c r="N59" s="253"/>
    </row>
    <row r="60" spans="1:14" s="3" customFormat="1" ht="26.1" customHeight="1">
      <c r="A60" s="252"/>
      <c r="B60" s="252"/>
      <c r="C60" s="252"/>
      <c r="D60" s="100"/>
      <c r="E60" s="101"/>
      <c r="F60" s="102"/>
      <c r="G60" s="101"/>
      <c r="H60" s="101"/>
      <c r="I60" s="103"/>
      <c r="J60" s="102"/>
      <c r="K60" s="253"/>
      <c r="L60" s="253"/>
      <c r="M60" s="253"/>
      <c r="N60" s="253"/>
    </row>
    <row r="61" spans="1:14" s="3" customFormat="1" ht="26.1" customHeight="1">
      <c r="A61" s="252"/>
      <c r="B61" s="252"/>
      <c r="C61" s="252"/>
      <c r="D61" s="100"/>
      <c r="E61" s="101"/>
      <c r="F61" s="102"/>
      <c r="G61" s="101"/>
      <c r="H61" s="101"/>
      <c r="I61" s="103"/>
      <c r="J61" s="102"/>
      <c r="K61" s="253"/>
      <c r="L61" s="253"/>
      <c r="M61" s="253"/>
      <c r="N61" s="253"/>
    </row>
    <row r="62" spans="1:14" s="3" customFormat="1" ht="26.1" customHeight="1">
      <c r="A62" s="252"/>
      <c r="B62" s="252"/>
      <c r="C62" s="252"/>
      <c r="D62" s="100"/>
      <c r="E62" s="101"/>
      <c r="F62" s="102"/>
      <c r="G62" s="101"/>
      <c r="H62" s="101"/>
      <c r="I62" s="103"/>
      <c r="J62" s="102"/>
      <c r="K62" s="253"/>
      <c r="L62" s="253"/>
      <c r="M62" s="253"/>
      <c r="N62" s="253"/>
    </row>
    <row r="63" spans="1:14" s="3" customFormat="1" ht="26.1" customHeight="1">
      <c r="A63" s="252"/>
      <c r="B63" s="252"/>
      <c r="C63" s="252"/>
      <c r="D63" s="100"/>
      <c r="E63" s="101"/>
      <c r="F63" s="102"/>
      <c r="G63" s="101"/>
      <c r="H63" s="101"/>
      <c r="I63" s="103"/>
      <c r="J63" s="102"/>
      <c r="K63" s="253"/>
      <c r="L63" s="253"/>
      <c r="M63" s="253"/>
      <c r="N63" s="253"/>
    </row>
    <row r="64" spans="1:14" s="3" customFormat="1" ht="26.1" customHeight="1">
      <c r="A64" s="252"/>
      <c r="B64" s="252"/>
      <c r="C64" s="252"/>
      <c r="D64" s="100"/>
      <c r="E64" s="101"/>
      <c r="F64" s="102"/>
      <c r="G64" s="101"/>
      <c r="H64" s="101"/>
      <c r="I64" s="103"/>
      <c r="J64" s="102"/>
      <c r="K64" s="253"/>
      <c r="L64" s="253"/>
      <c r="M64" s="253"/>
      <c r="N64" s="253"/>
    </row>
    <row r="65" spans="1:14" s="3" customFormat="1" ht="26.1" customHeight="1">
      <c r="A65" s="252"/>
      <c r="B65" s="252"/>
      <c r="C65" s="252"/>
      <c r="D65" s="100"/>
      <c r="E65" s="101"/>
      <c r="F65" s="102"/>
      <c r="G65" s="101"/>
      <c r="H65" s="101"/>
      <c r="I65" s="103"/>
      <c r="J65" s="102"/>
      <c r="K65" s="253"/>
      <c r="L65" s="253"/>
      <c r="M65" s="253"/>
      <c r="N65" s="253"/>
    </row>
    <row r="66" spans="1:14" s="3" customFormat="1" ht="26.1" customHeight="1">
      <c r="A66" s="252"/>
      <c r="B66" s="252"/>
      <c r="C66" s="252"/>
      <c r="D66" s="100"/>
      <c r="E66" s="101"/>
      <c r="F66" s="102"/>
      <c r="G66" s="101"/>
      <c r="H66" s="101"/>
      <c r="I66" s="103"/>
      <c r="J66" s="102"/>
      <c r="K66" s="253"/>
      <c r="L66" s="253"/>
      <c r="M66" s="253"/>
      <c r="N66" s="253"/>
    </row>
    <row r="67" spans="1:14" s="3" customFormat="1" ht="26.1" customHeight="1">
      <c r="A67" s="252"/>
      <c r="B67" s="252"/>
      <c r="C67" s="252"/>
      <c r="D67" s="100"/>
      <c r="E67" s="101"/>
      <c r="F67" s="102"/>
      <c r="G67" s="101"/>
      <c r="H67" s="101"/>
      <c r="I67" s="103"/>
      <c r="J67" s="102"/>
      <c r="K67" s="253"/>
      <c r="L67" s="253"/>
      <c r="M67" s="253"/>
      <c r="N67" s="253"/>
    </row>
    <row r="68" spans="1:14" s="3" customFormat="1" ht="26.1" customHeight="1">
      <c r="A68" s="252"/>
      <c r="B68" s="252"/>
      <c r="C68" s="252"/>
      <c r="D68" s="100"/>
      <c r="E68" s="101"/>
      <c r="F68" s="102"/>
      <c r="G68" s="101"/>
      <c r="H68" s="101"/>
      <c r="I68" s="103"/>
      <c r="J68" s="102"/>
      <c r="K68" s="253"/>
      <c r="L68" s="253"/>
      <c r="M68" s="253"/>
      <c r="N68" s="253"/>
    </row>
    <row r="69" spans="1:14" s="3" customFormat="1" ht="26.1" customHeight="1">
      <c r="A69" s="252"/>
      <c r="B69" s="252"/>
      <c r="C69" s="252"/>
      <c r="D69" s="100"/>
      <c r="E69" s="101"/>
      <c r="F69" s="102"/>
      <c r="G69" s="101"/>
      <c r="H69" s="101"/>
      <c r="I69" s="103"/>
      <c r="J69" s="102"/>
      <c r="K69" s="253"/>
      <c r="L69" s="253"/>
      <c r="M69" s="253"/>
      <c r="N69" s="253"/>
    </row>
    <row r="70" spans="1:14" s="3" customFormat="1" ht="26.1" customHeight="1">
      <c r="A70" s="252"/>
      <c r="B70" s="252"/>
      <c r="C70" s="252"/>
      <c r="D70" s="100"/>
      <c r="E70" s="101"/>
      <c r="F70" s="102"/>
      <c r="G70" s="101"/>
      <c r="H70" s="101"/>
      <c r="I70" s="103"/>
      <c r="J70" s="102"/>
      <c r="K70" s="253"/>
      <c r="L70" s="253"/>
      <c r="M70" s="253"/>
      <c r="N70" s="253"/>
    </row>
    <row r="71" spans="1:14" s="3" customFormat="1" ht="26.1" customHeight="1">
      <c r="A71" s="252"/>
      <c r="B71" s="252"/>
      <c r="C71" s="252"/>
      <c r="D71" s="100"/>
      <c r="E71" s="101"/>
      <c r="F71" s="102"/>
      <c r="G71" s="101"/>
      <c r="H71" s="101"/>
      <c r="I71" s="103"/>
      <c r="J71" s="102"/>
      <c r="K71" s="253"/>
      <c r="L71" s="253"/>
      <c r="M71" s="253"/>
      <c r="N71" s="253"/>
    </row>
    <row r="72" spans="1:14" s="3" customFormat="1" ht="26.1" customHeight="1">
      <c r="A72" s="252"/>
      <c r="B72" s="252"/>
      <c r="C72" s="252"/>
      <c r="D72" s="100"/>
      <c r="E72" s="101"/>
      <c r="F72" s="102"/>
      <c r="G72" s="101"/>
      <c r="H72" s="101"/>
      <c r="I72" s="103"/>
      <c r="J72" s="102"/>
      <c r="K72" s="253"/>
      <c r="L72" s="253"/>
      <c r="M72" s="253"/>
      <c r="N72" s="253"/>
    </row>
    <row r="73" spans="1:14" s="3" customFormat="1" ht="26.1" customHeight="1">
      <c r="A73" s="252"/>
      <c r="B73" s="252"/>
      <c r="C73" s="252"/>
      <c r="D73" s="100"/>
      <c r="E73" s="101"/>
      <c r="F73" s="102"/>
      <c r="G73" s="101"/>
      <c r="H73" s="101"/>
      <c r="I73" s="103"/>
      <c r="J73" s="102"/>
      <c r="K73" s="253"/>
      <c r="L73" s="253"/>
      <c r="M73" s="253"/>
      <c r="N73" s="253"/>
    </row>
    <row r="74" spans="1:14" s="3" customFormat="1" ht="26.1" customHeight="1">
      <c r="A74" s="252"/>
      <c r="B74" s="252"/>
      <c r="C74" s="252"/>
      <c r="D74" s="100"/>
      <c r="E74" s="101"/>
      <c r="F74" s="102"/>
      <c r="G74" s="101"/>
      <c r="H74" s="101"/>
      <c r="I74" s="103"/>
      <c r="J74" s="102"/>
      <c r="K74" s="253"/>
      <c r="L74" s="253"/>
      <c r="M74" s="253"/>
      <c r="N74" s="253"/>
    </row>
    <row r="75" spans="1:14" s="3" customFormat="1" ht="26.1" customHeight="1">
      <c r="A75" s="252"/>
      <c r="B75" s="252"/>
      <c r="C75" s="252"/>
      <c r="D75" s="100"/>
      <c r="E75" s="101"/>
      <c r="F75" s="102"/>
      <c r="G75" s="101"/>
      <c r="H75" s="101"/>
      <c r="I75" s="103"/>
      <c r="J75" s="102"/>
      <c r="K75" s="253"/>
      <c r="L75" s="253"/>
      <c r="M75" s="253"/>
      <c r="N75" s="253"/>
    </row>
    <row r="76" spans="1:14" s="3" customFormat="1" ht="26.1" customHeight="1">
      <c r="A76" s="252"/>
      <c r="B76" s="252"/>
      <c r="C76" s="252"/>
      <c r="D76" s="100"/>
      <c r="E76" s="101"/>
      <c r="F76" s="102"/>
      <c r="G76" s="101"/>
      <c r="H76" s="101"/>
      <c r="I76" s="103"/>
      <c r="J76" s="102"/>
      <c r="K76" s="253"/>
      <c r="L76" s="253"/>
      <c r="M76" s="253"/>
      <c r="N76" s="253"/>
    </row>
    <row r="77" spans="1:14" s="3" customFormat="1" ht="26.1" customHeight="1">
      <c r="A77" s="252"/>
      <c r="B77" s="252"/>
      <c r="C77" s="252"/>
      <c r="D77" s="100"/>
      <c r="E77" s="101"/>
      <c r="F77" s="102"/>
      <c r="G77" s="101"/>
      <c r="H77" s="101"/>
      <c r="I77" s="103"/>
      <c r="J77" s="102"/>
      <c r="K77" s="253"/>
      <c r="L77" s="253"/>
      <c r="M77" s="253"/>
      <c r="N77" s="253"/>
    </row>
    <row r="78" spans="1:14" s="3" customFormat="1" ht="26.1" customHeight="1">
      <c r="A78" s="252"/>
      <c r="B78" s="252"/>
      <c r="C78" s="252"/>
      <c r="D78" s="100"/>
      <c r="E78" s="101"/>
      <c r="F78" s="102"/>
      <c r="G78" s="101"/>
      <c r="H78" s="101"/>
      <c r="I78" s="103"/>
      <c r="J78" s="102"/>
      <c r="K78" s="253"/>
      <c r="L78" s="253"/>
      <c r="M78" s="253"/>
      <c r="N78" s="253"/>
    </row>
    <row r="79" spans="1:14" s="3" customFormat="1" ht="26.1" customHeight="1">
      <c r="A79" s="252"/>
      <c r="B79" s="252"/>
      <c r="C79" s="252"/>
      <c r="D79" s="100"/>
      <c r="E79" s="101"/>
      <c r="F79" s="102"/>
      <c r="G79" s="101"/>
      <c r="H79" s="101"/>
      <c r="I79" s="103"/>
      <c r="J79" s="102"/>
      <c r="K79" s="253"/>
      <c r="L79" s="253"/>
      <c r="M79" s="253"/>
      <c r="N79" s="253"/>
    </row>
    <row r="80" spans="1:14" s="3" customFormat="1" ht="26.1" customHeight="1">
      <c r="A80" s="252"/>
      <c r="B80" s="252"/>
      <c r="C80" s="252"/>
      <c r="D80" s="100"/>
      <c r="E80" s="101"/>
      <c r="F80" s="102"/>
      <c r="G80" s="101"/>
      <c r="H80" s="101"/>
      <c r="I80" s="103"/>
      <c r="J80" s="102"/>
      <c r="K80" s="253"/>
      <c r="L80" s="253"/>
      <c r="M80" s="253"/>
      <c r="N80" s="253"/>
    </row>
    <row r="81" spans="1:14" s="3" customFormat="1" ht="26.1" customHeight="1">
      <c r="A81" s="252"/>
      <c r="B81" s="252"/>
      <c r="C81" s="252"/>
      <c r="D81" s="100"/>
      <c r="E81" s="101"/>
      <c r="F81" s="102"/>
      <c r="G81" s="101"/>
      <c r="H81" s="101"/>
      <c r="I81" s="103"/>
      <c r="J81" s="102"/>
      <c r="K81" s="253"/>
      <c r="L81" s="253"/>
      <c r="M81" s="253"/>
      <c r="N81" s="253"/>
    </row>
  </sheetData>
  <mergeCells count="17">
    <mergeCell ref="A3:N3"/>
    <mergeCell ref="A4:N4"/>
    <mergeCell ref="L5:L7"/>
    <mergeCell ref="M5:M7"/>
    <mergeCell ref="N5:N7"/>
    <mergeCell ref="A8:C8"/>
    <mergeCell ref="A5:A7"/>
    <mergeCell ref="B5:B7"/>
    <mergeCell ref="C5:C7"/>
    <mergeCell ref="D5:D7"/>
    <mergeCell ref="E5:J5"/>
    <mergeCell ref="K5:K7"/>
    <mergeCell ref="E6:F6"/>
    <mergeCell ref="G6:H6"/>
    <mergeCell ref="I6:J6"/>
    <mergeCell ref="A1:N1"/>
    <mergeCell ref="A2:N2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C22" sqref="C22"/>
    </sheetView>
  </sheetViews>
  <sheetFormatPr defaultColWidth="9.140625" defaultRowHeight="22.5"/>
  <cols>
    <col min="1" max="1" width="5.7109375" style="172" customWidth="1"/>
    <col min="2" max="2" width="17.7109375" style="235" customWidth="1"/>
    <col min="3" max="3" width="21.42578125" style="172" customWidth="1"/>
    <col min="4" max="5" width="20.7109375" style="115" customWidth="1"/>
    <col min="6" max="6" width="12.7109375" style="116" customWidth="1"/>
    <col min="7" max="7" width="20.7109375" style="115" customWidth="1"/>
    <col min="8" max="8" width="12.7109375" style="115" customWidth="1"/>
    <col min="9" max="9" width="20.7109375" style="115" customWidth="1"/>
    <col min="10" max="10" width="12.7109375" style="217" customWidth="1"/>
    <col min="11" max="11" width="20.7109375" style="115" customWidth="1"/>
    <col min="12" max="16384" width="9.140625" style="1"/>
  </cols>
  <sheetData>
    <row r="1" spans="1:11" s="316" customFormat="1" ht="30" customHeight="1">
      <c r="A1" s="845" t="s">
        <v>261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</row>
    <row r="2" spans="1:11" s="316" customFormat="1" ht="30" customHeight="1">
      <c r="A2" s="818" t="s">
        <v>127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</row>
    <row r="3" spans="1:11" s="316" customFormat="1" ht="30" customHeight="1">
      <c r="A3" s="818" t="str">
        <f>[4]จังหวัด!A3</f>
        <v>ข้อมูลสะสมตั้งแต่วันที่ 1 ตุลาคม 2567 ถึงวันที่ 15 มกราคม 2568</v>
      </c>
      <c r="B3" s="818"/>
      <c r="C3" s="818"/>
      <c r="D3" s="818"/>
      <c r="E3" s="818"/>
      <c r="F3" s="818"/>
      <c r="G3" s="818"/>
      <c r="H3" s="818"/>
      <c r="I3" s="818"/>
      <c r="J3" s="818"/>
      <c r="K3" s="818"/>
    </row>
    <row r="4" spans="1:11" s="316" customFormat="1" ht="30" customHeight="1">
      <c r="A4" s="835" t="s">
        <v>114</v>
      </c>
      <c r="B4" s="835"/>
      <c r="C4" s="835"/>
      <c r="D4" s="835"/>
      <c r="E4" s="835"/>
      <c r="F4" s="835"/>
      <c r="G4" s="835"/>
      <c r="H4" s="835"/>
      <c r="I4" s="835"/>
      <c r="J4" s="835"/>
      <c r="K4" s="835"/>
    </row>
    <row r="5" spans="1:11" s="683" customFormat="1" ht="27.95" customHeight="1">
      <c r="A5" s="838" t="s">
        <v>25</v>
      </c>
      <c r="B5" s="803" t="s">
        <v>77</v>
      </c>
      <c r="C5" s="803" t="s">
        <v>78</v>
      </c>
      <c r="D5" s="843" t="s">
        <v>160</v>
      </c>
      <c r="E5" s="832" t="s">
        <v>178</v>
      </c>
      <c r="F5" s="836"/>
      <c r="G5" s="836"/>
      <c r="H5" s="836"/>
      <c r="I5" s="836"/>
      <c r="J5" s="836"/>
      <c r="K5" s="829" t="s">
        <v>4</v>
      </c>
    </row>
    <row r="6" spans="1:11" s="683" customFormat="1" ht="27.95" customHeight="1">
      <c r="A6" s="839"/>
      <c r="B6" s="840"/>
      <c r="C6" s="840"/>
      <c r="D6" s="844"/>
      <c r="E6" s="841" t="s">
        <v>116</v>
      </c>
      <c r="F6" s="842"/>
      <c r="G6" s="833" t="s">
        <v>90</v>
      </c>
      <c r="H6" s="834"/>
      <c r="I6" s="837" t="s">
        <v>500</v>
      </c>
      <c r="J6" s="837"/>
      <c r="K6" s="830"/>
    </row>
    <row r="7" spans="1:11" s="687" customFormat="1" ht="27.95" customHeight="1">
      <c r="A7" s="839"/>
      <c r="B7" s="840"/>
      <c r="C7" s="840"/>
      <c r="D7" s="844"/>
      <c r="E7" s="104" t="s">
        <v>113</v>
      </c>
      <c r="F7" s="684" t="s">
        <v>7</v>
      </c>
      <c r="G7" s="685" t="s">
        <v>113</v>
      </c>
      <c r="H7" s="685" t="s">
        <v>7</v>
      </c>
      <c r="I7" s="682" t="s">
        <v>113</v>
      </c>
      <c r="J7" s="686" t="s">
        <v>7</v>
      </c>
      <c r="K7" s="830"/>
    </row>
    <row r="8" spans="1:11" s="683" customFormat="1" ht="27.95" customHeight="1" thickBot="1">
      <c r="A8" s="688"/>
      <c r="B8" s="688"/>
      <c r="C8" s="689" t="s">
        <v>13</v>
      </c>
      <c r="D8" s="690">
        <f>SUM(D9:D19)</f>
        <v>50028811.039999992</v>
      </c>
      <c r="E8" s="691">
        <f>SUM(E9:E19)</f>
        <v>22503452.209999997</v>
      </c>
      <c r="F8" s="692">
        <f>+E8*100/D8</f>
        <v>44.980985440584639</v>
      </c>
      <c r="G8" s="690">
        <f>SUM(G9:G19)</f>
        <v>488859</v>
      </c>
      <c r="H8" s="692">
        <f t="shared" ref="H8:H19" si="0">+G8*100/D8</f>
        <v>0.97715494299702244</v>
      </c>
      <c r="I8" s="690">
        <f t="shared" ref="I8:I19" si="1">E8+G8</f>
        <v>22992311.209999997</v>
      </c>
      <c r="J8" s="693">
        <f t="shared" ref="J8:J19" si="2">I8*100/D8</f>
        <v>45.958140383581657</v>
      </c>
      <c r="K8" s="690">
        <f t="shared" ref="K8:K19" si="3">D8-I8</f>
        <v>27036499.829999994</v>
      </c>
    </row>
    <row r="9" spans="1:11" s="683" customFormat="1" ht="27.95" customHeight="1" thickTop="1">
      <c r="A9" s="694">
        <v>1</v>
      </c>
      <c r="B9" s="694">
        <v>1500400115</v>
      </c>
      <c r="C9" s="981" t="s">
        <v>81</v>
      </c>
      <c r="D9" s="696">
        <f>+[4]ศพช.!D11</f>
        <v>3410095.42</v>
      </c>
      <c r="E9" s="697">
        <f>+[4]ศพช.!E11</f>
        <v>2487087.11</v>
      </c>
      <c r="F9" s="698">
        <f t="shared" ref="F9:F16" si="4">SUM(E9*100/D9)</f>
        <v>72.933065022561749</v>
      </c>
      <c r="G9" s="699">
        <f>+[4]ศพช.!G11</f>
        <v>0</v>
      </c>
      <c r="H9" s="699">
        <f t="shared" si="0"/>
        <v>0</v>
      </c>
      <c r="I9" s="699">
        <f t="shared" si="1"/>
        <v>2487087.11</v>
      </c>
      <c r="J9" s="700">
        <f t="shared" si="2"/>
        <v>72.933065022561749</v>
      </c>
      <c r="K9" s="699">
        <f t="shared" si="3"/>
        <v>923008.31</v>
      </c>
    </row>
    <row r="10" spans="1:11" s="683" customFormat="1" ht="27.95" customHeight="1">
      <c r="A10" s="313">
        <v>2</v>
      </c>
      <c r="B10" s="313">
        <v>1500400121</v>
      </c>
      <c r="C10" s="314" t="s">
        <v>86</v>
      </c>
      <c r="D10" s="319">
        <f>+[4]ศพช.!D17</f>
        <v>3276935</v>
      </c>
      <c r="E10" s="702">
        <f>+[4]ศพช.!E17</f>
        <v>1952631.5</v>
      </c>
      <c r="F10" s="703">
        <f t="shared" si="4"/>
        <v>59.587129436500874</v>
      </c>
      <c r="G10" s="704">
        <f>+[4]ศพช.!G17</f>
        <v>149209</v>
      </c>
      <c r="H10" s="703">
        <f t="shared" si="0"/>
        <v>4.5533097238730704</v>
      </c>
      <c r="I10" s="704">
        <f t="shared" si="1"/>
        <v>2101840.5</v>
      </c>
      <c r="J10" s="705">
        <f t="shared" si="2"/>
        <v>64.140439160373944</v>
      </c>
      <c r="K10" s="706">
        <f t="shared" si="3"/>
        <v>1175094.5</v>
      </c>
    </row>
    <row r="11" spans="1:11" s="683" customFormat="1" ht="27.95" customHeight="1">
      <c r="A11" s="313">
        <v>3</v>
      </c>
      <c r="B11" s="707">
        <v>1500400113</v>
      </c>
      <c r="C11" s="314" t="s">
        <v>79</v>
      </c>
      <c r="D11" s="319">
        <f>+[4]ศพช.!D9</f>
        <v>3453967.77</v>
      </c>
      <c r="E11" s="702">
        <f>+[4]ศพช.!E9</f>
        <v>2129581.0299999998</v>
      </c>
      <c r="F11" s="703">
        <f t="shared" si="4"/>
        <v>61.656077062931011</v>
      </c>
      <c r="G11" s="704">
        <f>+[4]ศพช.!G9</f>
        <v>0</v>
      </c>
      <c r="H11" s="704">
        <f t="shared" si="0"/>
        <v>0</v>
      </c>
      <c r="I11" s="704">
        <f t="shared" si="1"/>
        <v>2129581.0299999998</v>
      </c>
      <c r="J11" s="705">
        <f t="shared" si="2"/>
        <v>61.656077062931011</v>
      </c>
      <c r="K11" s="706">
        <f t="shared" si="3"/>
        <v>1324386.7400000002</v>
      </c>
    </row>
    <row r="12" spans="1:11" s="683" customFormat="1" ht="27.95" customHeight="1">
      <c r="A12" s="313">
        <v>4</v>
      </c>
      <c r="B12" s="313">
        <v>1500400120</v>
      </c>
      <c r="C12" s="314" t="s">
        <v>187</v>
      </c>
      <c r="D12" s="319">
        <f>+[4]ศพช.!D16</f>
        <v>5047675.68</v>
      </c>
      <c r="E12" s="702">
        <f>+[4]ศพช.!E16</f>
        <v>2967873.23</v>
      </c>
      <c r="F12" s="703">
        <f t="shared" si="4"/>
        <v>58.796828840635818</v>
      </c>
      <c r="G12" s="704">
        <f>+[4]ศพช.!G16</f>
        <v>0</v>
      </c>
      <c r="H12" s="704">
        <f t="shared" si="0"/>
        <v>0</v>
      </c>
      <c r="I12" s="704">
        <f t="shared" si="1"/>
        <v>2967873.23</v>
      </c>
      <c r="J12" s="705">
        <f t="shared" si="2"/>
        <v>58.796828840635818</v>
      </c>
      <c r="K12" s="706">
        <f t="shared" si="3"/>
        <v>2079802.4499999997</v>
      </c>
    </row>
    <row r="13" spans="1:11" s="683" customFormat="1" ht="27.95" customHeight="1">
      <c r="A13" s="313">
        <v>5</v>
      </c>
      <c r="B13" s="313">
        <v>1500400119</v>
      </c>
      <c r="C13" s="314" t="s">
        <v>84</v>
      </c>
      <c r="D13" s="319">
        <f>+[4]ศพช.!D15</f>
        <v>4771768.43</v>
      </c>
      <c r="E13" s="702">
        <f>+[4]ศพช.!E15</f>
        <v>2702011.52</v>
      </c>
      <c r="F13" s="703">
        <f t="shared" si="4"/>
        <v>56.624950678924712</v>
      </c>
      <c r="G13" s="704">
        <f>+[4]ศพช.!G15</f>
        <v>0</v>
      </c>
      <c r="H13" s="704">
        <f t="shared" si="0"/>
        <v>0</v>
      </c>
      <c r="I13" s="704">
        <f t="shared" si="1"/>
        <v>2702011.52</v>
      </c>
      <c r="J13" s="705">
        <f t="shared" si="2"/>
        <v>56.624950678924712</v>
      </c>
      <c r="K13" s="706">
        <f t="shared" si="3"/>
        <v>2069756.9099999997</v>
      </c>
    </row>
    <row r="14" spans="1:11" s="683" customFormat="1" ht="27.95" customHeight="1">
      <c r="A14" s="313">
        <v>6</v>
      </c>
      <c r="B14" s="313">
        <v>1500400122</v>
      </c>
      <c r="C14" s="314" t="s">
        <v>87</v>
      </c>
      <c r="D14" s="319">
        <f>+[4]ศพช.!D18</f>
        <v>4990769.83</v>
      </c>
      <c r="E14" s="702">
        <f>+[4]ศพช.!E18</f>
        <v>2047283.6</v>
      </c>
      <c r="F14" s="703">
        <f t="shared" si="4"/>
        <v>41.021398897091593</v>
      </c>
      <c r="G14" s="704">
        <f>+[4]ศพช.!G18</f>
        <v>115910</v>
      </c>
      <c r="H14" s="703">
        <f t="shared" si="0"/>
        <v>2.322487390687781</v>
      </c>
      <c r="I14" s="704">
        <f t="shared" si="1"/>
        <v>2163193.6</v>
      </c>
      <c r="J14" s="705">
        <f t="shared" si="2"/>
        <v>43.343886287779377</v>
      </c>
      <c r="K14" s="706">
        <f t="shared" si="3"/>
        <v>2827576.23</v>
      </c>
    </row>
    <row r="15" spans="1:11" s="683" customFormat="1" ht="27.95" customHeight="1">
      <c r="A15" s="313">
        <v>7</v>
      </c>
      <c r="B15" s="313">
        <v>1500400118</v>
      </c>
      <c r="C15" s="314" t="s">
        <v>83</v>
      </c>
      <c r="D15" s="319">
        <f>+[4]ศพช.!D14</f>
        <v>6767060.54</v>
      </c>
      <c r="E15" s="702">
        <f>+[4]ศพช.!E14</f>
        <v>2634512.9900000002</v>
      </c>
      <c r="F15" s="703">
        <f t="shared" si="4"/>
        <v>38.931423391699113</v>
      </c>
      <c r="G15" s="704">
        <f>+[4]ศพช.!G14</f>
        <v>170000</v>
      </c>
      <c r="H15" s="703">
        <f t="shared" si="0"/>
        <v>2.5121690428973169</v>
      </c>
      <c r="I15" s="704">
        <f t="shared" si="1"/>
        <v>2804512.99</v>
      </c>
      <c r="J15" s="705">
        <f t="shared" si="2"/>
        <v>41.443592434596425</v>
      </c>
      <c r="K15" s="706">
        <f t="shared" si="3"/>
        <v>3962547.55</v>
      </c>
    </row>
    <row r="16" spans="1:11" s="683" customFormat="1" ht="27.95" customHeight="1">
      <c r="A16" s="313">
        <v>8</v>
      </c>
      <c r="B16" s="313">
        <v>1500400117</v>
      </c>
      <c r="C16" s="314" t="s">
        <v>153</v>
      </c>
      <c r="D16" s="319">
        <f>+[4]ศพช.!D13</f>
        <v>4966876</v>
      </c>
      <c r="E16" s="702">
        <f>+[4]ศพช.!E13</f>
        <v>1893657.52</v>
      </c>
      <c r="F16" s="703">
        <f t="shared" si="4"/>
        <v>38.12572570766816</v>
      </c>
      <c r="G16" s="704">
        <f>+[4]ศพช.!G13</f>
        <v>0</v>
      </c>
      <c r="H16" s="704">
        <f t="shared" si="0"/>
        <v>0</v>
      </c>
      <c r="I16" s="704">
        <f t="shared" si="1"/>
        <v>1893657.52</v>
      </c>
      <c r="J16" s="705">
        <f t="shared" si="2"/>
        <v>38.12572570766816</v>
      </c>
      <c r="K16" s="706">
        <f t="shared" si="3"/>
        <v>3073218.48</v>
      </c>
    </row>
    <row r="17" spans="1:11" s="683" customFormat="1" ht="27.95" customHeight="1">
      <c r="A17" s="313">
        <v>9</v>
      </c>
      <c r="B17" s="313">
        <v>1500400116</v>
      </c>
      <c r="C17" s="314" t="s">
        <v>82</v>
      </c>
      <c r="D17" s="319">
        <f>+[4]ศพช.!D12</f>
        <v>5143426.33</v>
      </c>
      <c r="E17" s="702">
        <f>+[4]ศพช.!E12</f>
        <v>1723990.98</v>
      </c>
      <c r="F17" s="703">
        <f>E17/D17*100</f>
        <v>33.518337182055056</v>
      </c>
      <c r="G17" s="704">
        <f>+[4]ศพช.!G12</f>
        <v>10000</v>
      </c>
      <c r="H17" s="703">
        <f t="shared" si="0"/>
        <v>0.19442292663303296</v>
      </c>
      <c r="I17" s="704">
        <f t="shared" si="1"/>
        <v>1733990.98</v>
      </c>
      <c r="J17" s="705">
        <f t="shared" si="2"/>
        <v>33.712760108688094</v>
      </c>
      <c r="K17" s="706">
        <f t="shared" si="3"/>
        <v>3409435.35</v>
      </c>
    </row>
    <row r="18" spans="1:11" s="683" customFormat="1" ht="27.95" customHeight="1">
      <c r="A18" s="313">
        <v>10</v>
      </c>
      <c r="B18" s="313">
        <v>1500400114</v>
      </c>
      <c r="C18" s="314" t="s">
        <v>80</v>
      </c>
      <c r="D18" s="319">
        <f>+[4]ศพช.!D10</f>
        <v>3540652.71</v>
      </c>
      <c r="E18" s="702">
        <f>+[4]ศพช.!E10</f>
        <v>1142169.78</v>
      </c>
      <c r="F18" s="703">
        <f>SUM(E18*100/D18)</f>
        <v>32.258735141521406</v>
      </c>
      <c r="G18" s="704">
        <f>+[4]ศพช.!G10</f>
        <v>0</v>
      </c>
      <c r="H18" s="704">
        <f t="shared" si="0"/>
        <v>0</v>
      </c>
      <c r="I18" s="704">
        <f t="shared" si="1"/>
        <v>1142169.78</v>
      </c>
      <c r="J18" s="705">
        <f t="shared" si="2"/>
        <v>32.258735141521406</v>
      </c>
      <c r="K18" s="706">
        <f t="shared" si="3"/>
        <v>2398482.9299999997</v>
      </c>
    </row>
    <row r="19" spans="1:11" s="683" customFormat="1" ht="27.95" customHeight="1">
      <c r="A19" s="313">
        <v>11</v>
      </c>
      <c r="B19" s="313">
        <v>1500400123</v>
      </c>
      <c r="C19" s="314" t="s">
        <v>88</v>
      </c>
      <c r="D19" s="319">
        <f>+[4]ศพช.!D19</f>
        <v>4659583.33</v>
      </c>
      <c r="E19" s="702">
        <f>+[4]ศพช.!E19</f>
        <v>822652.95</v>
      </c>
      <c r="F19" s="703">
        <f>SUM(E19*100/D19)</f>
        <v>17.655075394906607</v>
      </c>
      <c r="G19" s="704">
        <f>+[4]ศพช.!G19</f>
        <v>43740</v>
      </c>
      <c r="H19" s="703">
        <f t="shared" si="0"/>
        <v>0.93871054345968741</v>
      </c>
      <c r="I19" s="704">
        <f t="shared" si="1"/>
        <v>866392.95</v>
      </c>
      <c r="J19" s="705">
        <f t="shared" si="2"/>
        <v>18.593785938366295</v>
      </c>
      <c r="K19" s="704">
        <f t="shared" si="3"/>
        <v>3793190.38</v>
      </c>
    </row>
    <row r="20" spans="1:11" s="715" customFormat="1" ht="27.95" customHeight="1">
      <c r="A20" s="708"/>
      <c r="B20" s="709"/>
      <c r="C20" s="710"/>
      <c r="D20" s="711"/>
      <c r="E20" s="711"/>
      <c r="F20" s="712"/>
      <c r="G20" s="713"/>
      <c r="H20" s="713"/>
      <c r="I20" s="713"/>
      <c r="J20" s="714"/>
      <c r="K20" s="711"/>
    </row>
    <row r="21" spans="1:11" s="239" customFormat="1" ht="43.5" customHeight="1">
      <c r="A21" s="240"/>
      <c r="B21" s="241"/>
      <c r="C21" s="242"/>
      <c r="D21" s="119"/>
      <c r="E21" s="119"/>
      <c r="F21" s="121"/>
      <c r="G21" s="120"/>
      <c r="H21" s="120"/>
      <c r="I21" s="120"/>
      <c r="J21" s="243"/>
      <c r="K21" s="244"/>
    </row>
    <row r="22" spans="1:11" s="239" customFormat="1" ht="43.5" customHeight="1">
      <c r="A22" s="240"/>
      <c r="B22" s="245"/>
      <c r="C22" s="245" t="s">
        <v>188</v>
      </c>
      <c r="D22" s="122"/>
      <c r="E22" s="123"/>
      <c r="F22" s="211"/>
      <c r="G22" s="123"/>
      <c r="H22" s="123"/>
      <c r="I22" s="123"/>
      <c r="J22" s="212"/>
      <c r="K22" s="123"/>
    </row>
    <row r="23" spans="1:11" s="239" customFormat="1" ht="43.5" customHeight="1">
      <c r="A23" s="240"/>
      <c r="B23" s="245"/>
      <c r="C23" s="246" t="s">
        <v>129</v>
      </c>
      <c r="D23" s="122"/>
      <c r="E23" s="123">
        <f>17171349.63-E24</f>
        <v>13270849.629999999</v>
      </c>
      <c r="F23" s="211"/>
      <c r="G23" s="123"/>
      <c r="H23" s="123"/>
      <c r="I23" s="123"/>
      <c r="J23" s="212"/>
      <c r="K23" s="123"/>
    </row>
    <row r="24" spans="1:11" s="239" customFormat="1" ht="43.5" customHeight="1">
      <c r="A24" s="240"/>
      <c r="B24" s="245"/>
      <c r="C24" s="246" t="s">
        <v>8</v>
      </c>
      <c r="D24" s="122"/>
      <c r="E24" s="123">
        <v>3900500</v>
      </c>
      <c r="F24" s="211"/>
      <c r="G24" s="123"/>
      <c r="H24" s="123"/>
      <c r="I24" s="123"/>
      <c r="J24" s="212"/>
      <c r="K24" s="123"/>
    </row>
    <row r="25" spans="1:11" s="239" customFormat="1" ht="43.5" customHeight="1">
      <c r="A25" s="240"/>
      <c r="B25" s="245"/>
      <c r="C25" s="246" t="s">
        <v>130</v>
      </c>
      <c r="D25" s="122"/>
      <c r="E25" s="123"/>
      <c r="F25" s="211"/>
      <c r="G25" s="123"/>
      <c r="H25" s="123"/>
      <c r="I25" s="123"/>
      <c r="J25" s="212"/>
      <c r="K25" s="123"/>
    </row>
    <row r="26" spans="1:11" s="239" customFormat="1" ht="43.5" customHeight="1">
      <c r="A26" s="240"/>
      <c r="B26" s="245"/>
      <c r="C26" s="246" t="s">
        <v>131</v>
      </c>
      <c r="D26" s="122"/>
      <c r="E26" s="123">
        <f>58373920</f>
        <v>58373920</v>
      </c>
      <c r="F26" s="211"/>
      <c r="G26" s="123"/>
      <c r="H26" s="123"/>
      <c r="I26" s="123"/>
      <c r="J26" s="212"/>
      <c r="K26" s="123"/>
    </row>
    <row r="27" spans="1:11" s="239" customFormat="1" ht="43.5" customHeight="1">
      <c r="A27" s="240"/>
      <c r="B27" s="245"/>
      <c r="C27" s="240" t="s">
        <v>202</v>
      </c>
      <c r="D27" s="122"/>
      <c r="E27" s="124"/>
      <c r="F27" s="211"/>
      <c r="G27" s="123"/>
      <c r="H27" s="123"/>
      <c r="I27" s="123"/>
      <c r="J27" s="212"/>
      <c r="K27" s="123"/>
    </row>
    <row r="28" spans="1:11" s="239" customFormat="1" ht="43.5" customHeight="1">
      <c r="A28" s="240"/>
      <c r="B28" s="245"/>
      <c r="C28" s="246" t="s">
        <v>132</v>
      </c>
      <c r="D28" s="122"/>
      <c r="E28" s="123"/>
      <c r="F28" s="211"/>
      <c r="G28" s="123"/>
      <c r="H28" s="123"/>
      <c r="I28" s="123"/>
      <c r="J28" s="212"/>
      <c r="K28" s="123"/>
    </row>
    <row r="29" spans="1:11" s="239" customFormat="1" ht="43.5" customHeight="1">
      <c r="A29" s="240"/>
      <c r="B29" s="245"/>
      <c r="C29" s="246" t="s">
        <v>133</v>
      </c>
      <c r="D29" s="122"/>
      <c r="E29" s="124">
        <f>3501600-28000</f>
        <v>3473600</v>
      </c>
      <c r="F29" s="247"/>
      <c r="G29" s="240"/>
      <c r="H29" s="240"/>
      <c r="I29" s="240"/>
      <c r="J29" s="212"/>
      <c r="K29" s="123"/>
    </row>
    <row r="30" spans="1:11" s="239" customFormat="1" ht="43.5" customHeight="1">
      <c r="A30" s="240"/>
      <c r="B30" s="245"/>
      <c r="C30" s="240"/>
      <c r="D30" s="125"/>
      <c r="E30" s="126">
        <f>SUM(E23:E29)</f>
        <v>79018869.629999995</v>
      </c>
      <c r="F30" s="211"/>
      <c r="G30" s="123"/>
      <c r="H30" s="123"/>
      <c r="I30" s="123"/>
      <c r="J30" s="212"/>
      <c r="K30" s="123"/>
    </row>
    <row r="31" spans="1:11" s="248" customFormat="1" ht="43.5" customHeight="1">
      <c r="A31" s="249"/>
      <c r="B31" s="250"/>
      <c r="C31" s="249"/>
      <c r="D31" s="127"/>
      <c r="E31" s="127"/>
      <c r="F31" s="213"/>
      <c r="G31" s="127"/>
      <c r="H31" s="127"/>
      <c r="I31" s="127"/>
      <c r="J31" s="214"/>
      <c r="K31" s="127"/>
    </row>
    <row r="32" spans="1:11" s="238" customFormat="1" ht="43.5" customHeight="1">
      <c r="A32" s="242"/>
      <c r="B32" s="251"/>
      <c r="C32" s="242"/>
      <c r="D32" s="119"/>
      <c r="E32" s="119"/>
      <c r="F32" s="215"/>
      <c r="G32" s="119"/>
      <c r="H32" s="119"/>
      <c r="I32" s="119"/>
      <c r="J32" s="216"/>
      <c r="K32" s="119"/>
    </row>
    <row r="33" spans="1:11" s="238" customFormat="1" ht="43.5" customHeight="1">
      <c r="A33" s="242"/>
      <c r="B33" s="251"/>
      <c r="C33" s="242"/>
      <c r="D33" s="119"/>
      <c r="E33" s="119"/>
      <c r="F33" s="215"/>
      <c r="G33" s="119"/>
      <c r="H33" s="119"/>
      <c r="I33" s="119"/>
      <c r="J33" s="216"/>
      <c r="K33" s="119"/>
    </row>
    <row r="34" spans="1:11" s="238" customFormat="1" ht="43.5" customHeight="1">
      <c r="A34" s="242"/>
      <c r="B34" s="251"/>
      <c r="C34" s="242"/>
      <c r="D34" s="119"/>
      <c r="E34" s="119"/>
      <c r="F34" s="215"/>
      <c r="G34" s="119"/>
      <c r="H34" s="119"/>
      <c r="I34" s="119"/>
      <c r="J34" s="216"/>
      <c r="K34" s="119"/>
    </row>
    <row r="35" spans="1:11" s="238" customFormat="1" ht="43.5" customHeight="1">
      <c r="A35" s="242"/>
      <c r="B35" s="251"/>
      <c r="C35" s="242"/>
      <c r="D35" s="128"/>
      <c r="E35" s="128"/>
      <c r="F35" s="215"/>
      <c r="G35" s="119"/>
      <c r="H35" s="119"/>
      <c r="I35" s="119"/>
      <c r="J35" s="216"/>
      <c r="K35" s="119"/>
    </row>
    <row r="36" spans="1:11" s="238" customFormat="1" ht="43.5" customHeight="1">
      <c r="A36" s="242"/>
      <c r="B36" s="251"/>
      <c r="C36" s="242"/>
      <c r="D36" s="128"/>
      <c r="E36" s="128"/>
      <c r="F36" s="215"/>
      <c r="G36" s="119"/>
      <c r="H36" s="119"/>
      <c r="I36" s="119"/>
      <c r="J36" s="216"/>
      <c r="K36" s="119"/>
    </row>
    <row r="37" spans="1:11" s="238" customFormat="1" ht="43.5" customHeight="1">
      <c r="A37" s="242"/>
      <c r="B37" s="251"/>
      <c r="C37" s="242"/>
      <c r="D37" s="128"/>
      <c r="E37" s="128"/>
      <c r="F37" s="215"/>
      <c r="G37" s="119"/>
      <c r="H37" s="119"/>
      <c r="I37" s="119"/>
      <c r="J37" s="216"/>
      <c r="K37" s="119"/>
    </row>
    <row r="38" spans="1:11" s="2" customFormat="1" ht="43.5" customHeight="1">
      <c r="A38" s="172"/>
      <c r="B38" s="235"/>
      <c r="C38" s="172"/>
      <c r="D38" s="129"/>
      <c r="E38" s="129"/>
      <c r="F38" s="116"/>
      <c r="G38" s="115"/>
      <c r="H38" s="115"/>
      <c r="I38" s="115"/>
      <c r="J38" s="217"/>
      <c r="K38" s="115"/>
    </row>
    <row r="39" spans="1:11" s="2" customFormat="1" ht="43.5" customHeight="1">
      <c r="A39" s="172"/>
      <c r="B39" s="235"/>
      <c r="C39" s="172"/>
      <c r="D39" s="129"/>
      <c r="E39" s="129"/>
      <c r="F39" s="116"/>
      <c r="G39" s="115"/>
      <c r="H39" s="115"/>
      <c r="I39" s="115"/>
      <c r="J39" s="217"/>
      <c r="K39" s="115"/>
    </row>
  </sheetData>
  <mergeCells count="13">
    <mergeCell ref="A1:K1"/>
    <mergeCell ref="A2:K2"/>
    <mergeCell ref="A3:K3"/>
    <mergeCell ref="A4:K4"/>
    <mergeCell ref="E5:J5"/>
    <mergeCell ref="K5:K7"/>
    <mergeCell ref="G6:H6"/>
    <mergeCell ref="I6:J6"/>
    <mergeCell ref="A5:A7"/>
    <mergeCell ref="B5:B7"/>
    <mergeCell ref="C5:C7"/>
    <mergeCell ref="E6:F6"/>
    <mergeCell ref="D5:D7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AA101"/>
  <sheetViews>
    <sheetView zoomScale="70" zoomScaleNormal="70" zoomScaleSheetLayoutView="70" workbookViewId="0">
      <selection activeCell="C16" sqref="C16"/>
    </sheetView>
  </sheetViews>
  <sheetFormatPr defaultColWidth="9.140625" defaultRowHeight="27.75"/>
  <cols>
    <col min="1" max="1" width="7.42578125" style="172" customWidth="1"/>
    <col min="2" max="2" width="17.7109375" style="235" customWidth="1"/>
    <col min="3" max="3" width="21.7109375" style="172" customWidth="1"/>
    <col min="4" max="5" width="20.7109375" style="115" customWidth="1"/>
    <col min="6" max="6" width="12.7109375" style="152" customWidth="1"/>
    <col min="7" max="7" width="20.7109375" style="115" customWidth="1"/>
    <col min="8" max="8" width="12.7109375" style="138" customWidth="1"/>
    <col min="9" max="9" width="20.7109375" style="115" customWidth="1"/>
    <col min="10" max="10" width="12.7109375" style="138" customWidth="1"/>
    <col min="11" max="11" width="20.7109375" style="116" customWidth="1"/>
    <col min="12" max="12" width="9.7109375" style="1062" hidden="1" customWidth="1"/>
    <col min="13" max="13" width="17.7109375" style="1062" hidden="1" customWidth="1"/>
    <col min="14" max="14" width="19.42578125" style="479" hidden="1" customWidth="1"/>
    <col min="15" max="15" width="18.140625" style="479" hidden="1" customWidth="1"/>
    <col min="16" max="16" width="7.42578125" style="1059" hidden="1" customWidth="1"/>
    <col min="17" max="17" width="27.5703125" style="479" hidden="1" customWidth="1"/>
    <col min="18" max="18" width="12.28515625" style="479" hidden="1" customWidth="1"/>
    <col min="19" max="19" width="13.28515625" style="479" hidden="1" customWidth="1"/>
    <col min="20" max="20" width="9.140625" style="479" hidden="1" customWidth="1"/>
    <col min="21" max="21" width="14.140625" style="479" hidden="1" customWidth="1"/>
    <col min="22" max="22" width="9.140625" style="479" hidden="1" customWidth="1"/>
    <col min="23" max="23" width="18.85546875" style="479" hidden="1" customWidth="1"/>
    <col min="24" max="24" width="9.140625" style="2" hidden="1" customWidth="1"/>
    <col min="25" max="26" width="0" style="2" hidden="1" customWidth="1"/>
    <col min="27" max="27" width="9.140625" style="1060"/>
    <col min="28" max="16384" width="9.140625" style="2"/>
  </cols>
  <sheetData>
    <row r="1" spans="1:23" s="316" customFormat="1" ht="30" customHeight="1">
      <c r="A1" s="818" t="s">
        <v>261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982"/>
      <c r="N1" s="983"/>
      <c r="O1" s="983"/>
      <c r="P1" s="984"/>
      <c r="Q1" s="983"/>
      <c r="R1" s="983"/>
      <c r="S1" s="983"/>
      <c r="T1" s="983"/>
      <c r="U1" s="983"/>
      <c r="V1" s="983"/>
      <c r="W1" s="983"/>
    </row>
    <row r="2" spans="1:23" s="316" customFormat="1" ht="30" customHeight="1">
      <c r="A2" s="818" t="s">
        <v>222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982"/>
      <c r="N2" s="985"/>
      <c r="O2" s="985"/>
      <c r="P2" s="984"/>
      <c r="Q2" s="983"/>
      <c r="R2" s="983"/>
      <c r="S2" s="983"/>
      <c r="T2" s="983"/>
      <c r="U2" s="983"/>
      <c r="V2" s="983"/>
      <c r="W2" s="983"/>
    </row>
    <row r="3" spans="1:23" s="316" customFormat="1" ht="30" customHeight="1">
      <c r="A3" s="818" t="str">
        <f>[4]จังหวัด!A3</f>
        <v>ข้อมูลสะสมตั้งแต่วันที่ 1 ตุลาคม 2567 ถึงวันที่ 15 มกราคม 2568</v>
      </c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982"/>
      <c r="N3" s="983"/>
      <c r="O3" s="983"/>
      <c r="P3" s="984"/>
      <c r="Q3" s="983"/>
      <c r="R3" s="983"/>
      <c r="S3" s="983"/>
      <c r="T3" s="983"/>
      <c r="U3" s="983"/>
      <c r="V3" s="983"/>
      <c r="W3" s="983"/>
    </row>
    <row r="4" spans="1:23" s="316" customFormat="1" ht="30" customHeight="1">
      <c r="A4" s="819" t="s">
        <v>114</v>
      </c>
      <c r="B4" s="819"/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986"/>
      <c r="N4" s="987"/>
      <c r="O4" s="987"/>
      <c r="P4" s="988"/>
      <c r="Q4" s="987"/>
      <c r="R4" s="987"/>
      <c r="S4" s="987"/>
      <c r="T4" s="987"/>
      <c r="U4" s="987"/>
      <c r="V4" s="987"/>
      <c r="W4" s="987"/>
    </row>
    <row r="5" spans="1:23" s="683" customFormat="1" ht="27.95" customHeight="1">
      <c r="A5" s="838" t="s">
        <v>25</v>
      </c>
      <c r="B5" s="803" t="s">
        <v>77</v>
      </c>
      <c r="C5" s="803" t="s">
        <v>78</v>
      </c>
      <c r="D5" s="847" t="s">
        <v>134</v>
      </c>
      <c r="E5" s="850" t="s">
        <v>146</v>
      </c>
      <c r="F5" s="851"/>
      <c r="G5" s="851"/>
      <c r="H5" s="851"/>
      <c r="I5" s="851"/>
      <c r="J5" s="852"/>
      <c r="K5" s="853" t="s">
        <v>4</v>
      </c>
      <c r="L5" s="989" t="s">
        <v>523</v>
      </c>
      <c r="M5" s="990" t="s">
        <v>524</v>
      </c>
      <c r="N5" s="650"/>
      <c r="O5" s="991"/>
      <c r="P5" s="992" t="s">
        <v>525</v>
      </c>
      <c r="Q5" s="993"/>
      <c r="R5" s="994" t="s">
        <v>526</v>
      </c>
      <c r="S5" s="995" t="s">
        <v>527</v>
      </c>
      <c r="T5" s="993"/>
      <c r="U5" s="993"/>
      <c r="V5" s="993"/>
      <c r="W5" s="993"/>
    </row>
    <row r="6" spans="1:23" s="687" customFormat="1" ht="27.95" customHeight="1">
      <c r="A6" s="839"/>
      <c r="B6" s="840"/>
      <c r="C6" s="840"/>
      <c r="D6" s="848"/>
      <c r="E6" s="841" t="s">
        <v>116</v>
      </c>
      <c r="F6" s="842"/>
      <c r="G6" s="856" t="s">
        <v>90</v>
      </c>
      <c r="H6" s="857"/>
      <c r="I6" s="833" t="s">
        <v>500</v>
      </c>
      <c r="J6" s="834"/>
      <c r="K6" s="854"/>
      <c r="L6" s="996"/>
      <c r="M6" s="997"/>
      <c r="N6" s="998"/>
      <c r="O6" s="999"/>
      <c r="P6" s="1000"/>
      <c r="Q6" s="1001"/>
      <c r="R6" s="994"/>
      <c r="S6" s="995"/>
      <c r="T6" s="1001"/>
      <c r="U6" s="1001"/>
      <c r="V6" s="1001"/>
      <c r="W6" s="1002"/>
    </row>
    <row r="7" spans="1:23" s="683" customFormat="1" ht="27.95" customHeight="1">
      <c r="A7" s="846"/>
      <c r="B7" s="804"/>
      <c r="C7" s="804"/>
      <c r="D7" s="849"/>
      <c r="E7" s="104" t="s">
        <v>113</v>
      </c>
      <c r="F7" s="716" t="s">
        <v>7</v>
      </c>
      <c r="G7" s="685" t="s">
        <v>113</v>
      </c>
      <c r="H7" s="717" t="s">
        <v>7</v>
      </c>
      <c r="I7" s="685" t="s">
        <v>113</v>
      </c>
      <c r="J7" s="717" t="s">
        <v>7</v>
      </c>
      <c r="K7" s="855"/>
      <c r="L7" s="1003"/>
      <c r="M7" s="1004"/>
      <c r="N7" s="1005" t="s">
        <v>528</v>
      </c>
      <c r="O7" s="1006" t="s">
        <v>529</v>
      </c>
      <c r="P7" s="1000"/>
      <c r="Q7" s="1007"/>
      <c r="R7" s="994"/>
      <c r="S7" s="995"/>
      <c r="T7" s="1007"/>
      <c r="U7" s="1007"/>
      <c r="V7" s="1007"/>
      <c r="W7" s="1008" t="s">
        <v>530</v>
      </c>
    </row>
    <row r="8" spans="1:23" s="683" customFormat="1" ht="27.95" customHeight="1" thickBot="1">
      <c r="A8" s="689"/>
      <c r="B8" s="688"/>
      <c r="C8" s="689" t="s">
        <v>13</v>
      </c>
      <c r="D8" s="690">
        <f>SUM(D9:D84)</f>
        <v>1147908974.7900002</v>
      </c>
      <c r="E8" s="690">
        <f>SUM(E9:E84)</f>
        <v>281349573.21999991</v>
      </c>
      <c r="F8" s="692">
        <f>+E8*100/D8</f>
        <v>24.509745929242371</v>
      </c>
      <c r="G8" s="690">
        <f>SUM(G9:G84)</f>
        <v>14493462.42</v>
      </c>
      <c r="H8" s="692">
        <f>G8/D8*100</f>
        <v>1.2625968381030779</v>
      </c>
      <c r="I8" s="690">
        <f>SUM(I9:I84)</f>
        <v>295843035.63999993</v>
      </c>
      <c r="J8" s="692">
        <f>I8*100/D8</f>
        <v>25.772342767345449</v>
      </c>
      <c r="K8" s="690">
        <f>SUM(K9:K84)</f>
        <v>852065939.15000021</v>
      </c>
      <c r="L8" s="1009">
        <f>2.35</f>
        <v>2.35</v>
      </c>
      <c r="M8" s="1010">
        <f>SUM(M9:M84)</f>
        <v>14657781.530000001</v>
      </c>
      <c r="N8" s="1011">
        <f>SUM(N9:N84)</f>
        <v>1427396380.78</v>
      </c>
      <c r="O8" s="1012">
        <f>SUM(O9:O84)</f>
        <v>-279487405.99000001</v>
      </c>
      <c r="P8" s="1013"/>
      <c r="Q8" s="1014" t="s">
        <v>531</v>
      </c>
      <c r="R8" s="994"/>
      <c r="S8" s="995"/>
      <c r="T8" s="1015"/>
      <c r="U8" s="1015"/>
      <c r="V8" s="1015"/>
      <c r="W8" s="1012">
        <f>SUM(W9:W84)</f>
        <v>0</v>
      </c>
    </row>
    <row r="9" spans="1:23" s="683" customFormat="1" ht="27.95" customHeight="1" thickTop="1">
      <c r="A9" s="694">
        <v>1</v>
      </c>
      <c r="B9" s="694">
        <v>1500400074</v>
      </c>
      <c r="C9" s="695" t="s">
        <v>61</v>
      </c>
      <c r="D9" s="718">
        <f>+[4]จังหวัด!D60</f>
        <v>13569381.470000001</v>
      </c>
      <c r="E9" s="718">
        <f>+[4]จังหวัด!E60</f>
        <v>7754344.0599999996</v>
      </c>
      <c r="F9" s="698">
        <f>+E9*100/D9</f>
        <v>57.145891853241558</v>
      </c>
      <c r="G9" s="718">
        <f>+[4]จังหวัด!G60</f>
        <v>10000</v>
      </c>
      <c r="H9" s="719">
        <f>+G9*100/D9</f>
        <v>7.3695326659572485E-2</v>
      </c>
      <c r="I9" s="718">
        <f t="shared" ref="I9:I72" si="0">+E9+G9</f>
        <v>7764344.0599999996</v>
      </c>
      <c r="J9" s="698">
        <f>+I9*100/D9</f>
        <v>57.219587179901133</v>
      </c>
      <c r="K9" s="720">
        <f>+D9-I9</f>
        <v>5805037.4100000011</v>
      </c>
      <c r="L9" s="1016" t="e">
        <f>+J9-#REF!</f>
        <v>#REF!</v>
      </c>
      <c r="M9" s="1017">
        <v>320850</v>
      </c>
      <c r="N9" s="1018">
        <v>16621400</v>
      </c>
      <c r="O9" s="1019">
        <f>D9-N9</f>
        <v>-3052018.5299999993</v>
      </c>
      <c r="P9" s="1020" t="s">
        <v>484</v>
      </c>
      <c r="Q9" s="1021" t="s">
        <v>532</v>
      </c>
      <c r="R9" s="1019" t="s">
        <v>533</v>
      </c>
      <c r="S9" s="1022" t="s">
        <v>534</v>
      </c>
      <c r="T9" s="1023"/>
      <c r="U9" s="1023"/>
      <c r="V9" s="1023"/>
      <c r="W9" s="1024"/>
    </row>
    <row r="10" spans="1:23" s="683" customFormat="1" ht="27.95" customHeight="1">
      <c r="A10" s="313">
        <v>2</v>
      </c>
      <c r="B10" s="313">
        <v>1500400050</v>
      </c>
      <c r="C10" s="314" t="s">
        <v>44</v>
      </c>
      <c r="D10" s="315">
        <f>+[4]จังหวัด!D36</f>
        <v>30907666.129999999</v>
      </c>
      <c r="E10" s="315">
        <f>+[4]จังหวัด!E36</f>
        <v>13219301.029999999</v>
      </c>
      <c r="F10" s="703">
        <f>+E10*100/D10</f>
        <v>42.770298392633762</v>
      </c>
      <c r="G10" s="315">
        <f>+[4]จังหวัด!G36</f>
        <v>292672</v>
      </c>
      <c r="H10" s="721">
        <f>+G10*100/D10</f>
        <v>0.94692364919757854</v>
      </c>
      <c r="I10" s="315">
        <f t="shared" si="0"/>
        <v>13511973.029999999</v>
      </c>
      <c r="J10" s="703">
        <f>+I10*100/D10</f>
        <v>43.717222041831342</v>
      </c>
      <c r="K10" s="722">
        <f>+D10-I10</f>
        <v>17395693.100000001</v>
      </c>
      <c r="L10" s="1025" t="e">
        <f>+J10-#REF!</f>
        <v>#REF!</v>
      </c>
      <c r="M10" s="1026">
        <v>1473777.42</v>
      </c>
      <c r="N10" s="1027">
        <v>6383387.1699999999</v>
      </c>
      <c r="O10" s="1028">
        <f>D10-N10</f>
        <v>24524278.960000001</v>
      </c>
      <c r="P10" s="1029" t="s">
        <v>535</v>
      </c>
      <c r="Q10" s="1030" t="s">
        <v>536</v>
      </c>
      <c r="R10" s="1028" t="s">
        <v>537</v>
      </c>
      <c r="S10" s="1028" t="s">
        <v>538</v>
      </c>
      <c r="T10" s="1031"/>
      <c r="U10" s="1031"/>
      <c r="V10" s="1031"/>
      <c r="W10" s="1028"/>
    </row>
    <row r="11" spans="1:23" s="683" customFormat="1" ht="27.95" customHeight="1">
      <c r="A11" s="313">
        <v>3</v>
      </c>
      <c r="B11" s="313">
        <v>1500400082</v>
      </c>
      <c r="C11" s="314" t="s">
        <v>65</v>
      </c>
      <c r="D11" s="315">
        <f>+[4]จังหวัด!D68</f>
        <v>5334245</v>
      </c>
      <c r="E11" s="315">
        <f>+[4]จังหวัด!E68</f>
        <v>1400291.01</v>
      </c>
      <c r="F11" s="703">
        <f>+E11*100/D11</f>
        <v>26.250969162458791</v>
      </c>
      <c r="G11" s="315">
        <f>+[4]จังหวัด!G68</f>
        <v>603525</v>
      </c>
      <c r="H11" s="721">
        <f>+G11*100/D11</f>
        <v>11.314159735820159</v>
      </c>
      <c r="I11" s="315">
        <f t="shared" si="0"/>
        <v>2003816.01</v>
      </c>
      <c r="J11" s="703">
        <f>+I11*100/D11</f>
        <v>37.56512889827895</v>
      </c>
      <c r="K11" s="722">
        <f>+D11-I11</f>
        <v>3330428.99</v>
      </c>
      <c r="L11" s="1025" t="e">
        <f>+J11-#REF!</f>
        <v>#REF!</v>
      </c>
      <c r="M11" s="1026">
        <v>11764.15</v>
      </c>
      <c r="N11" s="1018">
        <v>42938635.629999995</v>
      </c>
      <c r="O11" s="1028">
        <f>D11-N11</f>
        <v>-37604390.629999995</v>
      </c>
      <c r="P11" s="1029" t="s">
        <v>539</v>
      </c>
      <c r="Q11" s="1030" t="s">
        <v>540</v>
      </c>
      <c r="R11" s="1028" t="s">
        <v>541</v>
      </c>
      <c r="S11" s="1028" t="s">
        <v>542</v>
      </c>
      <c r="T11" s="1032"/>
      <c r="U11" s="1031"/>
      <c r="V11" s="1031"/>
      <c r="W11" s="1028"/>
    </row>
    <row r="12" spans="1:23" s="683" customFormat="1" ht="27.95" customHeight="1">
      <c r="A12" s="313">
        <v>4</v>
      </c>
      <c r="B12" s="313">
        <v>1500400068</v>
      </c>
      <c r="C12" s="314" t="s">
        <v>24</v>
      </c>
      <c r="D12" s="315">
        <f>+[4]จังหวัด!D54</f>
        <v>9596229.4499999993</v>
      </c>
      <c r="E12" s="315">
        <f>+[4]จังหวัด!E54</f>
        <v>2567222.4</v>
      </c>
      <c r="F12" s="703">
        <f>+E12*100/D12</f>
        <v>26.752407426022938</v>
      </c>
      <c r="G12" s="315">
        <f>+[4]จังหวัด!G54</f>
        <v>950000</v>
      </c>
      <c r="H12" s="721">
        <f>+G12*100/D12</f>
        <v>9.899721603676328</v>
      </c>
      <c r="I12" s="315">
        <f t="shared" si="0"/>
        <v>3517222.4</v>
      </c>
      <c r="J12" s="703">
        <f>+I12*100/D12</f>
        <v>36.652129029699267</v>
      </c>
      <c r="K12" s="722">
        <f>+D12-I12</f>
        <v>6079007.0499999989</v>
      </c>
      <c r="L12" s="1025" t="e">
        <f>+J12-#REF!</f>
        <v>#REF!</v>
      </c>
      <c r="M12" s="1026">
        <v>9205.16</v>
      </c>
      <c r="N12" s="1018">
        <v>66453622.18</v>
      </c>
      <c r="O12" s="1028">
        <f>D12-N12</f>
        <v>-56857392.730000004</v>
      </c>
      <c r="P12" s="1029" t="s">
        <v>535</v>
      </c>
      <c r="Q12" s="1030" t="s">
        <v>536</v>
      </c>
      <c r="R12" s="1028" t="s">
        <v>543</v>
      </c>
      <c r="S12" s="1028" t="s">
        <v>544</v>
      </c>
      <c r="T12" s="1031"/>
      <c r="U12" s="1031"/>
      <c r="V12" s="1031"/>
      <c r="W12" s="1028"/>
    </row>
    <row r="13" spans="1:23" s="683" customFormat="1" ht="27.95" customHeight="1">
      <c r="A13" s="313">
        <v>5</v>
      </c>
      <c r="B13" s="313">
        <v>1500400066</v>
      </c>
      <c r="C13" s="314" t="s">
        <v>54</v>
      </c>
      <c r="D13" s="315">
        <f>+[4]จังหวัด!D52</f>
        <v>11664070.210000001</v>
      </c>
      <c r="E13" s="315">
        <f>+[4]จังหวัด!E52</f>
        <v>2932144.89</v>
      </c>
      <c r="F13" s="703">
        <f>+E13*100/D13</f>
        <v>25.138265092799024</v>
      </c>
      <c r="G13" s="315">
        <f>+[4]จังหวัด!G52</f>
        <v>1247663</v>
      </c>
      <c r="H13" s="721">
        <f>+G13*100/D13</f>
        <v>10.696634858476216</v>
      </c>
      <c r="I13" s="315">
        <f t="shared" si="0"/>
        <v>4179807.89</v>
      </c>
      <c r="J13" s="703">
        <f>+I13*100/D13</f>
        <v>35.83489995127524</v>
      </c>
      <c r="K13" s="722">
        <f>+D13-I13</f>
        <v>7484262.3200000003</v>
      </c>
      <c r="L13" s="1025" t="e">
        <f>+J13-#REF!</f>
        <v>#REF!</v>
      </c>
      <c r="M13" s="1026">
        <v>142500</v>
      </c>
      <c r="N13" s="1018">
        <v>8234148.1699999999</v>
      </c>
      <c r="O13" s="1028">
        <f>D13-N13</f>
        <v>3429922.040000001</v>
      </c>
      <c r="P13" s="1029" t="s">
        <v>545</v>
      </c>
      <c r="Q13" s="1030" t="s">
        <v>546</v>
      </c>
      <c r="R13" s="1028" t="s">
        <v>547</v>
      </c>
      <c r="S13" s="1028" t="s">
        <v>548</v>
      </c>
      <c r="T13" s="1031"/>
      <c r="U13" s="1031"/>
      <c r="V13" s="1031"/>
      <c r="W13" s="1028"/>
    </row>
    <row r="14" spans="1:23" s="683" customFormat="1" ht="27.95" customHeight="1">
      <c r="A14" s="313">
        <v>6</v>
      </c>
      <c r="B14" s="313">
        <v>1500400024</v>
      </c>
      <c r="C14" s="314" t="s">
        <v>30</v>
      </c>
      <c r="D14" s="315">
        <f>+[4]จังหวัด!D10</f>
        <v>13266592.77</v>
      </c>
      <c r="E14" s="315">
        <f>+[4]จังหวัด!E10</f>
        <v>4729433.42</v>
      </c>
      <c r="F14" s="703">
        <f>+E14*100/D14</f>
        <v>35.64919419773522</v>
      </c>
      <c r="G14" s="315">
        <f>+[4]จังหวัด!G10</f>
        <v>0</v>
      </c>
      <c r="H14" s="723">
        <f>+G14*100/D14</f>
        <v>0</v>
      </c>
      <c r="I14" s="315">
        <f t="shared" si="0"/>
        <v>4729433.42</v>
      </c>
      <c r="J14" s="703">
        <f>+I14*100/D14</f>
        <v>35.64919419773522</v>
      </c>
      <c r="K14" s="722">
        <f>+D14-I14</f>
        <v>8537159.3499999996</v>
      </c>
      <c r="L14" s="1025" t="e">
        <f>+J14-#REF!</f>
        <v>#REF!</v>
      </c>
      <c r="M14" s="1026">
        <v>127424</v>
      </c>
      <c r="N14" s="1027">
        <v>11491601.68</v>
      </c>
      <c r="O14" s="1028">
        <f>D14-N14</f>
        <v>1774991.0899999999</v>
      </c>
      <c r="P14" s="1029" t="s">
        <v>475</v>
      </c>
      <c r="Q14" s="1030" t="s">
        <v>549</v>
      </c>
      <c r="R14" s="1028" t="s">
        <v>550</v>
      </c>
      <c r="S14" s="1028" t="s">
        <v>551</v>
      </c>
      <c r="T14" s="1031"/>
      <c r="U14" s="1031"/>
      <c r="V14" s="1031"/>
      <c r="W14" s="1028"/>
    </row>
    <row r="15" spans="1:23" s="683" customFormat="1" ht="27.95" customHeight="1">
      <c r="A15" s="313">
        <v>7</v>
      </c>
      <c r="B15" s="313">
        <v>1500400043</v>
      </c>
      <c r="C15" s="314" t="s">
        <v>40</v>
      </c>
      <c r="D15" s="315">
        <f>+[4]จังหวัด!D29</f>
        <v>23335872.449999999</v>
      </c>
      <c r="E15" s="315">
        <f>+[4]จังหวัด!E29</f>
        <v>6948626.75</v>
      </c>
      <c r="F15" s="703">
        <f>+E15*100/D15</f>
        <v>29.776588661462281</v>
      </c>
      <c r="G15" s="315">
        <f>+[4]จังหวัด!G29</f>
        <v>1226360</v>
      </c>
      <c r="H15" s="721">
        <f>+G15*100/D15</f>
        <v>5.2552566981484334</v>
      </c>
      <c r="I15" s="315">
        <f t="shared" si="0"/>
        <v>8174986.75</v>
      </c>
      <c r="J15" s="703">
        <f>+I15*100/D15</f>
        <v>35.031845359610713</v>
      </c>
      <c r="K15" s="722">
        <f>+D15-I15</f>
        <v>15160885.699999999</v>
      </c>
      <c r="L15" s="1025" t="e">
        <f>+J15-#REF!</f>
        <v>#REF!</v>
      </c>
      <c r="M15" s="1026">
        <v>3750</v>
      </c>
      <c r="N15" s="1027">
        <v>7428331.2400000002</v>
      </c>
      <c r="O15" s="1028">
        <f>D15-N15</f>
        <v>15907541.209999999</v>
      </c>
      <c r="P15" s="1029" t="s">
        <v>484</v>
      </c>
      <c r="Q15" s="1030" t="s">
        <v>532</v>
      </c>
      <c r="R15" s="1028" t="s">
        <v>552</v>
      </c>
      <c r="S15" s="1028" t="s">
        <v>553</v>
      </c>
      <c r="T15" s="1031"/>
      <c r="U15" s="1031"/>
      <c r="V15" s="1031"/>
      <c r="W15" s="1028"/>
    </row>
    <row r="16" spans="1:23" s="683" customFormat="1" ht="27.95" customHeight="1">
      <c r="A16" s="313">
        <v>8</v>
      </c>
      <c r="B16" s="313">
        <v>1500400097</v>
      </c>
      <c r="C16" s="314" t="s">
        <v>74</v>
      </c>
      <c r="D16" s="315">
        <f>+[4]จังหวัด!D83</f>
        <v>10262245</v>
      </c>
      <c r="E16" s="315">
        <f>+[4]จังหวัด!E83</f>
        <v>3135948.46</v>
      </c>
      <c r="F16" s="703">
        <f>+E16*100/D16</f>
        <v>30.558113356288025</v>
      </c>
      <c r="G16" s="315">
        <f>+[4]จังหวัด!G83</f>
        <v>410900</v>
      </c>
      <c r="H16" s="721">
        <f>+G16*100/D16</f>
        <v>4.0039971760565063</v>
      </c>
      <c r="I16" s="315">
        <f t="shared" si="0"/>
        <v>3546848.46</v>
      </c>
      <c r="J16" s="703">
        <f>+I16*100/D16</f>
        <v>34.562110532344533</v>
      </c>
      <c r="K16" s="722">
        <f>+D16-I16</f>
        <v>6715396.54</v>
      </c>
      <c r="L16" s="1025" t="e">
        <f>+J16-#REF!</f>
        <v>#REF!</v>
      </c>
      <c r="M16" s="1026">
        <v>317594</v>
      </c>
      <c r="N16" s="1018">
        <v>3547657.5700000003</v>
      </c>
      <c r="O16" s="1028">
        <f>D16-N16</f>
        <v>6714587.4299999997</v>
      </c>
      <c r="P16" s="1029" t="s">
        <v>545</v>
      </c>
      <c r="Q16" s="1030" t="s">
        <v>546</v>
      </c>
      <c r="R16" s="1028" t="s">
        <v>554</v>
      </c>
      <c r="S16" s="1028" t="s">
        <v>555</v>
      </c>
      <c r="T16" s="1031"/>
      <c r="U16" s="1031"/>
      <c r="V16" s="1031"/>
      <c r="W16" s="1028"/>
    </row>
    <row r="17" spans="1:26" s="683" customFormat="1" ht="27.95" customHeight="1">
      <c r="A17" s="313">
        <v>9</v>
      </c>
      <c r="B17" s="313">
        <v>1500400072</v>
      </c>
      <c r="C17" s="314" t="s">
        <v>59</v>
      </c>
      <c r="D17" s="315">
        <f>+[4]จังหวัด!D58</f>
        <v>11384060</v>
      </c>
      <c r="E17" s="315">
        <f>+[4]จังหวัด!E58</f>
        <v>3279507.09</v>
      </c>
      <c r="F17" s="703">
        <f>+E17*100/D17</f>
        <v>28.807886553654846</v>
      </c>
      <c r="G17" s="315">
        <f>+[4]จังหวัด!G58</f>
        <v>538265</v>
      </c>
      <c r="H17" s="721">
        <f>+G17*100/D17</f>
        <v>4.7282340395254421</v>
      </c>
      <c r="I17" s="315">
        <f t="shared" si="0"/>
        <v>3817772.09</v>
      </c>
      <c r="J17" s="703">
        <f>+I17*100/D17</f>
        <v>33.536120593180286</v>
      </c>
      <c r="K17" s="722">
        <f>+D17-I17</f>
        <v>7566287.9100000001</v>
      </c>
      <c r="L17" s="1025" t="e">
        <f>+J17-#REF!</f>
        <v>#REF!</v>
      </c>
      <c r="M17" s="1026">
        <v>236116</v>
      </c>
      <c r="N17" s="1018">
        <v>23884563.859999999</v>
      </c>
      <c r="O17" s="1028">
        <f>D17-N17</f>
        <v>-12500503.859999999</v>
      </c>
      <c r="P17" s="1029" t="s">
        <v>556</v>
      </c>
      <c r="Q17" s="1030" t="s">
        <v>549</v>
      </c>
      <c r="R17" s="1028" t="s">
        <v>557</v>
      </c>
      <c r="S17" s="1028" t="s">
        <v>558</v>
      </c>
      <c r="T17" s="1031"/>
      <c r="U17" s="1031"/>
      <c r="V17" s="1031"/>
      <c r="W17" s="1028"/>
    </row>
    <row r="18" spans="1:26" s="683" customFormat="1" ht="27.95" customHeight="1">
      <c r="A18" s="313">
        <v>10</v>
      </c>
      <c r="B18" s="313">
        <v>1500400079</v>
      </c>
      <c r="C18" s="314" t="s">
        <v>108</v>
      </c>
      <c r="D18" s="315">
        <f>+[4]จังหวัด!D65</f>
        <v>14707330</v>
      </c>
      <c r="E18" s="315">
        <f>+[4]จังหวัด!E65</f>
        <v>4273596.9800000004</v>
      </c>
      <c r="F18" s="703">
        <f>+E18*100/D18</f>
        <v>29.057599033951103</v>
      </c>
      <c r="G18" s="315">
        <f>+[4]จังหวัด!G65</f>
        <v>494365</v>
      </c>
      <c r="H18" s="721">
        <f>+G18*100/D18</f>
        <v>3.3613511085968697</v>
      </c>
      <c r="I18" s="315">
        <f t="shared" si="0"/>
        <v>4767961.9800000004</v>
      </c>
      <c r="J18" s="703">
        <f>+I18*100/D18</f>
        <v>32.41895014254797</v>
      </c>
      <c r="K18" s="722">
        <f>+D18-I18</f>
        <v>9939368.0199999996</v>
      </c>
      <c r="L18" s="1025" t="e">
        <f>+J18-#REF!</f>
        <v>#REF!</v>
      </c>
      <c r="M18" s="1026">
        <v>1200000</v>
      </c>
      <c r="N18" s="1018">
        <v>10989068.66</v>
      </c>
      <c r="O18" s="1028">
        <f>D18-N18</f>
        <v>3718261.34</v>
      </c>
      <c r="P18" s="1029" t="s">
        <v>559</v>
      </c>
      <c r="Q18" s="1030" t="s">
        <v>536</v>
      </c>
      <c r="R18" s="1028" t="s">
        <v>560</v>
      </c>
      <c r="S18" s="1028" t="s">
        <v>561</v>
      </c>
      <c r="T18" s="1031"/>
      <c r="U18" s="1031"/>
      <c r="V18" s="1031"/>
      <c r="W18" s="1028"/>
    </row>
    <row r="19" spans="1:26" s="683" customFormat="1" ht="27.95" customHeight="1">
      <c r="A19" s="313">
        <v>11</v>
      </c>
      <c r="B19" s="313">
        <v>1500400075</v>
      </c>
      <c r="C19" s="314" t="s">
        <v>62</v>
      </c>
      <c r="D19" s="315">
        <f>+[4]จังหวัด!D61</f>
        <v>12637100</v>
      </c>
      <c r="E19" s="315">
        <f>+[4]จังหวัด!E61</f>
        <v>3819463.7</v>
      </c>
      <c r="F19" s="703">
        <f>+E19*100/D19</f>
        <v>30.22421045967825</v>
      </c>
      <c r="G19" s="315">
        <f>+[4]จังหวัด!G61</f>
        <v>189860.42</v>
      </c>
      <c r="H19" s="721">
        <f>+G19*100/D19</f>
        <v>1.5024049821557162</v>
      </c>
      <c r="I19" s="315">
        <f t="shared" si="0"/>
        <v>4009324.12</v>
      </c>
      <c r="J19" s="703">
        <f>+I19*100/D19</f>
        <v>31.726615441833964</v>
      </c>
      <c r="K19" s="722">
        <f>+D19-I19</f>
        <v>8627775.879999999</v>
      </c>
      <c r="L19" s="1025" t="e">
        <f>+J19-#REF!</f>
        <v>#REF!</v>
      </c>
      <c r="M19" s="1026">
        <v>111105.16</v>
      </c>
      <c r="N19" s="1018">
        <v>5070995.71</v>
      </c>
      <c r="O19" s="1028">
        <f>D19-N19</f>
        <v>7566104.29</v>
      </c>
      <c r="P19" s="1029" t="s">
        <v>556</v>
      </c>
      <c r="Q19" s="1030" t="s">
        <v>549</v>
      </c>
      <c r="R19" s="1028" t="s">
        <v>562</v>
      </c>
      <c r="S19" s="1028" t="s">
        <v>563</v>
      </c>
      <c r="T19" s="1031"/>
      <c r="U19" s="1031"/>
      <c r="V19" s="1031"/>
      <c r="W19" s="1028"/>
    </row>
    <row r="20" spans="1:26" s="683" customFormat="1" ht="27.95" customHeight="1">
      <c r="A20" s="313">
        <v>12</v>
      </c>
      <c r="B20" s="313">
        <v>1500400087</v>
      </c>
      <c r="C20" s="314" t="s">
        <v>67</v>
      </c>
      <c r="D20" s="315">
        <f>+[4]จังหวัด!D73</f>
        <v>7777956.4699999997</v>
      </c>
      <c r="E20" s="315">
        <f>+[4]จังหวัด!E73</f>
        <v>1993541.5</v>
      </c>
      <c r="F20" s="703">
        <f>+E20*100/D20</f>
        <v>25.630659000075376</v>
      </c>
      <c r="G20" s="315">
        <f>+[4]จังหวัด!G73</f>
        <v>471000</v>
      </c>
      <c r="H20" s="721">
        <f>+G20*100/D20</f>
        <v>6.0555751606051356</v>
      </c>
      <c r="I20" s="315">
        <f t="shared" si="0"/>
        <v>2464541.5</v>
      </c>
      <c r="J20" s="703">
        <f>+I20*100/D20</f>
        <v>31.686234160680513</v>
      </c>
      <c r="K20" s="722">
        <f>+D20-I20</f>
        <v>5313414.97</v>
      </c>
      <c r="L20" s="1025" t="e">
        <f>+J20-#REF!</f>
        <v>#REF!</v>
      </c>
      <c r="M20" s="1026">
        <v>13765.16</v>
      </c>
      <c r="N20" s="1018">
        <v>17741010</v>
      </c>
      <c r="O20" s="1028">
        <f>D20-N20</f>
        <v>-9963053.5300000012</v>
      </c>
      <c r="P20" s="1029" t="s">
        <v>539</v>
      </c>
      <c r="Q20" s="1030" t="s">
        <v>540</v>
      </c>
      <c r="R20" s="1028" t="s">
        <v>564</v>
      </c>
      <c r="S20" s="1028" t="s">
        <v>565</v>
      </c>
      <c r="T20" s="1031"/>
      <c r="U20" s="1031"/>
      <c r="V20" s="1031"/>
      <c r="W20" s="1028"/>
    </row>
    <row r="21" spans="1:26" s="683" customFormat="1" ht="27.95" customHeight="1">
      <c r="A21" s="313">
        <v>13</v>
      </c>
      <c r="B21" s="313">
        <v>1500400090</v>
      </c>
      <c r="C21" s="314" t="s">
        <v>69</v>
      </c>
      <c r="D21" s="315">
        <f>+[4]จังหวัด!D76</f>
        <v>6511285</v>
      </c>
      <c r="E21" s="315">
        <f>+[4]จังหวัด!E76</f>
        <v>2048960.2</v>
      </c>
      <c r="F21" s="703">
        <f>+E21*100/D21</f>
        <v>31.467831618490052</v>
      </c>
      <c r="G21" s="315">
        <f>+[4]จังหวัด!G76</f>
        <v>0</v>
      </c>
      <c r="H21" s="723">
        <f>+G21*100/D21</f>
        <v>0</v>
      </c>
      <c r="I21" s="315">
        <f t="shared" si="0"/>
        <v>2048960.2</v>
      </c>
      <c r="J21" s="703">
        <f>+I21*100/D21</f>
        <v>31.467831618490052</v>
      </c>
      <c r="K21" s="722">
        <f>+D21-I21</f>
        <v>4462324.8</v>
      </c>
      <c r="L21" s="1025" t="e">
        <f>+J21-#REF!</f>
        <v>#REF!</v>
      </c>
      <c r="M21" s="1026">
        <v>167718.07999999999</v>
      </c>
      <c r="N21" s="1018">
        <v>14333297</v>
      </c>
      <c r="O21" s="1028">
        <f>D21-N21</f>
        <v>-7822012</v>
      </c>
      <c r="P21" s="1029" t="s">
        <v>480</v>
      </c>
      <c r="Q21" s="1030" t="s">
        <v>566</v>
      </c>
      <c r="R21" s="1028" t="s">
        <v>567</v>
      </c>
      <c r="S21" s="1028" t="s">
        <v>568</v>
      </c>
      <c r="T21" s="1031"/>
      <c r="U21" s="1031"/>
      <c r="V21" s="1031"/>
      <c r="W21" s="1028"/>
    </row>
    <row r="22" spans="1:26" s="683" customFormat="1" ht="27.95" customHeight="1">
      <c r="A22" s="313">
        <v>14</v>
      </c>
      <c r="B22" s="313">
        <v>1500400029</v>
      </c>
      <c r="C22" s="314" t="s">
        <v>93</v>
      </c>
      <c r="D22" s="315">
        <f>+[4]จังหวัด!D15</f>
        <v>14345164.779999999</v>
      </c>
      <c r="E22" s="315">
        <f>+[4]จังหวัด!E15</f>
        <v>4266979.67</v>
      </c>
      <c r="F22" s="703">
        <f>+E22*100/D22</f>
        <v>29.745072541439292</v>
      </c>
      <c r="G22" s="315">
        <f>+[4]จังหวัด!G15</f>
        <v>215560</v>
      </c>
      <c r="H22" s="721">
        <f>+G22*100/D22</f>
        <v>1.5026666009478911</v>
      </c>
      <c r="I22" s="315">
        <f t="shared" si="0"/>
        <v>4482539.67</v>
      </c>
      <c r="J22" s="703">
        <f>+I22*100/D22</f>
        <v>31.247739142387182</v>
      </c>
      <c r="K22" s="722">
        <f>+D22-I22</f>
        <v>9862625.1099999994</v>
      </c>
      <c r="L22" s="1025" t="e">
        <f>+J22-#REF!</f>
        <v>#REF!</v>
      </c>
      <c r="M22" s="1026">
        <v>7661</v>
      </c>
      <c r="N22" s="1018">
        <v>17459341.759999998</v>
      </c>
      <c r="O22" s="1028">
        <f>D22-N22</f>
        <v>-3114176.9799999986</v>
      </c>
      <c r="P22" s="1029" t="s">
        <v>559</v>
      </c>
      <c r="Q22" s="1030" t="s">
        <v>536</v>
      </c>
      <c r="R22" s="1028" t="s">
        <v>569</v>
      </c>
      <c r="S22" s="1028" t="s">
        <v>570</v>
      </c>
      <c r="T22" s="1032"/>
      <c r="U22" s="1031">
        <v>1495000</v>
      </c>
      <c r="V22" s="1031"/>
      <c r="W22" s="1028"/>
    </row>
    <row r="23" spans="1:26" s="683" customFormat="1" ht="27.95" customHeight="1">
      <c r="A23" s="313">
        <v>15</v>
      </c>
      <c r="B23" s="313">
        <v>1500400063</v>
      </c>
      <c r="C23" s="314" t="s">
        <v>52</v>
      </c>
      <c r="D23" s="315">
        <f>+[4]จังหวัด!D49</f>
        <v>10898868.82</v>
      </c>
      <c r="E23" s="315">
        <f>+[4]จังหวัด!E49</f>
        <v>3372722.34</v>
      </c>
      <c r="F23" s="703">
        <f>+E23*100/D23</f>
        <v>30.94561826279509</v>
      </c>
      <c r="G23" s="315">
        <f>+[4]จังหวัด!G49</f>
        <v>0</v>
      </c>
      <c r="H23" s="723">
        <f>+G23*100/D23</f>
        <v>0</v>
      </c>
      <c r="I23" s="315">
        <f t="shared" si="0"/>
        <v>3372722.34</v>
      </c>
      <c r="J23" s="703">
        <f>+I23*100/D23</f>
        <v>30.94561826279509</v>
      </c>
      <c r="K23" s="722">
        <f>+D23-I23</f>
        <v>7526146.4800000004</v>
      </c>
      <c r="L23" s="1025" t="e">
        <f>+J23-#REF!</f>
        <v>#REF!</v>
      </c>
      <c r="M23" s="1026">
        <v>127360</v>
      </c>
      <c r="N23" s="1018">
        <v>12676115</v>
      </c>
      <c r="O23" s="1028">
        <f>D23-N23</f>
        <v>-1777246.1799999997</v>
      </c>
      <c r="P23" s="1029" t="s">
        <v>545</v>
      </c>
      <c r="Q23" s="1030" t="s">
        <v>546</v>
      </c>
      <c r="R23" s="1028" t="s">
        <v>571</v>
      </c>
      <c r="S23" s="1028" t="s">
        <v>572</v>
      </c>
      <c r="T23" s="1031"/>
      <c r="U23" s="1031"/>
      <c r="V23" s="1031"/>
      <c r="W23" s="1028"/>
    </row>
    <row r="24" spans="1:26" s="683" customFormat="1" ht="27.95" customHeight="1">
      <c r="A24" s="313">
        <v>16</v>
      </c>
      <c r="B24" s="313">
        <v>1500400048</v>
      </c>
      <c r="C24" s="314" t="s">
        <v>43</v>
      </c>
      <c r="D24" s="315">
        <f>+[4]จังหวัด!D34</f>
        <v>10950240.42</v>
      </c>
      <c r="E24" s="315">
        <f>+[4]จังหวัด!E34</f>
        <v>3044216.06</v>
      </c>
      <c r="F24" s="703">
        <f>+E24*100/D24</f>
        <v>27.800449517436256</v>
      </c>
      <c r="G24" s="315">
        <f>+[4]จังหวัด!G34</f>
        <v>329400</v>
      </c>
      <c r="H24" s="721">
        <f>+G24*100/D24</f>
        <v>3.0081531305775657</v>
      </c>
      <c r="I24" s="315">
        <f t="shared" si="0"/>
        <v>3373616.06</v>
      </c>
      <c r="J24" s="703">
        <f>+I24*100/D24</f>
        <v>30.808602648013824</v>
      </c>
      <c r="K24" s="722">
        <f>+D24-I24</f>
        <v>7576624.3599999994</v>
      </c>
      <c r="L24" s="1025" t="e">
        <f>+J24-#REF!</f>
        <v>#REF!</v>
      </c>
      <c r="M24" s="1026">
        <v>1760</v>
      </c>
      <c r="N24" s="1027">
        <v>19965011.66</v>
      </c>
      <c r="O24" s="1028">
        <f>D24-N24</f>
        <v>-9014771.2400000002</v>
      </c>
      <c r="P24" s="1029" t="s">
        <v>535</v>
      </c>
      <c r="Q24" s="1030" t="s">
        <v>536</v>
      </c>
      <c r="R24" s="1028" t="s">
        <v>573</v>
      </c>
      <c r="S24" s="1028" t="s">
        <v>574</v>
      </c>
      <c r="T24" s="1031"/>
      <c r="U24" s="1032">
        <v>1840000</v>
      </c>
      <c r="V24" s="1031"/>
      <c r="W24" s="1028"/>
    </row>
    <row r="25" spans="1:26" s="683" customFormat="1" ht="27.95" customHeight="1">
      <c r="A25" s="313">
        <v>17</v>
      </c>
      <c r="B25" s="313">
        <v>1500400083</v>
      </c>
      <c r="C25" s="701" t="s">
        <v>109</v>
      </c>
      <c r="D25" s="315">
        <f>+[4]จังหวัด!D69</f>
        <v>10473295</v>
      </c>
      <c r="E25" s="315">
        <f>+[4]จังหวัด!E69</f>
        <v>3138958.72</v>
      </c>
      <c r="F25" s="703">
        <f>+E25*100/D25</f>
        <v>29.971071377250425</v>
      </c>
      <c r="G25" s="315">
        <f>+[4]จังหวัด!G69</f>
        <v>36800</v>
      </c>
      <c r="H25" s="721">
        <f>+G25*100/D25</f>
        <v>0.35136984110540187</v>
      </c>
      <c r="I25" s="315">
        <f t="shared" si="0"/>
        <v>3175758.72</v>
      </c>
      <c r="J25" s="703">
        <f>+I25*100/D25</f>
        <v>30.322441218355827</v>
      </c>
      <c r="K25" s="722">
        <f>+D25-I25</f>
        <v>7297536.2799999993</v>
      </c>
      <c r="L25" s="1025" t="e">
        <f>+J25-#REF!</f>
        <v>#REF!</v>
      </c>
      <c r="M25" s="1033">
        <v>8779.0300000000007</v>
      </c>
      <c r="N25" s="1018">
        <v>15771130.210000001</v>
      </c>
      <c r="O25" s="1028">
        <f>D25-N25</f>
        <v>-5297835.2100000009</v>
      </c>
      <c r="P25" s="1029" t="s">
        <v>479</v>
      </c>
      <c r="Q25" s="1030" t="s">
        <v>575</v>
      </c>
      <c r="R25" s="1028" t="s">
        <v>576</v>
      </c>
      <c r="S25" s="1028" t="s">
        <v>577</v>
      </c>
      <c r="T25" s="1031"/>
      <c r="U25" s="1031"/>
      <c r="V25" s="1031"/>
      <c r="W25" s="1028"/>
    </row>
    <row r="26" spans="1:26" s="683" customFormat="1" ht="27.95" customHeight="1">
      <c r="A26" s="709">
        <v>18</v>
      </c>
      <c r="B26" s="709">
        <v>1500400059</v>
      </c>
      <c r="C26" s="710" t="s">
        <v>51</v>
      </c>
      <c r="D26" s="711">
        <f>+[4]จังหวัด!D45</f>
        <v>10534158.4</v>
      </c>
      <c r="E26" s="711">
        <f>+[4]จังหวัด!E45</f>
        <v>2763138.8</v>
      </c>
      <c r="F26" s="712">
        <f>+E26*100/D26</f>
        <v>26.230275785486572</v>
      </c>
      <c r="G26" s="711">
        <f>+[4]จังหวัด!G45</f>
        <v>431000</v>
      </c>
      <c r="H26" s="714">
        <f>+G26*100/D26</f>
        <v>4.0914516721145944</v>
      </c>
      <c r="I26" s="711">
        <f t="shared" si="0"/>
        <v>3194138.8</v>
      </c>
      <c r="J26" s="712">
        <f>+I26*100/D26</f>
        <v>30.321727457601167</v>
      </c>
      <c r="K26" s="724">
        <f>+D26-I26</f>
        <v>7340019.6000000006</v>
      </c>
      <c r="L26" s="1034" t="e">
        <f>+J26-#REF!</f>
        <v>#REF!</v>
      </c>
      <c r="M26" s="1035">
        <v>50841.13</v>
      </c>
      <c r="N26" s="1036">
        <v>11578112</v>
      </c>
      <c r="O26" s="1037">
        <f>D26-N26</f>
        <v>-1043953.5999999996</v>
      </c>
      <c r="P26" s="1038" t="s">
        <v>578</v>
      </c>
      <c r="Q26" s="1039" t="s">
        <v>579</v>
      </c>
      <c r="R26" s="1037" t="s">
        <v>580</v>
      </c>
      <c r="S26" s="1037" t="s">
        <v>581</v>
      </c>
      <c r="T26" s="1040"/>
      <c r="U26" s="1040"/>
      <c r="V26" s="1040"/>
      <c r="W26" s="1037"/>
      <c r="X26" s="1041"/>
      <c r="Y26" s="1041"/>
      <c r="Z26" s="1041"/>
    </row>
    <row r="27" spans="1:26" s="683" customFormat="1" ht="27.95" customHeight="1">
      <c r="A27" s="725">
        <v>19</v>
      </c>
      <c r="B27" s="725">
        <v>1500400027</v>
      </c>
      <c r="C27" s="726" t="s">
        <v>18</v>
      </c>
      <c r="D27" s="727">
        <f>+[4]จังหวัด!D13</f>
        <v>17549590</v>
      </c>
      <c r="E27" s="727">
        <f>+[4]จังหวัด!E13</f>
        <v>5102659.46</v>
      </c>
      <c r="F27" s="728">
        <f>+E27*100/D27</f>
        <v>29.075661938541014</v>
      </c>
      <c r="G27" s="727">
        <f>+[4]จังหวัด!G13</f>
        <v>199000</v>
      </c>
      <c r="H27" s="729">
        <f>+G27*100/D27</f>
        <v>1.1339296245667279</v>
      </c>
      <c r="I27" s="727">
        <f t="shared" si="0"/>
        <v>5301659.46</v>
      </c>
      <c r="J27" s="728">
        <f>+I27*100/D27</f>
        <v>30.209591563107743</v>
      </c>
      <c r="K27" s="730">
        <f>+D27-I27</f>
        <v>12247930.539999999</v>
      </c>
      <c r="L27" s="1042" t="e">
        <f>+J27-#REF!</f>
        <v>#REF!</v>
      </c>
      <c r="M27" s="1043">
        <v>6975</v>
      </c>
      <c r="N27" s="1044">
        <v>16723245</v>
      </c>
      <c r="O27" s="1024">
        <f>D27-N27</f>
        <v>826345</v>
      </c>
      <c r="P27" s="1045" t="s">
        <v>482</v>
      </c>
      <c r="Q27" s="1046" t="s">
        <v>582</v>
      </c>
      <c r="R27" s="1024" t="s">
        <v>583</v>
      </c>
      <c r="S27" s="1024" t="s">
        <v>584</v>
      </c>
      <c r="T27" s="1047"/>
      <c r="U27" s="1047"/>
      <c r="V27" s="1047"/>
      <c r="W27" s="1024"/>
      <c r="X27" s="1048"/>
      <c r="Y27" s="1048"/>
      <c r="Z27" s="1048"/>
    </row>
    <row r="28" spans="1:26" s="683" customFormat="1" ht="27.95" customHeight="1">
      <c r="A28" s="313">
        <v>20</v>
      </c>
      <c r="B28" s="313">
        <v>1500400096</v>
      </c>
      <c r="C28" s="314" t="s">
        <v>112</v>
      </c>
      <c r="D28" s="315">
        <f>+[4]จังหวัด!D82</f>
        <v>14606285</v>
      </c>
      <c r="E28" s="315">
        <f>+[4]จังหวัด!E82</f>
        <v>4399386.3600000003</v>
      </c>
      <c r="F28" s="703">
        <f>+E28*100/D28</f>
        <v>30.119817325213088</v>
      </c>
      <c r="G28" s="315">
        <f>+[4]จังหวัด!G82</f>
        <v>0</v>
      </c>
      <c r="H28" s="723">
        <f>+G28*100/D28</f>
        <v>0</v>
      </c>
      <c r="I28" s="315">
        <f t="shared" si="0"/>
        <v>4399386.3600000003</v>
      </c>
      <c r="J28" s="703">
        <f>+I28*100/D28</f>
        <v>30.119817325213088</v>
      </c>
      <c r="K28" s="722">
        <f>+D28-I28</f>
        <v>10206898.640000001</v>
      </c>
      <c r="L28" s="1025" t="e">
        <f>+J28-#REF!</f>
        <v>#REF!</v>
      </c>
      <c r="M28" s="1026">
        <v>1000</v>
      </c>
      <c r="N28" s="1018">
        <v>8676486.4600000009</v>
      </c>
      <c r="O28" s="1028">
        <f>D28-N28</f>
        <v>5929798.5399999991</v>
      </c>
      <c r="P28" s="1029" t="s">
        <v>578</v>
      </c>
      <c r="Q28" s="1030" t="s">
        <v>579</v>
      </c>
      <c r="R28" s="1028" t="s">
        <v>585</v>
      </c>
      <c r="S28" s="1028" t="s">
        <v>586</v>
      </c>
      <c r="T28" s="1031"/>
      <c r="U28" s="1031"/>
      <c r="V28" s="1031"/>
      <c r="W28" s="1028"/>
    </row>
    <row r="29" spans="1:26" s="683" customFormat="1" ht="27.95" customHeight="1">
      <c r="A29" s="313">
        <v>21</v>
      </c>
      <c r="B29" s="313">
        <v>1500400053</v>
      </c>
      <c r="C29" s="314" t="s">
        <v>46</v>
      </c>
      <c r="D29" s="315">
        <f>+[4]จังหวัด!D39</f>
        <v>12363212</v>
      </c>
      <c r="E29" s="315">
        <f>+[4]จังหวัด!E39</f>
        <v>3608187.53</v>
      </c>
      <c r="F29" s="703">
        <f>+E29*100/D29</f>
        <v>29.184871455734967</v>
      </c>
      <c r="G29" s="315">
        <f>+[4]จังหวัด!G39</f>
        <v>0</v>
      </c>
      <c r="H29" s="723">
        <f>+G29*100/D29</f>
        <v>0</v>
      </c>
      <c r="I29" s="315">
        <f t="shared" si="0"/>
        <v>3608187.53</v>
      </c>
      <c r="J29" s="703">
        <f>+I29*100/D29</f>
        <v>29.184871455734967</v>
      </c>
      <c r="K29" s="722">
        <f>+D29-I29</f>
        <v>8755024.4700000007</v>
      </c>
      <c r="L29" s="1025" t="e">
        <f>+J29-#REF!</f>
        <v>#REF!</v>
      </c>
      <c r="M29" s="1026">
        <v>9720</v>
      </c>
      <c r="N29" s="1018">
        <v>25417628</v>
      </c>
      <c r="O29" s="1028">
        <f>D29-N29</f>
        <v>-13054416</v>
      </c>
      <c r="P29" s="1029" t="s">
        <v>473</v>
      </c>
      <c r="Q29" s="1030" t="s">
        <v>587</v>
      </c>
      <c r="R29" s="1028" t="s">
        <v>588</v>
      </c>
      <c r="S29" s="1028" t="s">
        <v>589</v>
      </c>
      <c r="T29" s="1031"/>
      <c r="U29" s="1032"/>
      <c r="V29" s="1032"/>
      <c r="W29" s="1049"/>
    </row>
    <row r="30" spans="1:26" s="683" customFormat="1" ht="27.95" customHeight="1">
      <c r="A30" s="313">
        <v>22</v>
      </c>
      <c r="B30" s="313">
        <v>1500400061</v>
      </c>
      <c r="C30" s="314" t="s">
        <v>22</v>
      </c>
      <c r="D30" s="315">
        <f>+[4]จังหวัด!D47</f>
        <v>10067590</v>
      </c>
      <c r="E30" s="315">
        <f>+[4]จังหวัด!E47</f>
        <v>2912252.79</v>
      </c>
      <c r="F30" s="703">
        <f>+E30*100/D30</f>
        <v>28.927010237802691</v>
      </c>
      <c r="G30" s="315">
        <f>+[4]จังหวัด!G47</f>
        <v>0</v>
      </c>
      <c r="H30" s="723">
        <f>+G30*100/D30</f>
        <v>0</v>
      </c>
      <c r="I30" s="315">
        <f t="shared" si="0"/>
        <v>2912252.79</v>
      </c>
      <c r="J30" s="703">
        <f>+I30*100/D30</f>
        <v>28.927010237802691</v>
      </c>
      <c r="K30" s="722">
        <f>+D30-I30</f>
        <v>7155337.21</v>
      </c>
      <c r="L30" s="1025" t="e">
        <f>+J30-#REF!</f>
        <v>#REF!</v>
      </c>
      <c r="M30" s="1026"/>
      <c r="N30" s="1018">
        <v>36139465</v>
      </c>
      <c r="O30" s="1028">
        <f>D30-N30</f>
        <v>-26071875</v>
      </c>
      <c r="P30" s="1029" t="s">
        <v>590</v>
      </c>
      <c r="Q30" s="1030" t="s">
        <v>591</v>
      </c>
      <c r="R30" s="1049" t="s">
        <v>592</v>
      </c>
      <c r="S30" s="1028" t="s">
        <v>593</v>
      </c>
      <c r="T30" s="1031"/>
      <c r="U30" s="1031"/>
      <c r="V30" s="1031"/>
      <c r="W30" s="1028"/>
    </row>
    <row r="31" spans="1:26" s="683" customFormat="1" ht="27.95" customHeight="1">
      <c r="A31" s="313">
        <v>23</v>
      </c>
      <c r="B31" s="313">
        <v>1500400062</v>
      </c>
      <c r="C31" s="314" t="s">
        <v>23</v>
      </c>
      <c r="D31" s="315">
        <f>+[4]จังหวัด!D48</f>
        <v>16588881.029999999</v>
      </c>
      <c r="E31" s="315">
        <f>+[4]จังหวัด!E48</f>
        <v>4373764.67</v>
      </c>
      <c r="F31" s="703">
        <f>+E31*100/D31</f>
        <v>26.365640106106664</v>
      </c>
      <c r="G31" s="315">
        <f>+[4]จังหวัด!G48</f>
        <v>370725</v>
      </c>
      <c r="H31" s="721">
        <f>+G31*100/D31</f>
        <v>2.2347800272336995</v>
      </c>
      <c r="I31" s="315">
        <f t="shared" si="0"/>
        <v>4744489.67</v>
      </c>
      <c r="J31" s="703">
        <f>+I31*100/D31</f>
        <v>28.600420133340364</v>
      </c>
      <c r="K31" s="722">
        <f>+D31-I31</f>
        <v>11844391.359999999</v>
      </c>
      <c r="L31" s="1025" t="e">
        <f>+J31-#REF!</f>
        <v>#REF!</v>
      </c>
      <c r="M31" s="1026">
        <v>14555</v>
      </c>
      <c r="N31" s="1018">
        <v>14373575</v>
      </c>
      <c r="O31" s="1028">
        <f>D31-N31</f>
        <v>2215306.0299999993</v>
      </c>
      <c r="P31" s="1029" t="s">
        <v>473</v>
      </c>
      <c r="Q31" s="1030" t="s">
        <v>587</v>
      </c>
      <c r="R31" s="1028" t="s">
        <v>594</v>
      </c>
      <c r="S31" s="1049" t="s">
        <v>595</v>
      </c>
      <c r="T31" s="1031"/>
      <c r="U31" s="1031"/>
      <c r="V31" s="1031"/>
      <c r="W31" s="1028"/>
    </row>
    <row r="32" spans="1:26" s="683" customFormat="1" ht="27.95" customHeight="1">
      <c r="A32" s="313">
        <v>24</v>
      </c>
      <c r="B32" s="313">
        <v>1500400073</v>
      </c>
      <c r="C32" s="314" t="s">
        <v>60</v>
      </c>
      <c r="D32" s="315">
        <f>+[4]จังหวัด!D59</f>
        <v>12160330</v>
      </c>
      <c r="E32" s="315">
        <f>+[4]จังหวัด!E59</f>
        <v>3270318.86</v>
      </c>
      <c r="F32" s="703">
        <f>+E32*100/D32</f>
        <v>26.893339736668331</v>
      </c>
      <c r="G32" s="315">
        <f>+[4]จังหวัด!G59</f>
        <v>193500</v>
      </c>
      <c r="H32" s="721">
        <f>+G32*100/D32</f>
        <v>1.5912397114223051</v>
      </c>
      <c r="I32" s="315">
        <f t="shared" si="0"/>
        <v>3463818.86</v>
      </c>
      <c r="J32" s="703">
        <f>+I32*100/D32</f>
        <v>28.484579448090635</v>
      </c>
      <c r="K32" s="722">
        <f>+D32-I32</f>
        <v>8696511.1400000006</v>
      </c>
      <c r="L32" s="1025" t="e">
        <f>+J32-#REF!</f>
        <v>#REF!</v>
      </c>
      <c r="M32" s="1026">
        <v>183560</v>
      </c>
      <c r="N32" s="1018">
        <v>8024535</v>
      </c>
      <c r="O32" s="1028">
        <f>D32-N32</f>
        <v>4135795</v>
      </c>
      <c r="P32" s="1029" t="s">
        <v>477</v>
      </c>
      <c r="Q32" s="1030" t="s">
        <v>546</v>
      </c>
      <c r="R32" s="1028" t="s">
        <v>596</v>
      </c>
      <c r="S32" s="1028" t="s">
        <v>597</v>
      </c>
      <c r="T32" s="1031"/>
      <c r="U32" s="1031"/>
      <c r="V32" s="1031"/>
      <c r="W32" s="1028"/>
    </row>
    <row r="33" spans="1:23" s="683" customFormat="1" ht="27.95" customHeight="1">
      <c r="A33" s="313">
        <v>25</v>
      </c>
      <c r="B33" s="317">
        <v>1500400065</v>
      </c>
      <c r="C33" s="318" t="s">
        <v>53</v>
      </c>
      <c r="D33" s="315">
        <f>+[4]จังหวัด!D51</f>
        <v>14344125</v>
      </c>
      <c r="E33" s="315">
        <f>+[4]จังหวัด!E51</f>
        <v>4020786.37</v>
      </c>
      <c r="F33" s="703">
        <f>+E33*100/D33</f>
        <v>28.030893275121347</v>
      </c>
      <c r="G33" s="315">
        <f>+[4]จังหวัด!G51</f>
        <v>0</v>
      </c>
      <c r="H33" s="723">
        <f>+G33*100/D33</f>
        <v>0</v>
      </c>
      <c r="I33" s="315">
        <f t="shared" si="0"/>
        <v>4020786.37</v>
      </c>
      <c r="J33" s="703">
        <f>+I33*100/D33</f>
        <v>28.030893275121347</v>
      </c>
      <c r="K33" s="722">
        <f>+D33-I33</f>
        <v>10323338.629999999</v>
      </c>
      <c r="L33" s="1025" t="e">
        <f>+J33-#REF!</f>
        <v>#REF!</v>
      </c>
      <c r="M33" s="1026">
        <v>152912.74</v>
      </c>
      <c r="N33" s="1018">
        <v>7556824.6600000001</v>
      </c>
      <c r="O33" s="1028">
        <f>D33-N33</f>
        <v>6787300.3399999999</v>
      </c>
      <c r="P33" s="1029" t="s">
        <v>598</v>
      </c>
      <c r="Q33" s="1030" t="s">
        <v>579</v>
      </c>
      <c r="R33" s="1028" t="s">
        <v>599</v>
      </c>
      <c r="S33" s="1028" t="s">
        <v>600</v>
      </c>
      <c r="T33" s="1031"/>
      <c r="U33" s="1031"/>
      <c r="V33" s="1031"/>
      <c r="W33" s="1028"/>
    </row>
    <row r="34" spans="1:23" s="683" customFormat="1" ht="27.95" customHeight="1">
      <c r="A34" s="313">
        <v>26</v>
      </c>
      <c r="B34" s="313">
        <v>1500400076</v>
      </c>
      <c r="C34" s="314" t="s">
        <v>63</v>
      </c>
      <c r="D34" s="315">
        <f>+[4]จังหวัด!D62</f>
        <v>16841479.030000001</v>
      </c>
      <c r="E34" s="315">
        <f>+[4]จังหวัด!E62</f>
        <v>3668771.81</v>
      </c>
      <c r="F34" s="703">
        <f>+E34*100/D34</f>
        <v>21.784142612799961</v>
      </c>
      <c r="G34" s="315">
        <f>+[4]จังหวัด!G62</f>
        <v>973165</v>
      </c>
      <c r="H34" s="721">
        <f>+G34*100/D34</f>
        <v>5.7783820427320265</v>
      </c>
      <c r="I34" s="315">
        <f t="shared" si="0"/>
        <v>4641936.8100000005</v>
      </c>
      <c r="J34" s="703">
        <f>+I34*100/D34</f>
        <v>27.562524655531991</v>
      </c>
      <c r="K34" s="722">
        <f>+D34-I34</f>
        <v>12199542.220000001</v>
      </c>
      <c r="L34" s="1025" t="e">
        <f>+J34-#REF!</f>
        <v>#REF!</v>
      </c>
      <c r="M34" s="1026">
        <v>176967.74</v>
      </c>
      <c r="N34" s="1018">
        <v>15460019.460000001</v>
      </c>
      <c r="O34" s="1028">
        <f>D34-N34</f>
        <v>1381459.5700000003</v>
      </c>
      <c r="P34" s="1029" t="s">
        <v>480</v>
      </c>
      <c r="Q34" s="1030" t="s">
        <v>566</v>
      </c>
      <c r="R34" s="1028" t="s">
        <v>601</v>
      </c>
      <c r="S34" s="1028" t="s">
        <v>602</v>
      </c>
      <c r="T34" s="1031"/>
      <c r="U34" s="1031"/>
      <c r="V34" s="1031"/>
      <c r="W34" s="1028"/>
    </row>
    <row r="35" spans="1:23" s="683" customFormat="1" ht="27.95" customHeight="1">
      <c r="A35" s="313">
        <v>27</v>
      </c>
      <c r="B35" s="313">
        <v>1500400078</v>
      </c>
      <c r="C35" s="314" t="s">
        <v>107</v>
      </c>
      <c r="D35" s="315">
        <f>+[4]จังหวัด!D64</f>
        <v>15302574.66</v>
      </c>
      <c r="E35" s="315">
        <f>+[4]จังหวัด!E64</f>
        <v>4008077.88</v>
      </c>
      <c r="F35" s="703">
        <f>+E35*100/D35</f>
        <v>26.192179872037297</v>
      </c>
      <c r="G35" s="315">
        <f>+[4]จังหวัด!G64</f>
        <v>205700</v>
      </c>
      <c r="H35" s="721">
        <f>+G35*100/D35</f>
        <v>1.3442182415073411</v>
      </c>
      <c r="I35" s="315">
        <f t="shared" si="0"/>
        <v>4213777.88</v>
      </c>
      <c r="J35" s="703">
        <f>+I35*100/D35</f>
        <v>27.536398113544639</v>
      </c>
      <c r="K35" s="722">
        <f>+D35-I35</f>
        <v>11088796.780000001</v>
      </c>
      <c r="L35" s="1025" t="e">
        <f>+J35-#REF!</f>
        <v>#REF!</v>
      </c>
      <c r="M35" s="1026">
        <v>1516.2</v>
      </c>
      <c r="N35" s="1018">
        <v>12720018.440000001</v>
      </c>
      <c r="O35" s="1028">
        <f>D35-N35</f>
        <v>2582556.2199999988</v>
      </c>
      <c r="P35" s="1029" t="s">
        <v>603</v>
      </c>
      <c r="Q35" s="1049" t="s">
        <v>591</v>
      </c>
      <c r="R35" s="1028" t="s">
        <v>604</v>
      </c>
      <c r="S35" s="1028" t="s">
        <v>605</v>
      </c>
      <c r="T35" s="1031"/>
      <c r="U35" s="1031"/>
      <c r="V35" s="1031"/>
      <c r="W35" s="1028"/>
    </row>
    <row r="36" spans="1:23" s="683" customFormat="1" ht="27.95" customHeight="1">
      <c r="A36" s="313">
        <v>28</v>
      </c>
      <c r="B36" s="313">
        <v>1500400047</v>
      </c>
      <c r="C36" s="314" t="s">
        <v>100</v>
      </c>
      <c r="D36" s="315">
        <f>+[4]จังหวัด!D33</f>
        <v>22431920.210000001</v>
      </c>
      <c r="E36" s="315">
        <f>+[4]จังหวัด!E33</f>
        <v>5611719.6699999999</v>
      </c>
      <c r="F36" s="703">
        <f>+E36*100/D36</f>
        <v>25.016670964701152</v>
      </c>
      <c r="G36" s="315">
        <f>+[4]จังหวัด!G33</f>
        <v>497515</v>
      </c>
      <c r="H36" s="721">
        <f>+G36*100/D36</f>
        <v>2.217888595102131</v>
      </c>
      <c r="I36" s="315">
        <f t="shared" si="0"/>
        <v>6109234.6699999999</v>
      </c>
      <c r="J36" s="703">
        <f>+I36*100/D36</f>
        <v>27.234559559803284</v>
      </c>
      <c r="K36" s="722">
        <f>+D36-I36</f>
        <v>16322685.540000001</v>
      </c>
      <c r="L36" s="1025" t="e">
        <f>+J36-#REF!</f>
        <v>#REF!</v>
      </c>
      <c r="M36" s="1026">
        <v>1254337.74</v>
      </c>
      <c r="N36" s="1018">
        <v>20167827</v>
      </c>
      <c r="O36" s="1028">
        <f>D36-N36</f>
        <v>2264093.2100000009</v>
      </c>
      <c r="P36" s="1029" t="s">
        <v>535</v>
      </c>
      <c r="Q36" s="1030" t="s">
        <v>536</v>
      </c>
      <c r="R36" s="1028" t="s">
        <v>606</v>
      </c>
      <c r="S36" s="1028" t="s">
        <v>607</v>
      </c>
      <c r="T36" s="1031"/>
      <c r="U36" s="1031"/>
      <c r="V36" s="1031"/>
      <c r="W36" s="1028"/>
    </row>
    <row r="37" spans="1:23" s="683" customFormat="1" ht="27.95" customHeight="1">
      <c r="A37" s="313">
        <v>29</v>
      </c>
      <c r="B37" s="313">
        <v>1500400077</v>
      </c>
      <c r="C37" s="314" t="s">
        <v>106</v>
      </c>
      <c r="D37" s="315">
        <f>+[4]จังหวัด!D63</f>
        <v>12184861.470000001</v>
      </c>
      <c r="E37" s="315">
        <f>+[4]จังหวัด!E63</f>
        <v>2899891.73</v>
      </c>
      <c r="F37" s="703">
        <f>+E37*100/D37</f>
        <v>23.799135814056982</v>
      </c>
      <c r="G37" s="315">
        <f>+[4]จังหวัด!G63</f>
        <v>400405</v>
      </c>
      <c r="H37" s="721">
        <f>+G37*100/D37</f>
        <v>3.2860857793568332</v>
      </c>
      <c r="I37" s="315">
        <f t="shared" si="0"/>
        <v>3300296.73</v>
      </c>
      <c r="J37" s="703">
        <f>+I37*100/D37</f>
        <v>27.085221593413813</v>
      </c>
      <c r="K37" s="722">
        <f>+D37-I37</f>
        <v>8884564.7400000002</v>
      </c>
      <c r="L37" s="1025" t="e">
        <f>+J37-#REF!</f>
        <v>#REF!</v>
      </c>
      <c r="M37" s="1026">
        <v>77637.210000000006</v>
      </c>
      <c r="N37" s="1018">
        <v>59536245.269999996</v>
      </c>
      <c r="O37" s="1028">
        <f>D37-N37</f>
        <v>-47351383.799999997</v>
      </c>
      <c r="P37" s="1029" t="s">
        <v>545</v>
      </c>
      <c r="Q37" s="1030" t="s">
        <v>546</v>
      </c>
      <c r="R37" s="1028" t="s">
        <v>608</v>
      </c>
      <c r="S37" s="1028" t="s">
        <v>609</v>
      </c>
      <c r="T37" s="1031"/>
      <c r="U37" s="1031"/>
      <c r="V37" s="1031"/>
      <c r="W37" s="1028"/>
    </row>
    <row r="38" spans="1:23" s="683" customFormat="1" ht="27.95" customHeight="1">
      <c r="A38" s="313">
        <v>30</v>
      </c>
      <c r="B38" s="313">
        <v>1500400044</v>
      </c>
      <c r="C38" s="314" t="s">
        <v>41</v>
      </c>
      <c r="D38" s="315">
        <f>+[4]จังหวัด!D30</f>
        <v>27248240.289999999</v>
      </c>
      <c r="E38" s="315">
        <f>+[4]จังหวัด!E30</f>
        <v>7304893.7199999997</v>
      </c>
      <c r="F38" s="703">
        <f>+E38*100/D38</f>
        <v>26.808680642327086</v>
      </c>
      <c r="G38" s="315">
        <f>+[4]จังหวัด!G30</f>
        <v>57000</v>
      </c>
      <c r="H38" s="721">
        <f>+G38*100/D38</f>
        <v>0.20918782054677779</v>
      </c>
      <c r="I38" s="315">
        <f t="shared" si="0"/>
        <v>7361893.7199999997</v>
      </c>
      <c r="J38" s="703">
        <f>+I38*100/D38</f>
        <v>27.017868462873864</v>
      </c>
      <c r="K38" s="722">
        <f>+D38-I38</f>
        <v>19886346.57</v>
      </c>
      <c r="L38" s="1025" t="e">
        <f>+J38-#REF!</f>
        <v>#REF!</v>
      </c>
      <c r="M38" s="1026">
        <v>13633</v>
      </c>
      <c r="N38" s="1018">
        <v>8371261.4399999995</v>
      </c>
      <c r="O38" s="1028">
        <f>D38-N38</f>
        <v>18876978.850000001</v>
      </c>
      <c r="P38" s="1029" t="s">
        <v>480</v>
      </c>
      <c r="Q38" s="1030" t="s">
        <v>566</v>
      </c>
      <c r="R38" s="1028" t="s">
        <v>610</v>
      </c>
      <c r="S38" s="1028" t="s">
        <v>611</v>
      </c>
      <c r="T38" s="1031"/>
      <c r="U38" s="1031"/>
      <c r="V38" s="1031"/>
      <c r="W38" s="1028"/>
    </row>
    <row r="39" spans="1:23" s="683" customFormat="1" ht="27.95" customHeight="1">
      <c r="A39" s="313">
        <v>31</v>
      </c>
      <c r="B39" s="313">
        <v>1500400056</v>
      </c>
      <c r="C39" s="314" t="s">
        <v>49</v>
      </c>
      <c r="D39" s="315">
        <f>+[4]จังหวัด!D42</f>
        <v>20586291.969999999</v>
      </c>
      <c r="E39" s="315">
        <f>+[4]จังหวัด!E42</f>
        <v>5561468.8399999999</v>
      </c>
      <c r="F39" s="703">
        <f>+E39*100/D39</f>
        <v>27.015398635677663</v>
      </c>
      <c r="G39" s="315">
        <f>+[4]จังหวัด!G42</f>
        <v>0</v>
      </c>
      <c r="H39" s="723">
        <f>+G39*100/D39</f>
        <v>0</v>
      </c>
      <c r="I39" s="315">
        <f t="shared" si="0"/>
        <v>5561468.8399999999</v>
      </c>
      <c r="J39" s="703">
        <f>+I39*100/D39</f>
        <v>27.015398635677663</v>
      </c>
      <c r="K39" s="722">
        <f>+D39-I39</f>
        <v>15024823.129999999</v>
      </c>
      <c r="L39" s="1025" t="e">
        <f>+J39-#REF!</f>
        <v>#REF!</v>
      </c>
      <c r="M39" s="1026">
        <v>72519.460000000006</v>
      </c>
      <c r="N39" s="1027">
        <v>15747874.359999999</v>
      </c>
      <c r="O39" s="1028">
        <f>D39-N39</f>
        <v>4838417.6099999994</v>
      </c>
      <c r="P39" s="1029" t="s">
        <v>612</v>
      </c>
      <c r="Q39" s="1049" t="s">
        <v>566</v>
      </c>
      <c r="R39" s="1028" t="s">
        <v>613</v>
      </c>
      <c r="S39" s="1028" t="s">
        <v>614</v>
      </c>
      <c r="T39" s="1031"/>
      <c r="U39" s="1031"/>
      <c r="V39" s="1031"/>
      <c r="W39" s="1028"/>
    </row>
    <row r="40" spans="1:23" s="683" customFormat="1" ht="27.95" customHeight="1">
      <c r="A40" s="313">
        <v>32</v>
      </c>
      <c r="B40" s="313">
        <v>1500400032</v>
      </c>
      <c r="C40" s="314" t="s">
        <v>95</v>
      </c>
      <c r="D40" s="315">
        <f>+[4]จังหวัด!D18</f>
        <v>14068519.24</v>
      </c>
      <c r="E40" s="315">
        <f>+[4]จังหวัด!E18</f>
        <v>3627177.75</v>
      </c>
      <c r="F40" s="703">
        <f>+E40*100/D40</f>
        <v>25.782228307916789</v>
      </c>
      <c r="G40" s="315">
        <f>+[4]จังหวัด!G18</f>
        <v>144000</v>
      </c>
      <c r="H40" s="721">
        <f>+G40*100/D40</f>
        <v>1.023561879849979</v>
      </c>
      <c r="I40" s="315">
        <f t="shared" si="0"/>
        <v>3771177.75</v>
      </c>
      <c r="J40" s="703">
        <f>+I40*100/D40</f>
        <v>26.805790187766767</v>
      </c>
      <c r="K40" s="722">
        <f>+D40-I40</f>
        <v>10297341.49</v>
      </c>
      <c r="L40" s="1050" t="e">
        <f>+J40-#REF!</f>
        <v>#REF!</v>
      </c>
      <c r="M40" s="1026">
        <v>41644.71</v>
      </c>
      <c r="N40" s="1018">
        <v>18764261.129999999</v>
      </c>
      <c r="O40" s="1028">
        <f>D40-N40</f>
        <v>-4695741.8899999987</v>
      </c>
      <c r="P40" s="1029" t="s">
        <v>479</v>
      </c>
      <c r="Q40" s="1049" t="s">
        <v>575</v>
      </c>
      <c r="R40" s="1049" t="s">
        <v>615</v>
      </c>
      <c r="S40" s="1028" t="s">
        <v>616</v>
      </c>
      <c r="T40" s="1031"/>
      <c r="U40" s="1031"/>
      <c r="V40" s="1031"/>
      <c r="W40" s="1028"/>
    </row>
    <row r="41" spans="1:23" s="683" customFormat="1" ht="27.95" customHeight="1">
      <c r="A41" s="313">
        <v>33</v>
      </c>
      <c r="B41" s="313">
        <v>1500400092</v>
      </c>
      <c r="C41" s="314" t="s">
        <v>71</v>
      </c>
      <c r="D41" s="315">
        <f>+[4]จังหวัด!D78</f>
        <v>19142470</v>
      </c>
      <c r="E41" s="315">
        <f>+[4]จังหวัด!E78</f>
        <v>4776783.51</v>
      </c>
      <c r="F41" s="703">
        <f>+E41*100/D41</f>
        <v>24.953851357740145</v>
      </c>
      <c r="G41" s="315">
        <f>+[4]จังหวัด!G78</f>
        <v>344980</v>
      </c>
      <c r="H41" s="721">
        <f>+G41*100/D41</f>
        <v>1.8021707752447829</v>
      </c>
      <c r="I41" s="315">
        <f t="shared" si="0"/>
        <v>5121763.51</v>
      </c>
      <c r="J41" s="703">
        <f>+I41*100/D41</f>
        <v>26.756022132984928</v>
      </c>
      <c r="K41" s="722">
        <f>+D41-I41</f>
        <v>14020706.49</v>
      </c>
      <c r="L41" s="1025" t="e">
        <f>+J41-#REF!</f>
        <v>#REF!</v>
      </c>
      <c r="M41" s="1026">
        <v>833712.71</v>
      </c>
      <c r="N41" s="1018">
        <v>21679558</v>
      </c>
      <c r="O41" s="1028">
        <f>D41-N41</f>
        <v>-2537088</v>
      </c>
      <c r="P41" s="1029" t="s">
        <v>612</v>
      </c>
      <c r="Q41" s="1049" t="s">
        <v>566</v>
      </c>
      <c r="R41" s="1028" t="s">
        <v>617</v>
      </c>
      <c r="S41" s="1049" t="s">
        <v>618</v>
      </c>
      <c r="T41" s="1031"/>
      <c r="U41" s="1031"/>
      <c r="V41" s="1031"/>
      <c r="W41" s="1028"/>
    </row>
    <row r="42" spans="1:23" s="683" customFormat="1" ht="27.95" customHeight="1">
      <c r="A42" s="313">
        <v>34</v>
      </c>
      <c r="B42" s="313">
        <v>1500400091</v>
      </c>
      <c r="C42" s="314" t="s">
        <v>70</v>
      </c>
      <c r="D42" s="315">
        <f>+[4]จังหวัด!D77</f>
        <v>10034663.4</v>
      </c>
      <c r="E42" s="315">
        <f>+[4]จังหวัด!E77</f>
        <v>2681373.52</v>
      </c>
      <c r="F42" s="703">
        <f>+E42*100/D42</f>
        <v>26.721110744980244</v>
      </c>
      <c r="G42" s="315">
        <f>+[4]จังหวัด!G77</f>
        <v>0</v>
      </c>
      <c r="H42" s="723">
        <f>+G42*100/D42</f>
        <v>0</v>
      </c>
      <c r="I42" s="315">
        <f t="shared" si="0"/>
        <v>2681373.52</v>
      </c>
      <c r="J42" s="703">
        <f>+I42*100/D42</f>
        <v>26.721110744980244</v>
      </c>
      <c r="K42" s="722">
        <f>+D42-I42</f>
        <v>7353289.8800000008</v>
      </c>
      <c r="L42" s="1025" t="e">
        <f>+J42-#REF!</f>
        <v>#REF!</v>
      </c>
      <c r="M42" s="1026">
        <v>233994.6</v>
      </c>
      <c r="N42" s="1018">
        <v>12824116.66</v>
      </c>
      <c r="O42" s="1028">
        <f>D42-N42</f>
        <v>-2789453.26</v>
      </c>
      <c r="P42" s="1029" t="s">
        <v>484</v>
      </c>
      <c r="Q42" s="1030" t="s">
        <v>532</v>
      </c>
      <c r="R42" s="1028" t="s">
        <v>619</v>
      </c>
      <c r="S42" s="1028" t="s">
        <v>620</v>
      </c>
      <c r="T42" s="1031"/>
      <c r="U42" s="1031"/>
      <c r="V42" s="1031"/>
      <c r="W42" s="1028"/>
    </row>
    <row r="43" spans="1:23" s="683" customFormat="1" ht="27.95" customHeight="1">
      <c r="A43" s="313">
        <v>35</v>
      </c>
      <c r="B43" s="313">
        <v>1500400067</v>
      </c>
      <c r="C43" s="314" t="s">
        <v>55</v>
      </c>
      <c r="D43" s="315">
        <f>+[4]จังหวัด!D53</f>
        <v>21652670</v>
      </c>
      <c r="E43" s="315">
        <f>+[4]จังหวัด!E53</f>
        <v>4657411.79</v>
      </c>
      <c r="F43" s="703">
        <f>+E43*100/D43</f>
        <v>21.509641951777773</v>
      </c>
      <c r="G43" s="315">
        <f>+[4]จังหวัด!G53</f>
        <v>1069280</v>
      </c>
      <c r="H43" s="721">
        <f>+G43*100/D43</f>
        <v>4.9383286218281626</v>
      </c>
      <c r="I43" s="315">
        <f t="shared" si="0"/>
        <v>5726691.79</v>
      </c>
      <c r="J43" s="703">
        <f>+I43*100/D43</f>
        <v>26.447970573605932</v>
      </c>
      <c r="K43" s="722">
        <f>+D43-I43</f>
        <v>15925978.210000001</v>
      </c>
      <c r="L43" s="1025" t="e">
        <f>+J43-#REF!</f>
        <v>#REF!</v>
      </c>
      <c r="M43" s="1033">
        <v>432829.47</v>
      </c>
      <c r="N43" s="1018">
        <v>34776798.049999997</v>
      </c>
      <c r="O43" s="1028">
        <f>D43-N43</f>
        <v>-13124128.049999997</v>
      </c>
      <c r="P43" s="1029" t="s">
        <v>482</v>
      </c>
      <c r="Q43" s="1030" t="s">
        <v>582</v>
      </c>
      <c r="R43" s="1028" t="s">
        <v>621</v>
      </c>
      <c r="S43" s="1028" t="s">
        <v>622</v>
      </c>
      <c r="T43" s="1031"/>
      <c r="U43" s="1031"/>
      <c r="V43" s="1031"/>
      <c r="W43" s="1028"/>
    </row>
    <row r="44" spans="1:23" s="683" customFormat="1" ht="27.95" customHeight="1">
      <c r="A44" s="313">
        <v>36</v>
      </c>
      <c r="B44" s="313">
        <v>1500400036</v>
      </c>
      <c r="C44" s="314" t="s">
        <v>34</v>
      </c>
      <c r="D44" s="315">
        <f>+[4]จังหวัด!D22</f>
        <v>7654913.6100000003</v>
      </c>
      <c r="E44" s="315">
        <f>+[4]จังหวัด!E22</f>
        <v>2017234.15</v>
      </c>
      <c r="F44" s="703">
        <f>+E44*100/D44</f>
        <v>26.35214781999349</v>
      </c>
      <c r="G44" s="315">
        <f>+[4]จังหวัด!G22</f>
        <v>0</v>
      </c>
      <c r="H44" s="723">
        <f>+G44*100/D44</f>
        <v>0</v>
      </c>
      <c r="I44" s="315">
        <f t="shared" si="0"/>
        <v>2017234.15</v>
      </c>
      <c r="J44" s="703">
        <f>+I44*100/D44</f>
        <v>26.35214781999349</v>
      </c>
      <c r="K44" s="722">
        <f>+D44-I44</f>
        <v>5637679.4600000009</v>
      </c>
      <c r="L44" s="1025" t="e">
        <f>+J44-#REF!</f>
        <v>#REF!</v>
      </c>
      <c r="M44" s="1033"/>
      <c r="N44" s="1027">
        <v>15254078.42</v>
      </c>
      <c r="O44" s="1028">
        <f>D44-N44</f>
        <v>-7599164.8099999996</v>
      </c>
      <c r="P44" s="1029" t="s">
        <v>482</v>
      </c>
      <c r="Q44" s="1030" t="s">
        <v>582</v>
      </c>
      <c r="R44" s="1028" t="s">
        <v>623</v>
      </c>
      <c r="S44" s="1028" t="s">
        <v>624</v>
      </c>
      <c r="T44" s="1031"/>
      <c r="U44" s="1031"/>
      <c r="V44" s="1031"/>
      <c r="W44" s="1028"/>
    </row>
    <row r="45" spans="1:23" s="683" customFormat="1" ht="27.95" customHeight="1">
      <c r="A45" s="313">
        <v>37</v>
      </c>
      <c r="B45" s="313">
        <v>1500400035</v>
      </c>
      <c r="C45" s="314" t="s">
        <v>97</v>
      </c>
      <c r="D45" s="315">
        <f>+[4]จังหวัด!D21</f>
        <v>11250349.24</v>
      </c>
      <c r="E45" s="315">
        <f>+[4]จังหวัด!E21</f>
        <v>2572518.61</v>
      </c>
      <c r="F45" s="703">
        <f>+E45*100/D45</f>
        <v>22.866122243152692</v>
      </c>
      <c r="G45" s="315">
        <f>+[4]จังหวัด!G21</f>
        <v>323295</v>
      </c>
      <c r="H45" s="721">
        <f>+G45*100/D45</f>
        <v>2.8736441252022855</v>
      </c>
      <c r="I45" s="315">
        <f t="shared" si="0"/>
        <v>2895813.61</v>
      </c>
      <c r="J45" s="703">
        <f>+I45*100/D45</f>
        <v>25.739766368354978</v>
      </c>
      <c r="K45" s="722">
        <f>+D45-I45</f>
        <v>8354535.6300000008</v>
      </c>
      <c r="L45" s="1025" t="e">
        <f>+J45-#REF!</f>
        <v>#REF!</v>
      </c>
      <c r="M45" s="1033"/>
      <c r="N45" s="1018">
        <v>8396302</v>
      </c>
      <c r="O45" s="1028">
        <f>D45-N45</f>
        <v>2854047.24</v>
      </c>
      <c r="P45" s="1029" t="s">
        <v>475</v>
      </c>
      <c r="Q45" s="1030" t="s">
        <v>549</v>
      </c>
      <c r="R45" s="1028" t="s">
        <v>625</v>
      </c>
      <c r="S45" s="1028" t="s">
        <v>626</v>
      </c>
      <c r="T45" s="1031"/>
      <c r="U45" s="1031"/>
      <c r="V45" s="1031"/>
      <c r="W45" s="1028"/>
    </row>
    <row r="46" spans="1:23" s="683" customFormat="1" ht="27.95" customHeight="1">
      <c r="A46" s="313">
        <v>38</v>
      </c>
      <c r="B46" s="313">
        <v>1500400052</v>
      </c>
      <c r="C46" s="314" t="s">
        <v>45</v>
      </c>
      <c r="D46" s="315">
        <f>+[4]จังหวัด!D38</f>
        <v>16909570.84</v>
      </c>
      <c r="E46" s="315">
        <f>+[4]จังหวัด!E38</f>
        <v>4323573.54</v>
      </c>
      <c r="F46" s="703">
        <f>+E46*100/D46</f>
        <v>25.568795216094319</v>
      </c>
      <c r="G46" s="315">
        <f>+[4]จังหวัด!G38</f>
        <v>0</v>
      </c>
      <c r="H46" s="723">
        <f>+G46*100/D46</f>
        <v>0</v>
      </c>
      <c r="I46" s="315">
        <f t="shared" si="0"/>
        <v>4323573.54</v>
      </c>
      <c r="J46" s="703">
        <f>+I46*100/D46</f>
        <v>25.568795216094319</v>
      </c>
      <c r="K46" s="722">
        <f>+D46-I46</f>
        <v>12585997.300000001</v>
      </c>
      <c r="L46" s="1025" t="e">
        <f>+J46-#REF!</f>
        <v>#REF!</v>
      </c>
      <c r="M46" s="1026">
        <v>42840</v>
      </c>
      <c r="N46" s="1018">
        <v>11146492.399999999</v>
      </c>
      <c r="O46" s="1028">
        <f>D46-N46</f>
        <v>5763078.4400000013</v>
      </c>
      <c r="P46" s="1029" t="s">
        <v>477</v>
      </c>
      <c r="Q46" s="1030" t="s">
        <v>546</v>
      </c>
      <c r="R46" s="1028" t="s">
        <v>627</v>
      </c>
      <c r="S46" s="1028" t="s">
        <v>628</v>
      </c>
      <c r="T46" s="1031"/>
      <c r="U46" s="1031"/>
      <c r="V46" s="1031"/>
      <c r="W46" s="1028"/>
    </row>
    <row r="47" spans="1:23" s="683" customFormat="1" ht="27.95" customHeight="1">
      <c r="A47" s="313">
        <v>39</v>
      </c>
      <c r="B47" s="313">
        <v>1500400094</v>
      </c>
      <c r="C47" s="314" t="s">
        <v>26</v>
      </c>
      <c r="D47" s="315">
        <f>+[4]จังหวัด!D80</f>
        <v>12419845</v>
      </c>
      <c r="E47" s="315">
        <f>+[4]จังหวัด!E80</f>
        <v>3087029.75</v>
      </c>
      <c r="F47" s="703">
        <f>+E47*100/D47</f>
        <v>24.855622191742327</v>
      </c>
      <c r="G47" s="315">
        <f>+[4]จังหวัด!G80</f>
        <v>84000</v>
      </c>
      <c r="H47" s="721">
        <f>+G47*100/D47</f>
        <v>0.67633694301337899</v>
      </c>
      <c r="I47" s="315">
        <f t="shared" si="0"/>
        <v>3171029.75</v>
      </c>
      <c r="J47" s="703">
        <f>+I47*100/D47</f>
        <v>25.531959134755706</v>
      </c>
      <c r="K47" s="722">
        <f>+D47-I47</f>
        <v>9248815.25</v>
      </c>
      <c r="L47" s="1025" t="e">
        <f>+J47-#REF!</f>
        <v>#REF!</v>
      </c>
      <c r="M47" s="1026"/>
      <c r="N47" s="1027">
        <v>4336830</v>
      </c>
      <c r="O47" s="1028">
        <f>D47-N47</f>
        <v>8083015</v>
      </c>
      <c r="P47" s="1029" t="s">
        <v>482</v>
      </c>
      <c r="Q47" s="1030" t="s">
        <v>582</v>
      </c>
      <c r="R47" s="1028" t="s">
        <v>629</v>
      </c>
      <c r="S47" s="1028" t="s">
        <v>630</v>
      </c>
      <c r="T47" s="1031"/>
      <c r="U47" s="1031"/>
      <c r="V47" s="1031"/>
      <c r="W47" s="1028"/>
    </row>
    <row r="48" spans="1:23" s="683" customFormat="1" ht="27.95" customHeight="1">
      <c r="A48" s="709">
        <v>40</v>
      </c>
      <c r="B48" s="709">
        <v>1500400039</v>
      </c>
      <c r="C48" s="710" t="s">
        <v>36</v>
      </c>
      <c r="D48" s="711">
        <f>+[4]จังหวัด!D25</f>
        <v>6950840</v>
      </c>
      <c r="E48" s="711">
        <f>+[4]จังหวัด!E25</f>
        <v>1758952.53</v>
      </c>
      <c r="F48" s="712">
        <f>+E48*100/D48</f>
        <v>25.305610976515069</v>
      </c>
      <c r="G48" s="711">
        <f>+[4]จังหวัด!G25</f>
        <v>0</v>
      </c>
      <c r="H48" s="731">
        <f>+G48*100/D48</f>
        <v>0</v>
      </c>
      <c r="I48" s="711">
        <f t="shared" si="0"/>
        <v>1758952.53</v>
      </c>
      <c r="J48" s="712">
        <f>+I48*100/D48</f>
        <v>25.305610976515069</v>
      </c>
      <c r="K48" s="724">
        <f>+D48-I48</f>
        <v>5191887.47</v>
      </c>
      <c r="L48" s="1025" t="e">
        <f>+J48-#REF!</f>
        <v>#REF!</v>
      </c>
      <c r="M48" s="1026">
        <v>187617.27</v>
      </c>
      <c r="N48" s="1018">
        <v>15738978.560000001</v>
      </c>
      <c r="O48" s="1028">
        <f>D48-N48</f>
        <v>-8788138.5600000005</v>
      </c>
      <c r="P48" s="1029" t="s">
        <v>477</v>
      </c>
      <c r="Q48" s="1030" t="s">
        <v>546</v>
      </c>
      <c r="R48" s="1028" t="s">
        <v>631</v>
      </c>
      <c r="S48" s="1028" t="s">
        <v>632</v>
      </c>
      <c r="T48" s="1031"/>
      <c r="U48" s="1051"/>
      <c r="V48" s="1031"/>
      <c r="W48" s="1028"/>
    </row>
    <row r="49" spans="1:23" s="683" customFormat="1" ht="27.95" customHeight="1">
      <c r="A49" s="725">
        <v>41</v>
      </c>
      <c r="B49" s="725">
        <v>1500400030</v>
      </c>
      <c r="C49" s="726" t="s">
        <v>94</v>
      </c>
      <c r="D49" s="727">
        <f>+[4]จังหวัด!D16</f>
        <v>7289275</v>
      </c>
      <c r="E49" s="727">
        <f>+[4]จังหวัด!E16</f>
        <v>1641896.67</v>
      </c>
      <c r="F49" s="728">
        <f>+E49*100/D49</f>
        <v>22.524828189360395</v>
      </c>
      <c r="G49" s="727">
        <f>+[4]จังหวัด!G16</f>
        <v>199000</v>
      </c>
      <c r="H49" s="729">
        <f>+G49*100/D49</f>
        <v>2.7300383097084415</v>
      </c>
      <c r="I49" s="727">
        <f t="shared" si="0"/>
        <v>1840896.67</v>
      </c>
      <c r="J49" s="728">
        <f>+I49*100/D49</f>
        <v>25.254866499068836</v>
      </c>
      <c r="K49" s="730">
        <f>+D49-I49</f>
        <v>5448378.3300000001</v>
      </c>
      <c r="L49" s="1025" t="e">
        <f>+J49-#REF!</f>
        <v>#REF!</v>
      </c>
      <c r="M49" s="1026">
        <v>6907.11</v>
      </c>
      <c r="N49" s="1018">
        <v>10877080</v>
      </c>
      <c r="O49" s="1028">
        <f>D49-N49</f>
        <v>-3587805</v>
      </c>
      <c r="P49" s="1029" t="s">
        <v>603</v>
      </c>
      <c r="Q49" s="1030" t="s">
        <v>591</v>
      </c>
      <c r="R49" s="1028" t="s">
        <v>633</v>
      </c>
      <c r="S49" s="1028" t="s">
        <v>634</v>
      </c>
      <c r="T49" s="1031"/>
      <c r="U49" s="1031"/>
      <c r="V49" s="1031"/>
      <c r="W49" s="1028"/>
    </row>
    <row r="50" spans="1:23" s="683" customFormat="1" ht="27.95" customHeight="1">
      <c r="A50" s="313">
        <v>42</v>
      </c>
      <c r="B50" s="313">
        <v>1500400040</v>
      </c>
      <c r="C50" s="314" t="s">
        <v>37</v>
      </c>
      <c r="D50" s="315">
        <f>+[4]จังหวัด!D26</f>
        <v>11747215</v>
      </c>
      <c r="E50" s="315">
        <f>+[4]จังหวัด!E26</f>
        <v>2824748.57</v>
      </c>
      <c r="F50" s="703">
        <f>+E50*100/D50</f>
        <v>24.046112802055635</v>
      </c>
      <c r="G50" s="315">
        <f>+[4]จังหวัด!G26</f>
        <v>105500</v>
      </c>
      <c r="H50" s="721">
        <f>+G50*100/D50</f>
        <v>0.89808520572748518</v>
      </c>
      <c r="I50" s="315">
        <f t="shared" si="0"/>
        <v>2930248.57</v>
      </c>
      <c r="J50" s="703">
        <f>+I50*100/D50</f>
        <v>24.944198007783122</v>
      </c>
      <c r="K50" s="722">
        <f>+D50-I50</f>
        <v>8816966.4299999997</v>
      </c>
      <c r="L50" s="1025" t="e">
        <f>+J50-#REF!</f>
        <v>#REF!</v>
      </c>
      <c r="M50" s="1026">
        <v>50618.9</v>
      </c>
      <c r="N50" s="1018">
        <v>3803275.2</v>
      </c>
      <c r="O50" s="1028">
        <f>D50-N50</f>
        <v>7943939.7999999998</v>
      </c>
      <c r="P50" s="1029" t="s">
        <v>590</v>
      </c>
      <c r="Q50" s="1030" t="s">
        <v>591</v>
      </c>
      <c r="R50" s="1028" t="s">
        <v>635</v>
      </c>
      <c r="S50" s="1028" t="s">
        <v>636</v>
      </c>
      <c r="T50" s="1031"/>
      <c r="U50" s="1031"/>
      <c r="V50" s="1031"/>
      <c r="W50" s="1028"/>
    </row>
    <row r="51" spans="1:23" s="683" customFormat="1" ht="27.95" customHeight="1">
      <c r="A51" s="313">
        <v>43</v>
      </c>
      <c r="B51" s="313">
        <v>1500400084</v>
      </c>
      <c r="C51" s="314" t="s">
        <v>19</v>
      </c>
      <c r="D51" s="315">
        <f>+[4]จังหวัด!D70</f>
        <v>10133674.66</v>
      </c>
      <c r="E51" s="315">
        <f>+[4]จังหวัด!E70</f>
        <v>2487007.2400000002</v>
      </c>
      <c r="F51" s="703">
        <f>+E51*100/D51</f>
        <v>24.542007943246919</v>
      </c>
      <c r="G51" s="315">
        <f>+[4]จังหวัด!G70</f>
        <v>19200</v>
      </c>
      <c r="H51" s="721">
        <f>+G51*100/D51</f>
        <v>0.18946730227867806</v>
      </c>
      <c r="I51" s="315">
        <f t="shared" si="0"/>
        <v>2506207.2400000002</v>
      </c>
      <c r="J51" s="703">
        <f>+I51*100/D51</f>
        <v>24.731475245525598</v>
      </c>
      <c r="K51" s="722">
        <f>+D51-I51</f>
        <v>7627467.4199999999</v>
      </c>
      <c r="L51" s="1025" t="e">
        <f>+J51-#REF!</f>
        <v>#REF!</v>
      </c>
      <c r="M51" s="1026">
        <v>2008.07</v>
      </c>
      <c r="N51" s="1018">
        <v>15443460</v>
      </c>
      <c r="O51" s="1028">
        <f>D51-N51</f>
        <v>-5309785.34</v>
      </c>
      <c r="P51" s="1029" t="s">
        <v>473</v>
      </c>
      <c r="Q51" s="1030" t="s">
        <v>587</v>
      </c>
      <c r="R51" s="1028" t="s">
        <v>637</v>
      </c>
      <c r="S51" s="1028" t="s">
        <v>638</v>
      </c>
      <c r="T51" s="1031"/>
      <c r="U51" s="1032"/>
      <c r="V51" s="1032"/>
      <c r="W51" s="1049"/>
    </row>
    <row r="52" spans="1:23" s="683" customFormat="1" ht="27.95" customHeight="1">
      <c r="A52" s="313">
        <v>44</v>
      </c>
      <c r="B52" s="313">
        <v>1500400034</v>
      </c>
      <c r="C52" s="314" t="s">
        <v>33</v>
      </c>
      <c r="D52" s="315">
        <f>+[4]จังหวัด!D20</f>
        <v>10952538.82</v>
      </c>
      <c r="E52" s="315">
        <f>+[4]จังหวัด!E20</f>
        <v>2708391.97</v>
      </c>
      <c r="F52" s="703">
        <f>+E52*100/D52</f>
        <v>24.728439812094635</v>
      </c>
      <c r="G52" s="315">
        <f>+[4]จังหวัด!G20</f>
        <v>0</v>
      </c>
      <c r="H52" s="723">
        <f>+G52*100/D52</f>
        <v>0</v>
      </c>
      <c r="I52" s="315">
        <f t="shared" si="0"/>
        <v>2708391.97</v>
      </c>
      <c r="J52" s="703">
        <f>+I52*100/D52</f>
        <v>24.728439812094635</v>
      </c>
      <c r="K52" s="722">
        <f>+D52-I52</f>
        <v>8244146.8499999996</v>
      </c>
      <c r="L52" s="1025" t="e">
        <f>+J52-#REF!</f>
        <v>#REF!</v>
      </c>
      <c r="M52" s="1026">
        <v>166146.76999999999</v>
      </c>
      <c r="N52" s="1018">
        <v>17856469</v>
      </c>
      <c r="O52" s="1028">
        <f>D52-N52</f>
        <v>-6903930.1799999997</v>
      </c>
      <c r="P52" s="1029">
        <v>3</v>
      </c>
      <c r="Q52" s="1030" t="s">
        <v>546</v>
      </c>
      <c r="R52" s="1028" t="s">
        <v>639</v>
      </c>
      <c r="S52" s="1049" t="s">
        <v>640</v>
      </c>
      <c r="T52" s="1031"/>
      <c r="U52" s="1032"/>
      <c r="V52" s="1032"/>
      <c r="W52" s="1049"/>
    </row>
    <row r="53" spans="1:23" s="683" customFormat="1" ht="27.95" customHeight="1">
      <c r="A53" s="313">
        <v>45</v>
      </c>
      <c r="B53" s="313">
        <v>1500400085</v>
      </c>
      <c r="C53" s="314" t="s">
        <v>66</v>
      </c>
      <c r="D53" s="315">
        <f>+[4]จังหวัด!D71</f>
        <v>25597167.739999998</v>
      </c>
      <c r="E53" s="315">
        <f>+[4]จังหวัด!E71</f>
        <v>5844433.8899999997</v>
      </c>
      <c r="F53" s="703">
        <f>+E53*100/D53</f>
        <v>22.832345942973458</v>
      </c>
      <c r="G53" s="315">
        <f>+[4]จังหวัด!G71</f>
        <v>466120</v>
      </c>
      <c r="H53" s="721">
        <f>+G53*100/D53</f>
        <v>1.8209827147071702</v>
      </c>
      <c r="I53" s="315">
        <f t="shared" si="0"/>
        <v>6310553.8899999997</v>
      </c>
      <c r="J53" s="703">
        <f>+I53*100/D53</f>
        <v>24.653328657680628</v>
      </c>
      <c r="K53" s="722">
        <f>+D53-I53</f>
        <v>19286613.849999998</v>
      </c>
      <c r="L53" s="1025" t="e">
        <f>+J53-#REF!</f>
        <v>#REF!</v>
      </c>
      <c r="M53" s="1026">
        <v>17108</v>
      </c>
      <c r="N53" s="1018">
        <v>12409691</v>
      </c>
      <c r="O53" s="1028">
        <f>D53-N53</f>
        <v>13187476.739999998</v>
      </c>
      <c r="P53" s="1029" t="s">
        <v>484</v>
      </c>
      <c r="Q53" s="1030" t="s">
        <v>532</v>
      </c>
      <c r="R53" s="1028" t="s">
        <v>641</v>
      </c>
      <c r="S53" s="1028" t="s">
        <v>642</v>
      </c>
      <c r="T53" s="1031"/>
      <c r="U53" s="1031"/>
      <c r="V53" s="1031"/>
      <c r="W53" s="1028"/>
    </row>
    <row r="54" spans="1:23" s="683" customFormat="1" ht="27.95" customHeight="1">
      <c r="A54" s="313">
        <v>46</v>
      </c>
      <c r="B54" s="313">
        <v>1500400088</v>
      </c>
      <c r="C54" s="314" t="s">
        <v>68</v>
      </c>
      <c r="D54" s="315">
        <f>+[4]จังหวัด!D74</f>
        <v>6077600</v>
      </c>
      <c r="E54" s="315">
        <f>+[4]จังหวัด!E74</f>
        <v>1492730.63</v>
      </c>
      <c r="F54" s="703">
        <f>+E54*100/D54</f>
        <v>24.561185829932867</v>
      </c>
      <c r="G54" s="315">
        <f>+[4]จังหวัด!G74</f>
        <v>0</v>
      </c>
      <c r="H54" s="723">
        <f>+G54*100/D54</f>
        <v>0</v>
      </c>
      <c r="I54" s="315">
        <f t="shared" si="0"/>
        <v>1492730.63</v>
      </c>
      <c r="J54" s="703">
        <f>+I54*100/D54</f>
        <v>24.561185829932867</v>
      </c>
      <c r="K54" s="722">
        <f>+D54-I54</f>
        <v>4584869.37</v>
      </c>
      <c r="L54" s="1025" t="e">
        <f>+J54-#REF!</f>
        <v>#REF!</v>
      </c>
      <c r="M54" s="1026">
        <v>3135.16</v>
      </c>
      <c r="N54" s="1018">
        <v>13472250</v>
      </c>
      <c r="O54" s="1028">
        <f>D54-N54</f>
        <v>-7394650</v>
      </c>
      <c r="P54" s="1029" t="s">
        <v>598</v>
      </c>
      <c r="Q54" s="1030" t="s">
        <v>579</v>
      </c>
      <c r="R54" s="1028" t="s">
        <v>643</v>
      </c>
      <c r="S54" s="1028" t="s">
        <v>644</v>
      </c>
      <c r="T54" s="1031"/>
      <c r="U54" s="1051"/>
      <c r="V54" s="1031"/>
      <c r="W54" s="1028"/>
    </row>
    <row r="55" spans="1:23" s="683" customFormat="1" ht="27.95" customHeight="1">
      <c r="A55" s="313">
        <v>47</v>
      </c>
      <c r="B55" s="313">
        <v>1500400086</v>
      </c>
      <c r="C55" s="314" t="s">
        <v>110</v>
      </c>
      <c r="D55" s="315">
        <f>+[4]จังหวัด!D72</f>
        <v>9955480</v>
      </c>
      <c r="E55" s="315">
        <f>+[4]จังหวัด!E72</f>
        <v>2407362.7599999998</v>
      </c>
      <c r="F55" s="703">
        <f>+E55*100/D55</f>
        <v>24.181282670448834</v>
      </c>
      <c r="G55" s="315">
        <f>+[4]จังหวัด!G72</f>
        <v>13960</v>
      </c>
      <c r="H55" s="721">
        <f>+G55*100/D55</f>
        <v>0.14022427848782781</v>
      </c>
      <c r="I55" s="315">
        <f t="shared" si="0"/>
        <v>2421322.7599999998</v>
      </c>
      <c r="J55" s="703">
        <f>+I55*100/D55</f>
        <v>24.321506948936662</v>
      </c>
      <c r="K55" s="722">
        <f>+D55-I55</f>
        <v>7534157.2400000002</v>
      </c>
      <c r="L55" s="1025" t="e">
        <f>+J55-#REF!</f>
        <v>#REF!</v>
      </c>
      <c r="M55" s="1026">
        <v>540554.91</v>
      </c>
      <c r="N55" s="1018">
        <v>17787825.100000001</v>
      </c>
      <c r="O55" s="1028">
        <f>D55-N55</f>
        <v>-7832345.1000000015</v>
      </c>
      <c r="P55" s="1029" t="s">
        <v>598</v>
      </c>
      <c r="Q55" s="1030" t="s">
        <v>579</v>
      </c>
      <c r="R55" s="1028" t="s">
        <v>645</v>
      </c>
      <c r="S55" s="1028" t="s">
        <v>646</v>
      </c>
      <c r="T55" s="1031"/>
      <c r="U55" s="1031"/>
      <c r="V55" s="1031"/>
      <c r="W55" s="1028"/>
    </row>
    <row r="56" spans="1:23" s="683" customFormat="1" ht="27.95" customHeight="1">
      <c r="A56" s="313">
        <v>48</v>
      </c>
      <c r="B56" s="313">
        <v>1500400042</v>
      </c>
      <c r="C56" s="314" t="s">
        <v>39</v>
      </c>
      <c r="D56" s="315">
        <f>+[4]จังหวัด!D28</f>
        <v>28788310.710000001</v>
      </c>
      <c r="E56" s="315">
        <f>+[4]จังหวัด!E28</f>
        <v>6403697.9699999997</v>
      </c>
      <c r="F56" s="703">
        <f>+E56*100/D56</f>
        <v>22.244090785693761</v>
      </c>
      <c r="G56" s="315">
        <f>+[4]จังหวัด!G28</f>
        <v>434760</v>
      </c>
      <c r="H56" s="721">
        <f>+G56*100/D56</f>
        <v>1.5101962889714831</v>
      </c>
      <c r="I56" s="315">
        <f t="shared" si="0"/>
        <v>6838457.9699999997</v>
      </c>
      <c r="J56" s="703">
        <f>+I56*100/D56</f>
        <v>23.754287074665243</v>
      </c>
      <c r="K56" s="722">
        <f>+D56-I56</f>
        <v>21949852.740000002</v>
      </c>
      <c r="L56" s="1025" t="e">
        <f>+J56-#REF!</f>
        <v>#REF!</v>
      </c>
      <c r="M56" s="1026">
        <v>10797.1</v>
      </c>
      <c r="N56" s="1018">
        <v>75385180.210000008</v>
      </c>
      <c r="O56" s="1028">
        <f>D56-N56</f>
        <v>-46596869.500000007</v>
      </c>
      <c r="P56" s="1029" t="s">
        <v>578</v>
      </c>
      <c r="Q56" s="1030" t="s">
        <v>579</v>
      </c>
      <c r="R56" s="1049" t="s">
        <v>647</v>
      </c>
      <c r="S56" s="1028" t="s">
        <v>648</v>
      </c>
      <c r="T56" s="1031"/>
      <c r="U56" s="1031"/>
      <c r="V56" s="1031"/>
      <c r="W56" s="1028"/>
    </row>
    <row r="57" spans="1:23" s="683" customFormat="1" ht="27.95" customHeight="1">
      <c r="A57" s="313">
        <v>49</v>
      </c>
      <c r="B57" s="313">
        <v>1500400033</v>
      </c>
      <c r="C57" s="314" t="s">
        <v>96</v>
      </c>
      <c r="D57" s="315">
        <f>+[4]จังหวัด!D19</f>
        <v>16142401.59</v>
      </c>
      <c r="E57" s="315">
        <f>+[4]จังหวัด!E19</f>
        <v>3816222.76</v>
      </c>
      <c r="F57" s="703">
        <f>+E57*100/D57</f>
        <v>23.64098513299346</v>
      </c>
      <c r="G57" s="315">
        <f>+[4]จังหวัด!G19</f>
        <v>0</v>
      </c>
      <c r="H57" s="723">
        <f>+G57*100/D57</f>
        <v>0</v>
      </c>
      <c r="I57" s="315">
        <f t="shared" si="0"/>
        <v>3816222.76</v>
      </c>
      <c r="J57" s="703">
        <f>+I57*100/D57</f>
        <v>23.64098513299346</v>
      </c>
      <c r="K57" s="722">
        <f>+D57-I57</f>
        <v>12326178.83</v>
      </c>
      <c r="L57" s="1025" t="e">
        <f>+J57-#REF!</f>
        <v>#REF!</v>
      </c>
      <c r="M57" s="1026">
        <v>14126.84</v>
      </c>
      <c r="N57" s="1018">
        <v>17142595</v>
      </c>
      <c r="O57" s="1028">
        <f>D57-N57</f>
        <v>-1000193.4100000001</v>
      </c>
      <c r="P57" s="1029" t="s">
        <v>603</v>
      </c>
      <c r="Q57" s="1030" t="s">
        <v>591</v>
      </c>
      <c r="R57" s="1028" t="s">
        <v>649</v>
      </c>
      <c r="S57" s="1028" t="s">
        <v>650</v>
      </c>
      <c r="T57" s="1031"/>
      <c r="U57" s="1031"/>
      <c r="V57" s="1031"/>
      <c r="W57" s="1028"/>
    </row>
    <row r="58" spans="1:23" s="683" customFormat="1" ht="27.95" customHeight="1">
      <c r="A58" s="313">
        <v>50</v>
      </c>
      <c r="B58" s="313">
        <v>1500400054</v>
      </c>
      <c r="C58" s="314" t="s">
        <v>47</v>
      </c>
      <c r="D58" s="315">
        <f>+[4]จังหวัด!D40</f>
        <v>19859409.030000001</v>
      </c>
      <c r="E58" s="315">
        <f>+[4]จังหวัด!E40</f>
        <v>4640258.16</v>
      </c>
      <c r="F58" s="703">
        <f>+E58*100/D58</f>
        <v>23.365539996635036</v>
      </c>
      <c r="G58" s="315">
        <f>+[4]จังหวัด!G40</f>
        <v>40760</v>
      </c>
      <c r="H58" s="721">
        <f>+G58*100/D58</f>
        <v>0.20524276396355587</v>
      </c>
      <c r="I58" s="315">
        <f t="shared" si="0"/>
        <v>4681018.16</v>
      </c>
      <c r="J58" s="703">
        <f>+I58*100/D58</f>
        <v>23.57078276059859</v>
      </c>
      <c r="K58" s="722">
        <f>+D58-I58</f>
        <v>15178390.870000001</v>
      </c>
      <c r="L58" s="1025" t="e">
        <f>+J58-#REF!</f>
        <v>#REF!</v>
      </c>
      <c r="M58" s="1026">
        <v>7100</v>
      </c>
      <c r="N58" s="1027">
        <v>15204530</v>
      </c>
      <c r="O58" s="1028">
        <f>D58-N58</f>
        <v>4654879.0300000012</v>
      </c>
      <c r="P58" s="1029" t="s">
        <v>612</v>
      </c>
      <c r="Q58" s="1030" t="s">
        <v>566</v>
      </c>
      <c r="R58" s="1049" t="s">
        <v>651</v>
      </c>
      <c r="S58" s="1028" t="s">
        <v>652</v>
      </c>
      <c r="T58" s="1031"/>
      <c r="U58" s="1031"/>
      <c r="V58" s="1031"/>
      <c r="W58" s="1028"/>
    </row>
    <row r="59" spans="1:23" s="683" customFormat="1" ht="27.95" customHeight="1">
      <c r="A59" s="313">
        <v>51</v>
      </c>
      <c r="B59" s="313">
        <v>1500400055</v>
      </c>
      <c r="C59" s="314" t="s">
        <v>48</v>
      </c>
      <c r="D59" s="315">
        <f>+[4]จังหวัด!D41</f>
        <v>27088660</v>
      </c>
      <c r="E59" s="315">
        <f>+[4]จังหวัด!E41</f>
        <v>6051982.7599999998</v>
      </c>
      <c r="F59" s="703">
        <f>+E59*100/D59</f>
        <v>22.341388462921383</v>
      </c>
      <c r="G59" s="315">
        <f>+[4]จังหวัด!G41</f>
        <v>275480</v>
      </c>
      <c r="H59" s="721">
        <f>+G59*100/D59</f>
        <v>1.0169569111207419</v>
      </c>
      <c r="I59" s="315">
        <f t="shared" si="0"/>
        <v>6327462.7599999998</v>
      </c>
      <c r="J59" s="703">
        <f>+I59*100/D59</f>
        <v>23.358345374042127</v>
      </c>
      <c r="K59" s="722">
        <f>+D59-I59</f>
        <v>20761197.240000002</v>
      </c>
      <c r="L59" s="1025" t="e">
        <f>+J59-#REF!</f>
        <v>#REF!</v>
      </c>
      <c r="M59" s="1026">
        <v>14554.84</v>
      </c>
      <c r="N59" s="1027">
        <v>8984188.6999999993</v>
      </c>
      <c r="O59" s="1028">
        <f>D59-N59</f>
        <v>18104471.300000001</v>
      </c>
      <c r="P59" s="1029" t="s">
        <v>559</v>
      </c>
      <c r="Q59" s="1030" t="s">
        <v>536</v>
      </c>
      <c r="R59" s="1028" t="s">
        <v>653</v>
      </c>
      <c r="S59" s="1049" t="s">
        <v>654</v>
      </c>
      <c r="T59" s="1031"/>
      <c r="U59" s="1031"/>
      <c r="V59" s="1031"/>
      <c r="W59" s="1028"/>
    </row>
    <row r="60" spans="1:23" s="683" customFormat="1" ht="27.95" customHeight="1">
      <c r="A60" s="313">
        <v>52</v>
      </c>
      <c r="B60" s="313">
        <v>1500400045</v>
      </c>
      <c r="C60" s="314" t="s">
        <v>99</v>
      </c>
      <c r="D60" s="315">
        <f>+[4]จังหวัด!D31</f>
        <v>32080342.52</v>
      </c>
      <c r="E60" s="315">
        <f>+[4]จังหวัด!E31</f>
        <v>7393696.9800000004</v>
      </c>
      <c r="F60" s="703">
        <f>+E60*100/D60</f>
        <v>23.047437774052796</v>
      </c>
      <c r="G60" s="315">
        <f>+[4]จังหวัด!G31</f>
        <v>15500</v>
      </c>
      <c r="H60" s="721">
        <f>+G60*100/D60</f>
        <v>4.8316192354669413E-2</v>
      </c>
      <c r="I60" s="315">
        <f t="shared" si="0"/>
        <v>7409196.9800000004</v>
      </c>
      <c r="J60" s="703">
        <f>+I60*100/D60</f>
        <v>23.095753966407464</v>
      </c>
      <c r="K60" s="722">
        <f>+D60-I60</f>
        <v>24671145.539999999</v>
      </c>
      <c r="L60" s="1025" t="e">
        <f>+J60-#REF!</f>
        <v>#REF!</v>
      </c>
      <c r="M60" s="1033">
        <v>41426</v>
      </c>
      <c r="N60" s="1027">
        <v>26615070</v>
      </c>
      <c r="O60" s="1028">
        <f>D60-N60</f>
        <v>5465272.5199999996</v>
      </c>
      <c r="P60" s="1029" t="s">
        <v>578</v>
      </c>
      <c r="Q60" s="1030" t="s">
        <v>579</v>
      </c>
      <c r="R60" s="1028" t="s">
        <v>655</v>
      </c>
      <c r="S60" s="1028" t="s">
        <v>656</v>
      </c>
      <c r="T60" s="1031"/>
      <c r="U60" s="1031"/>
      <c r="V60" s="1031"/>
      <c r="W60" s="1028"/>
    </row>
    <row r="61" spans="1:23" s="683" customFormat="1" ht="27.95" customHeight="1">
      <c r="A61" s="313">
        <v>53</v>
      </c>
      <c r="B61" s="313">
        <v>1500400093</v>
      </c>
      <c r="C61" s="314" t="s">
        <v>72</v>
      </c>
      <c r="D61" s="315">
        <f>+[4]จังหวัด!D79</f>
        <v>9491122.9800000004</v>
      </c>
      <c r="E61" s="315">
        <f>+[4]จังหวัด!E79</f>
        <v>2098440.91</v>
      </c>
      <c r="F61" s="703">
        <f>+E61*100/D61</f>
        <v>22.109511323601033</v>
      </c>
      <c r="G61" s="315">
        <f>+[4]จังหวัด!G79</f>
        <v>66600</v>
      </c>
      <c r="H61" s="721">
        <f>+G61*100/D61</f>
        <v>0.70170832408706174</v>
      </c>
      <c r="I61" s="315">
        <f t="shared" si="0"/>
        <v>2165040.91</v>
      </c>
      <c r="J61" s="703">
        <f>+I61*100/D61</f>
        <v>22.811219647688095</v>
      </c>
      <c r="K61" s="722">
        <f>+D61-I61</f>
        <v>7326082.0700000003</v>
      </c>
      <c r="L61" s="1025" t="e">
        <f>+J61-#REF!</f>
        <v>#REF!</v>
      </c>
      <c r="M61" s="1033">
        <v>1435383.86</v>
      </c>
      <c r="N61" s="1027">
        <v>11725362.460000001</v>
      </c>
      <c r="O61" s="1028">
        <f>D61-N61</f>
        <v>-2234239.4800000004</v>
      </c>
      <c r="P61" s="1029" t="s">
        <v>559</v>
      </c>
      <c r="Q61" s="1030" t="s">
        <v>536</v>
      </c>
      <c r="R61" s="1028" t="s">
        <v>657</v>
      </c>
      <c r="S61" s="1049" t="s">
        <v>658</v>
      </c>
      <c r="T61" s="1032"/>
      <c r="U61" s="1031"/>
      <c r="V61" s="1031"/>
      <c r="W61" s="1028"/>
    </row>
    <row r="62" spans="1:23" s="683" customFormat="1" ht="27.95" customHeight="1">
      <c r="A62" s="313">
        <v>54</v>
      </c>
      <c r="B62" s="313">
        <v>1500400070</v>
      </c>
      <c r="C62" s="314" t="s">
        <v>57</v>
      </c>
      <c r="D62" s="315">
        <f>+[4]จังหวัด!D56</f>
        <v>9808590</v>
      </c>
      <c r="E62" s="315">
        <f>+[4]จังหวัด!E56</f>
        <v>2217718.92</v>
      </c>
      <c r="F62" s="703">
        <f>+E62*100/D62</f>
        <v>22.60996657011864</v>
      </c>
      <c r="G62" s="315">
        <f>+[4]จังหวัด!G56</f>
        <v>0</v>
      </c>
      <c r="H62" s="723">
        <f>+G62*100/D62</f>
        <v>0</v>
      </c>
      <c r="I62" s="315">
        <f t="shared" si="0"/>
        <v>2217718.92</v>
      </c>
      <c r="J62" s="703">
        <f>+I62*100/D62</f>
        <v>22.60996657011864</v>
      </c>
      <c r="K62" s="722">
        <f>+D62-I62</f>
        <v>7590871.0800000001</v>
      </c>
      <c r="L62" s="1025" t="e">
        <f>+J62-#REF!</f>
        <v>#REF!</v>
      </c>
      <c r="M62" s="1033"/>
      <c r="N62" s="1018">
        <v>8611454.6600000001</v>
      </c>
      <c r="O62" s="1028">
        <f>D62-N62</f>
        <v>1197135.3399999999</v>
      </c>
      <c r="P62" s="1029" t="s">
        <v>598</v>
      </c>
      <c r="Q62" s="1030" t="s">
        <v>579</v>
      </c>
      <c r="R62" s="1028" t="s">
        <v>659</v>
      </c>
      <c r="S62" s="1028" t="s">
        <v>660</v>
      </c>
      <c r="T62" s="1031"/>
      <c r="U62" s="1031"/>
      <c r="V62" s="1031"/>
      <c r="W62" s="1028"/>
    </row>
    <row r="63" spans="1:23" s="683" customFormat="1" ht="27.95" customHeight="1">
      <c r="A63" s="313">
        <v>55</v>
      </c>
      <c r="B63" s="313">
        <v>1500400049</v>
      </c>
      <c r="C63" s="314" t="s">
        <v>101</v>
      </c>
      <c r="D63" s="315">
        <f>+[4]จังหวัด!D35</f>
        <v>10937726.26</v>
      </c>
      <c r="E63" s="315">
        <f>+[4]จังหวัด!E35</f>
        <v>2454972.16</v>
      </c>
      <c r="F63" s="703">
        <f>+E63*100/D63</f>
        <v>22.444995437287531</v>
      </c>
      <c r="G63" s="315">
        <f>+[4]จังหวัด!G35</f>
        <v>12000</v>
      </c>
      <c r="H63" s="721">
        <f>+G63*100/D63</f>
        <v>0.10971201614255795</v>
      </c>
      <c r="I63" s="315">
        <f t="shared" si="0"/>
        <v>2466972.16</v>
      </c>
      <c r="J63" s="703">
        <f>+I63*100/D63</f>
        <v>22.554707453430087</v>
      </c>
      <c r="K63" s="722">
        <f>+D63-I63</f>
        <v>8470754.0999999996</v>
      </c>
      <c r="L63" s="1025" t="e">
        <f>+J63-#REF!</f>
        <v>#REF!</v>
      </c>
      <c r="M63" s="1033"/>
      <c r="N63" s="1018">
        <v>6735064</v>
      </c>
      <c r="O63" s="1028">
        <f>D63-N63</f>
        <v>4202662.26</v>
      </c>
      <c r="P63" s="1029" t="s">
        <v>590</v>
      </c>
      <c r="Q63" s="1030" t="s">
        <v>591</v>
      </c>
      <c r="R63" s="1028" t="s">
        <v>661</v>
      </c>
      <c r="S63" s="1028" t="s">
        <v>662</v>
      </c>
      <c r="T63" s="1031"/>
      <c r="U63" s="1031"/>
      <c r="V63" s="1031"/>
      <c r="W63" s="1028"/>
    </row>
    <row r="64" spans="1:23" s="683" customFormat="1" ht="27.95" customHeight="1">
      <c r="A64" s="313">
        <v>56</v>
      </c>
      <c r="B64" s="313">
        <v>1500400038</v>
      </c>
      <c r="C64" s="314" t="s">
        <v>98</v>
      </c>
      <c r="D64" s="315">
        <f>+[4]จังหวัด!D24</f>
        <v>11009910</v>
      </c>
      <c r="E64" s="315">
        <f>+[4]จังหวัด!E24</f>
        <v>2416525.0299999998</v>
      </c>
      <c r="F64" s="703">
        <f>+E64*100/D64</f>
        <v>21.948635638256803</v>
      </c>
      <c r="G64" s="315">
        <f>+[4]จังหวัด!G24</f>
        <v>0</v>
      </c>
      <c r="H64" s="723">
        <f>+G64*100/D64</f>
        <v>0</v>
      </c>
      <c r="I64" s="315">
        <f t="shared" si="0"/>
        <v>2416525.0299999998</v>
      </c>
      <c r="J64" s="703">
        <f>+I64*100/D64</f>
        <v>21.948635638256803</v>
      </c>
      <c r="K64" s="722">
        <f>+D64-I64</f>
        <v>8593384.9700000007</v>
      </c>
      <c r="L64" s="1025" t="e">
        <f>+J64-#REF!</f>
        <v>#REF!</v>
      </c>
      <c r="M64" s="1026">
        <v>140996</v>
      </c>
      <c r="N64" s="1018">
        <v>21099758</v>
      </c>
      <c r="O64" s="1028">
        <f>D64-N64</f>
        <v>-10089848</v>
      </c>
      <c r="P64" s="1029" t="s">
        <v>663</v>
      </c>
      <c r="Q64" s="1030" t="s">
        <v>664</v>
      </c>
      <c r="R64" s="1049" t="s">
        <v>665</v>
      </c>
      <c r="S64" s="1028" t="s">
        <v>666</v>
      </c>
      <c r="T64" s="1031"/>
      <c r="U64" s="1031"/>
      <c r="V64" s="1031"/>
      <c r="W64" s="1028"/>
    </row>
    <row r="65" spans="1:23" s="683" customFormat="1" ht="27.95" customHeight="1">
      <c r="A65" s="313">
        <v>57</v>
      </c>
      <c r="B65" s="313">
        <v>1500400028</v>
      </c>
      <c r="C65" s="314" t="s">
        <v>31</v>
      </c>
      <c r="D65" s="315">
        <f>+[4]จังหวัด!D14</f>
        <v>8486005</v>
      </c>
      <c r="E65" s="315">
        <f>+[4]จังหวัด!E14</f>
        <v>1837207.83</v>
      </c>
      <c r="F65" s="703">
        <f>+E65*100/D65</f>
        <v>21.649855615215877</v>
      </c>
      <c r="G65" s="315">
        <f>+[4]จังหวัด!G14</f>
        <v>0</v>
      </c>
      <c r="H65" s="723">
        <f>+G65*100/D65</f>
        <v>0</v>
      </c>
      <c r="I65" s="315">
        <f t="shared" si="0"/>
        <v>1837207.83</v>
      </c>
      <c r="J65" s="703">
        <f>+I65*100/D65</f>
        <v>21.649855615215877</v>
      </c>
      <c r="K65" s="722">
        <f>+D65-I65</f>
        <v>6648797.1699999999</v>
      </c>
      <c r="L65" s="1025" t="e">
        <f>+J65-#REF!</f>
        <v>#REF!</v>
      </c>
      <c r="M65" s="1026">
        <v>49262.16</v>
      </c>
      <c r="N65" s="1018">
        <v>34704432.82</v>
      </c>
      <c r="O65" s="1028">
        <f>D65-N65</f>
        <v>-26218427.82</v>
      </c>
      <c r="P65" s="1029" t="s">
        <v>479</v>
      </c>
      <c r="Q65" s="1030" t="s">
        <v>575</v>
      </c>
      <c r="R65" s="1028" t="s">
        <v>667</v>
      </c>
      <c r="S65" s="1028" t="s">
        <v>668</v>
      </c>
      <c r="T65" s="1031"/>
      <c r="U65" s="1031"/>
      <c r="V65" s="1031"/>
      <c r="W65" s="1028"/>
    </row>
    <row r="66" spans="1:23" s="683" customFormat="1" ht="27.95" customHeight="1">
      <c r="A66" s="313">
        <v>58</v>
      </c>
      <c r="B66" s="313">
        <v>1500400095</v>
      </c>
      <c r="C66" s="314" t="s">
        <v>73</v>
      </c>
      <c r="D66" s="315">
        <f>+[4]จังหวัด!D81</f>
        <v>12325204.449999999</v>
      </c>
      <c r="E66" s="315">
        <f>+[4]จังหวัด!E81</f>
        <v>2625740.5699999998</v>
      </c>
      <c r="F66" s="703">
        <f>+E66*100/D66</f>
        <v>21.30382973079201</v>
      </c>
      <c r="G66" s="315">
        <f>+[4]จังหวัด!G81</f>
        <v>20715</v>
      </c>
      <c r="H66" s="721">
        <f>+G66*100/D66</f>
        <v>0.16807023432378035</v>
      </c>
      <c r="I66" s="315">
        <f t="shared" si="0"/>
        <v>2646455.5699999998</v>
      </c>
      <c r="J66" s="703">
        <f>+I66*100/D66</f>
        <v>21.471899965115792</v>
      </c>
      <c r="K66" s="722">
        <f>+D66-I66</f>
        <v>9678748.879999999</v>
      </c>
      <c r="L66" s="1025" t="e">
        <f>+J66-#REF!</f>
        <v>#REF!</v>
      </c>
      <c r="M66" s="1026">
        <v>67708.740000000005</v>
      </c>
      <c r="N66" s="1018">
        <v>5024234.54</v>
      </c>
      <c r="O66" s="1028">
        <f>D66-N66</f>
        <v>7300969.9099999992</v>
      </c>
      <c r="P66" s="1029" t="s">
        <v>539</v>
      </c>
      <c r="Q66" s="1030" t="s">
        <v>540</v>
      </c>
      <c r="R66" s="1028" t="s">
        <v>669</v>
      </c>
      <c r="S66" s="1028" t="s">
        <v>670</v>
      </c>
      <c r="T66" s="1032"/>
      <c r="U66" s="1031"/>
      <c r="V66" s="1031"/>
      <c r="W66" s="1028"/>
    </row>
    <row r="67" spans="1:23" s="683" customFormat="1" ht="27.95" customHeight="1">
      <c r="A67" s="313">
        <v>59</v>
      </c>
      <c r="B67" s="313">
        <v>1500400041</v>
      </c>
      <c r="C67" s="314" t="s">
        <v>38</v>
      </c>
      <c r="D67" s="315">
        <f>+[4]จังหวัด!D27</f>
        <v>41766757.350000001</v>
      </c>
      <c r="E67" s="315">
        <f>+[4]จังหวัด!E27</f>
        <v>8940153.1099999994</v>
      </c>
      <c r="F67" s="703">
        <f>+E67*100/D67</f>
        <v>21.404949000667393</v>
      </c>
      <c r="G67" s="315">
        <f>+[4]จังหวัด!G27</f>
        <v>0</v>
      </c>
      <c r="H67" s="723">
        <f>+G67*100/D67</f>
        <v>0</v>
      </c>
      <c r="I67" s="315">
        <f t="shared" si="0"/>
        <v>8940153.1099999994</v>
      </c>
      <c r="J67" s="703">
        <f>+I67*100/D67</f>
        <v>21.404949000667393</v>
      </c>
      <c r="K67" s="722">
        <f>+D67-I67</f>
        <v>32826604.240000002</v>
      </c>
      <c r="L67" s="1025" t="e">
        <f>+J67-#REF!</f>
        <v>#REF!</v>
      </c>
      <c r="M67" s="1026">
        <v>1397095</v>
      </c>
      <c r="N67" s="1018">
        <v>22288857.66</v>
      </c>
      <c r="O67" s="1028">
        <f>D67-N67</f>
        <v>19477899.690000001</v>
      </c>
      <c r="P67" s="1029" t="s">
        <v>663</v>
      </c>
      <c r="Q67" s="1030" t="s">
        <v>664</v>
      </c>
      <c r="R67" s="1028" t="s">
        <v>671</v>
      </c>
      <c r="S67" s="1028" t="s">
        <v>672</v>
      </c>
      <c r="T67" s="1031"/>
      <c r="U67" s="1031"/>
      <c r="V67" s="1031"/>
      <c r="W67" s="1028"/>
    </row>
    <row r="68" spans="1:23" s="683" customFormat="1" ht="27.95" customHeight="1">
      <c r="A68" s="313">
        <v>60</v>
      </c>
      <c r="B68" s="313">
        <v>1500400046</v>
      </c>
      <c r="C68" s="314" t="s">
        <v>42</v>
      </c>
      <c r="D68" s="315">
        <f>+[4]จังหวัด!D32</f>
        <v>12613085</v>
      </c>
      <c r="E68" s="315">
        <f>+[4]จังหวัด!E32</f>
        <v>2593579.9500000002</v>
      </c>
      <c r="F68" s="703">
        <f>+E68*100/D68</f>
        <v>20.562613745963024</v>
      </c>
      <c r="G68" s="315">
        <f>+[4]จังหวัด!G32</f>
        <v>103400</v>
      </c>
      <c r="H68" s="721">
        <f>+G68*100/D68</f>
        <v>0.81978358189134537</v>
      </c>
      <c r="I68" s="315">
        <f t="shared" si="0"/>
        <v>2696979.95</v>
      </c>
      <c r="J68" s="703">
        <f>+I68*100/D68</f>
        <v>21.382397327854367</v>
      </c>
      <c r="K68" s="722">
        <f>+D68-I68</f>
        <v>9916105.0500000007</v>
      </c>
      <c r="L68" s="1025" t="e">
        <f>+J68-#REF!</f>
        <v>#REF!</v>
      </c>
      <c r="M68" s="1026">
        <v>7966.77</v>
      </c>
      <c r="N68" s="1018">
        <v>27459930</v>
      </c>
      <c r="O68" s="1028">
        <f>D68-N68</f>
        <v>-14846845</v>
      </c>
      <c r="P68" s="1029" t="s">
        <v>477</v>
      </c>
      <c r="Q68" s="1030" t="s">
        <v>546</v>
      </c>
      <c r="R68" s="1028" t="s">
        <v>673</v>
      </c>
      <c r="S68" s="1028" t="s">
        <v>674</v>
      </c>
      <c r="T68" s="1031"/>
      <c r="U68" s="1031"/>
      <c r="V68" s="1031"/>
      <c r="W68" s="1028"/>
    </row>
    <row r="69" spans="1:23" s="683" customFormat="1" ht="27.95" customHeight="1">
      <c r="A69" s="313">
        <v>61</v>
      </c>
      <c r="B69" s="313">
        <v>1500400071</v>
      </c>
      <c r="C69" s="314" t="s">
        <v>58</v>
      </c>
      <c r="D69" s="315">
        <f>+[4]จังหวัด!D57</f>
        <v>13314192.189999999</v>
      </c>
      <c r="E69" s="315">
        <f>+[4]จังหวัด!E57</f>
        <v>2837905.37</v>
      </c>
      <c r="F69" s="703">
        <f>+E69*100/D69</f>
        <v>21.314889626811073</v>
      </c>
      <c r="G69" s="315">
        <f>+[4]จังหวัด!G57</f>
        <v>0</v>
      </c>
      <c r="H69" s="723">
        <f>+G69*100/D69</f>
        <v>0</v>
      </c>
      <c r="I69" s="315">
        <f t="shared" si="0"/>
        <v>2837905.37</v>
      </c>
      <c r="J69" s="703">
        <f>+I69*100/D69</f>
        <v>21.314889626811073</v>
      </c>
      <c r="K69" s="722">
        <f>+D69-I69</f>
        <v>10476286.82</v>
      </c>
      <c r="L69" s="1025" t="e">
        <f>+J69-#REF!</f>
        <v>#REF!</v>
      </c>
      <c r="M69" s="1026">
        <v>38300</v>
      </c>
      <c r="N69" s="1027">
        <v>9880550</v>
      </c>
      <c r="O69" s="1028">
        <f>D69-N69</f>
        <v>3433642.1899999995</v>
      </c>
      <c r="P69" s="1029" t="s">
        <v>480</v>
      </c>
      <c r="Q69" s="1030" t="s">
        <v>566</v>
      </c>
      <c r="R69" s="1028" t="s">
        <v>675</v>
      </c>
      <c r="S69" s="1028" t="s">
        <v>676</v>
      </c>
      <c r="T69" s="1032"/>
      <c r="U69" s="1031"/>
      <c r="V69" s="1031"/>
      <c r="W69" s="1028"/>
    </row>
    <row r="70" spans="1:23" s="683" customFormat="1" ht="27.95" customHeight="1">
      <c r="A70" s="709">
        <v>62</v>
      </c>
      <c r="B70" s="709">
        <v>1500400089</v>
      </c>
      <c r="C70" s="710" t="s">
        <v>111</v>
      </c>
      <c r="D70" s="711">
        <f>+[4]จังหวัด!D75</f>
        <v>19152410</v>
      </c>
      <c r="E70" s="711">
        <f>+[4]จังหวัด!E75</f>
        <v>4065933.2</v>
      </c>
      <c r="F70" s="712">
        <f>+E70*100/D70</f>
        <v>21.229355470147098</v>
      </c>
      <c r="G70" s="711">
        <f>+[4]จังหวัด!G75</f>
        <v>0</v>
      </c>
      <c r="H70" s="731">
        <f>+G70*100/D70</f>
        <v>0</v>
      </c>
      <c r="I70" s="711">
        <f t="shared" si="0"/>
        <v>4065933.2</v>
      </c>
      <c r="J70" s="712">
        <f>+I70*100/D70</f>
        <v>21.229355470147098</v>
      </c>
      <c r="K70" s="724">
        <f>+D70-I70</f>
        <v>15086476.800000001</v>
      </c>
      <c r="L70" s="1025" t="e">
        <f>+J70-#REF!</f>
        <v>#REF!</v>
      </c>
      <c r="M70" s="1026">
        <v>1176822.5900000001</v>
      </c>
      <c r="N70" s="1018">
        <v>16011006.440000001</v>
      </c>
      <c r="O70" s="1028">
        <f>D70-N70</f>
        <v>3141403.5599999987</v>
      </c>
      <c r="P70" s="1029" t="s">
        <v>663</v>
      </c>
      <c r="Q70" s="1030" t="s">
        <v>664</v>
      </c>
      <c r="R70" s="1028" t="s">
        <v>677</v>
      </c>
      <c r="S70" s="1028" t="s">
        <v>678</v>
      </c>
      <c r="T70" s="1031"/>
      <c r="U70" s="1031"/>
      <c r="V70" s="1031"/>
      <c r="W70" s="1028"/>
    </row>
    <row r="71" spans="1:23" s="683" customFormat="1" ht="27.95" customHeight="1">
      <c r="A71" s="725">
        <v>63</v>
      </c>
      <c r="B71" s="725">
        <v>1500400057</v>
      </c>
      <c r="C71" s="726" t="s">
        <v>50</v>
      </c>
      <c r="D71" s="727">
        <f>+[4]จังหวัด!D43</f>
        <v>25555170</v>
      </c>
      <c r="E71" s="727">
        <f>+[4]จังหวัด!E43</f>
        <v>5315831.53</v>
      </c>
      <c r="F71" s="728">
        <f>+E71*100/D71</f>
        <v>20.801393729722793</v>
      </c>
      <c r="G71" s="727">
        <f>+[4]จังหวัด!G43</f>
        <v>75250</v>
      </c>
      <c r="H71" s="729">
        <f>+G71*100/D71</f>
        <v>0.29446096425889556</v>
      </c>
      <c r="I71" s="727">
        <f t="shared" si="0"/>
        <v>5391081.5300000003</v>
      </c>
      <c r="J71" s="728">
        <f>+I71*100/D71</f>
        <v>21.095854693981689</v>
      </c>
      <c r="K71" s="730">
        <f>+D71-I71</f>
        <v>20164088.469999999</v>
      </c>
      <c r="L71" s="1025" t="e">
        <f>+J71-#REF!</f>
        <v>#REF!</v>
      </c>
      <c r="M71" s="1026">
        <v>40667.74</v>
      </c>
      <c r="N71" s="1018">
        <v>11934644.42</v>
      </c>
      <c r="O71" s="1028">
        <f>D71-N71</f>
        <v>13620525.58</v>
      </c>
      <c r="P71" s="1029" t="s">
        <v>556</v>
      </c>
      <c r="Q71" s="1030" t="s">
        <v>549</v>
      </c>
      <c r="R71" s="1028" t="s">
        <v>679</v>
      </c>
      <c r="S71" s="1028" t="s">
        <v>680</v>
      </c>
      <c r="T71" s="1031"/>
      <c r="U71" s="1031"/>
      <c r="V71" s="1031"/>
      <c r="W71" s="1028"/>
    </row>
    <row r="72" spans="1:23" s="683" customFormat="1" ht="27.95" customHeight="1">
      <c r="A72" s="313">
        <v>64</v>
      </c>
      <c r="B72" s="313">
        <v>1500400081</v>
      </c>
      <c r="C72" s="314" t="s">
        <v>20</v>
      </c>
      <c r="D72" s="315">
        <f>+[4]จังหวัด!D67</f>
        <v>7292955</v>
      </c>
      <c r="E72" s="315">
        <f>+[4]จังหวัด!E67</f>
        <v>1464719.28</v>
      </c>
      <c r="F72" s="703">
        <f>+E72*100/D72</f>
        <v>20.084030135932554</v>
      </c>
      <c r="G72" s="315">
        <f>+[4]จังหวัด!G67</f>
        <v>70130</v>
      </c>
      <c r="H72" s="721">
        <f>+G72*100/D72</f>
        <v>0.96161295387123602</v>
      </c>
      <c r="I72" s="315">
        <f t="shared" si="0"/>
        <v>1534849.28</v>
      </c>
      <c r="J72" s="703">
        <f>+I72*100/D72</f>
        <v>21.045643089803789</v>
      </c>
      <c r="K72" s="722">
        <f>+D72-I72</f>
        <v>5758105.7199999997</v>
      </c>
      <c r="L72" s="1025" t="e">
        <f>+J72-#REF!</f>
        <v>#REF!</v>
      </c>
      <c r="M72" s="1026">
        <v>294630.46999999997</v>
      </c>
      <c r="N72" s="1018">
        <v>8568220</v>
      </c>
      <c r="O72" s="1028">
        <f>D72-N72</f>
        <v>-1275265</v>
      </c>
      <c r="P72" s="1029" t="s">
        <v>556</v>
      </c>
      <c r="Q72" s="1030" t="s">
        <v>549</v>
      </c>
      <c r="R72" s="1028" t="s">
        <v>681</v>
      </c>
      <c r="S72" s="1028" t="s">
        <v>682</v>
      </c>
      <c r="T72" s="1031"/>
      <c r="U72" s="1031"/>
      <c r="V72" s="1031"/>
      <c r="W72" s="1028"/>
    </row>
    <row r="73" spans="1:23" s="683" customFormat="1" ht="27.95" customHeight="1">
      <c r="A73" s="313">
        <v>65</v>
      </c>
      <c r="B73" s="313">
        <v>1500400058</v>
      </c>
      <c r="C73" s="314" t="s">
        <v>103</v>
      </c>
      <c r="D73" s="315">
        <f>+[4]จังหวัด!D44</f>
        <v>17511445.920000002</v>
      </c>
      <c r="E73" s="315">
        <f>+[4]จังหวัด!E44</f>
        <v>3642171.89</v>
      </c>
      <c r="F73" s="703">
        <f>+E73*100/D73</f>
        <v>20.798807286611542</v>
      </c>
      <c r="G73" s="315">
        <f>+[4]จังหวัด!G44</f>
        <v>0</v>
      </c>
      <c r="H73" s="723">
        <f>+G73*100/D73</f>
        <v>0</v>
      </c>
      <c r="I73" s="315">
        <f t="shared" ref="I73:I84" si="1">+E73+G73</f>
        <v>3642171.89</v>
      </c>
      <c r="J73" s="703">
        <f>+I73*100/D73</f>
        <v>20.798807286611542</v>
      </c>
      <c r="K73" s="722">
        <f>+D73-I73</f>
        <v>13869274.030000001</v>
      </c>
      <c r="L73" s="1025" t="e">
        <f>+J73-#REF!</f>
        <v>#REF!</v>
      </c>
      <c r="M73" s="1026"/>
      <c r="N73" s="1027">
        <v>4647598</v>
      </c>
      <c r="O73" s="1028">
        <f>D73-N73</f>
        <v>12863847.920000002</v>
      </c>
      <c r="P73" s="1029" t="s">
        <v>473</v>
      </c>
      <c r="Q73" s="1030" t="s">
        <v>587</v>
      </c>
      <c r="R73" s="1028" t="s">
        <v>683</v>
      </c>
      <c r="S73" s="1028" t="s">
        <v>684</v>
      </c>
      <c r="T73" s="1031"/>
      <c r="U73" s="1032"/>
      <c r="V73" s="1032"/>
      <c r="W73" s="1052"/>
    </row>
    <row r="74" spans="1:23" s="683" customFormat="1" ht="27.95" customHeight="1">
      <c r="A74" s="313">
        <v>66</v>
      </c>
      <c r="B74" s="313">
        <v>1500400037</v>
      </c>
      <c r="C74" s="314" t="s">
        <v>35</v>
      </c>
      <c r="D74" s="315">
        <f>+[4]จังหวัด!D23</f>
        <v>13317319.029999999</v>
      </c>
      <c r="E74" s="315">
        <f>+[4]จังหวัด!E23</f>
        <v>2723097.31</v>
      </c>
      <c r="F74" s="703">
        <f>+E74*100/D74</f>
        <v>20.447789107294518</v>
      </c>
      <c r="G74" s="315">
        <f>+[4]จังหวัด!G23</f>
        <v>0</v>
      </c>
      <c r="H74" s="723">
        <f>+G74*100/D74</f>
        <v>0</v>
      </c>
      <c r="I74" s="315">
        <f t="shared" si="1"/>
        <v>2723097.31</v>
      </c>
      <c r="J74" s="703">
        <f>+I74*100/D74</f>
        <v>20.447789107294518</v>
      </c>
      <c r="K74" s="722">
        <f>+D74-I74</f>
        <v>10594221.719999999</v>
      </c>
      <c r="L74" s="1025" t="e">
        <f>+J74-#REF!</f>
        <v>#REF!</v>
      </c>
      <c r="M74" s="1033">
        <v>30471.18</v>
      </c>
      <c r="N74" s="1018">
        <v>60021565.210000001</v>
      </c>
      <c r="O74" s="1028">
        <f>D74-N74</f>
        <v>-46704246.18</v>
      </c>
      <c r="P74" s="1029" t="s">
        <v>590</v>
      </c>
      <c r="Q74" s="1030" t="s">
        <v>591</v>
      </c>
      <c r="R74" s="1049" t="s">
        <v>685</v>
      </c>
      <c r="S74" s="1028" t="s">
        <v>686</v>
      </c>
      <c r="T74" s="1031"/>
      <c r="U74" s="1031"/>
      <c r="V74" s="1031"/>
      <c r="W74" s="1028"/>
    </row>
    <row r="75" spans="1:23" s="683" customFormat="1" ht="27.95" customHeight="1">
      <c r="A75" s="313">
        <v>67</v>
      </c>
      <c r="B75" s="313">
        <v>1500400060</v>
      </c>
      <c r="C75" s="314" t="s">
        <v>104</v>
      </c>
      <c r="D75" s="315">
        <f>+[4]จังหวัด!D46</f>
        <v>27593008.359999999</v>
      </c>
      <c r="E75" s="315">
        <f>+[4]จังหวัด!E46</f>
        <v>5619398.3700000001</v>
      </c>
      <c r="F75" s="703">
        <f>+E75*100/D75</f>
        <v>20.36529796492259</v>
      </c>
      <c r="G75" s="315">
        <f>+[4]จังหวัด!G46</f>
        <v>0</v>
      </c>
      <c r="H75" s="723">
        <f>+G75*100/D75</f>
        <v>0</v>
      </c>
      <c r="I75" s="315">
        <f t="shared" si="1"/>
        <v>5619398.3700000001</v>
      </c>
      <c r="J75" s="703">
        <f>+I75*100/D75</f>
        <v>20.36529796492259</v>
      </c>
      <c r="K75" s="722">
        <f>+D75-I75</f>
        <v>21973609.989999998</v>
      </c>
      <c r="L75" s="1025" t="e">
        <f>+J75-#REF!</f>
        <v>#REF!</v>
      </c>
      <c r="M75" s="1033"/>
      <c r="N75" s="1018">
        <v>7488780.4199999999</v>
      </c>
      <c r="O75" s="1028">
        <f>D75-N75</f>
        <v>20104227.939999998</v>
      </c>
      <c r="P75" s="1029" t="s">
        <v>475</v>
      </c>
      <c r="Q75" s="1030" t="s">
        <v>549</v>
      </c>
      <c r="R75" s="1028" t="s">
        <v>687</v>
      </c>
      <c r="S75" s="1028" t="s">
        <v>688</v>
      </c>
      <c r="T75" s="1031"/>
      <c r="U75" s="1032"/>
      <c r="V75" s="1032"/>
      <c r="W75" s="1049"/>
    </row>
    <row r="76" spans="1:23" s="683" customFormat="1" ht="27.95" customHeight="1">
      <c r="A76" s="313">
        <v>68</v>
      </c>
      <c r="B76" s="313">
        <v>1500400098</v>
      </c>
      <c r="C76" s="314" t="s">
        <v>75</v>
      </c>
      <c r="D76" s="315">
        <f>+[4]จังหวัด!D84</f>
        <v>14601610</v>
      </c>
      <c r="E76" s="315">
        <f>+[4]จังหวัด!E84</f>
        <v>2910876.09</v>
      </c>
      <c r="F76" s="703">
        <f>+E76*100/D76</f>
        <v>19.935309120021696</v>
      </c>
      <c r="G76" s="315">
        <f>+[4]จังหวัด!G84</f>
        <v>0</v>
      </c>
      <c r="H76" s="723">
        <f>+G76*100/D76</f>
        <v>0</v>
      </c>
      <c r="I76" s="315">
        <f t="shared" si="1"/>
        <v>2910876.09</v>
      </c>
      <c r="J76" s="703">
        <f>+I76*100/D76</f>
        <v>19.935309120021696</v>
      </c>
      <c r="K76" s="722">
        <f>+D76-I76</f>
        <v>11690733.91</v>
      </c>
      <c r="L76" s="1025" t="e">
        <f>+J76-#REF!</f>
        <v>#REF!</v>
      </c>
      <c r="M76" s="1033">
        <v>857000</v>
      </c>
      <c r="N76" s="1018">
        <v>43083785</v>
      </c>
      <c r="O76" s="1028">
        <f>D76-N76</f>
        <v>-28482175</v>
      </c>
      <c r="P76" s="1029" t="s">
        <v>578</v>
      </c>
      <c r="Q76" s="1030" t="s">
        <v>579</v>
      </c>
      <c r="R76" s="1028" t="s">
        <v>689</v>
      </c>
      <c r="S76" s="1028" t="s">
        <v>690</v>
      </c>
      <c r="T76" s="1031"/>
      <c r="U76" s="1031"/>
      <c r="V76" s="1031"/>
      <c r="W76" s="1028"/>
    </row>
    <row r="77" spans="1:23" s="683" customFormat="1" ht="27.95" customHeight="1">
      <c r="A77" s="313">
        <v>69</v>
      </c>
      <c r="B77" s="313">
        <v>1500400051</v>
      </c>
      <c r="C77" s="314" t="s">
        <v>102</v>
      </c>
      <c r="D77" s="315">
        <f>+[4]จังหวัด!D37</f>
        <v>25484445</v>
      </c>
      <c r="E77" s="315">
        <f>+[4]จังหวัด!E37</f>
        <v>4991361.5599999996</v>
      </c>
      <c r="F77" s="703">
        <f>+E77*100/D77</f>
        <v>19.585914309689691</v>
      </c>
      <c r="G77" s="315">
        <f>+[4]จังหวัด!G37</f>
        <v>88050</v>
      </c>
      <c r="H77" s="721">
        <f>+G77*100/D77</f>
        <v>0.34550487562118776</v>
      </c>
      <c r="I77" s="315">
        <f t="shared" si="1"/>
        <v>5079411.5599999996</v>
      </c>
      <c r="J77" s="703">
        <f>+I77*100/D77</f>
        <v>19.93141918531088</v>
      </c>
      <c r="K77" s="722">
        <f>+D77-I77</f>
        <v>20405033.440000001</v>
      </c>
      <c r="L77" s="1025" t="e">
        <f>+J77-#REF!</f>
        <v>#REF!</v>
      </c>
      <c r="M77" s="1033">
        <v>52080</v>
      </c>
      <c r="N77" s="1018">
        <v>22403963.050000001</v>
      </c>
      <c r="O77" s="1028">
        <f>D77-N77</f>
        <v>3080481.9499999993</v>
      </c>
      <c r="P77" s="1029" t="s">
        <v>559</v>
      </c>
      <c r="Q77" s="1030" t="s">
        <v>536</v>
      </c>
      <c r="R77" s="1028" t="s">
        <v>691</v>
      </c>
      <c r="S77" s="1028" t="s">
        <v>692</v>
      </c>
      <c r="T77" s="1031"/>
      <c r="U77" s="1031"/>
      <c r="V77" s="1031"/>
      <c r="W77" s="1028"/>
    </row>
    <row r="78" spans="1:23" s="683" customFormat="1" ht="27.95" customHeight="1">
      <c r="A78" s="313">
        <v>70</v>
      </c>
      <c r="B78" s="313">
        <v>1500400080</v>
      </c>
      <c r="C78" s="314" t="s">
        <v>64</v>
      </c>
      <c r="D78" s="315">
        <f>+[4]จังหวัด!D66</f>
        <v>10832580</v>
      </c>
      <c r="E78" s="315">
        <f>+[4]จังหวัด!E66</f>
        <v>1933828.56</v>
      </c>
      <c r="F78" s="703">
        <f>+E78*100/D78</f>
        <v>17.851966567521309</v>
      </c>
      <c r="G78" s="315">
        <f>+[4]จังหวัด!G66</f>
        <v>12500</v>
      </c>
      <c r="H78" s="721">
        <f>+G78*100/D78</f>
        <v>0.11539263961124681</v>
      </c>
      <c r="I78" s="315">
        <f t="shared" si="1"/>
        <v>1946328.56</v>
      </c>
      <c r="J78" s="703">
        <f>+I78*100/D78</f>
        <v>17.967359207132557</v>
      </c>
      <c r="K78" s="722">
        <f>+D78-I78</f>
        <v>8886251.4399999995</v>
      </c>
      <c r="L78" s="1025" t="e">
        <f>+J78-#REF!</f>
        <v>#REF!</v>
      </c>
      <c r="M78" s="1033">
        <v>4800</v>
      </c>
      <c r="N78" s="1018">
        <v>14337222.220000001</v>
      </c>
      <c r="O78" s="1028">
        <f>D78-N78</f>
        <v>-3504642.2200000007</v>
      </c>
      <c r="P78" s="1029" t="s">
        <v>603</v>
      </c>
      <c r="Q78" s="1030" t="s">
        <v>591</v>
      </c>
      <c r="R78" s="1028" t="s">
        <v>693</v>
      </c>
      <c r="S78" s="1028" t="s">
        <v>694</v>
      </c>
      <c r="T78" s="1031"/>
      <c r="U78" s="1031"/>
      <c r="V78" s="1031"/>
      <c r="W78" s="1028"/>
    </row>
    <row r="79" spans="1:23" s="683" customFormat="1" ht="27.95" customHeight="1">
      <c r="A79" s="313">
        <v>71</v>
      </c>
      <c r="B79" s="313">
        <v>1500400031</v>
      </c>
      <c r="C79" s="314" t="s">
        <v>32</v>
      </c>
      <c r="D79" s="315">
        <f>+[4]จังหวัด!D17</f>
        <v>9394965</v>
      </c>
      <c r="E79" s="315">
        <f>+[4]จังหวัด!E17</f>
        <v>1632777.23</v>
      </c>
      <c r="F79" s="703">
        <f>+E79*100/D79</f>
        <v>17.379279539625745</v>
      </c>
      <c r="G79" s="315">
        <f>+[4]จังหวัด!G17</f>
        <v>26815</v>
      </c>
      <c r="H79" s="721">
        <f>+G79*100/D79</f>
        <v>0.28541883870775464</v>
      </c>
      <c r="I79" s="315">
        <f t="shared" si="1"/>
        <v>1659592.23</v>
      </c>
      <c r="J79" s="703">
        <f>+I79*100/D79</f>
        <v>17.664698378333501</v>
      </c>
      <c r="K79" s="722">
        <f>+D79-I79</f>
        <v>7735372.7699999996</v>
      </c>
      <c r="L79" s="1025" t="e">
        <f>+J79-#REF!</f>
        <v>#REF!</v>
      </c>
      <c r="M79" s="1033">
        <v>43144</v>
      </c>
      <c r="N79" s="1018">
        <v>14482585</v>
      </c>
      <c r="O79" s="1028">
        <f>D79-N79</f>
        <v>-5087620</v>
      </c>
      <c r="P79" s="1029" t="s">
        <v>475</v>
      </c>
      <c r="Q79" s="1030" t="s">
        <v>549</v>
      </c>
      <c r="R79" s="1028" t="s">
        <v>695</v>
      </c>
      <c r="S79" s="1028" t="s">
        <v>696</v>
      </c>
      <c r="T79" s="1031"/>
      <c r="U79" s="1032"/>
      <c r="V79" s="1032"/>
      <c r="W79" s="1049"/>
    </row>
    <row r="80" spans="1:23" s="683" customFormat="1" ht="27.95" customHeight="1">
      <c r="A80" s="313">
        <v>72</v>
      </c>
      <c r="B80" s="313">
        <v>1500400026</v>
      </c>
      <c r="C80" s="314" t="s">
        <v>92</v>
      </c>
      <c r="D80" s="315">
        <f>+[4]จังหวัด!D12</f>
        <v>11520883.609999999</v>
      </c>
      <c r="E80" s="315">
        <f>+[4]จังหวัด!E12</f>
        <v>1819732.4</v>
      </c>
      <c r="F80" s="703">
        <f>+E80*100/D80</f>
        <v>15.795076676414753</v>
      </c>
      <c r="G80" s="315">
        <f>+[4]จังหวัด!G12</f>
        <v>35587</v>
      </c>
      <c r="H80" s="721">
        <f>+G80*100/D80</f>
        <v>0.30889123790045825</v>
      </c>
      <c r="I80" s="315">
        <f t="shared" si="1"/>
        <v>1855319.4</v>
      </c>
      <c r="J80" s="703">
        <f>+I80*100/D80</f>
        <v>16.103967914315213</v>
      </c>
      <c r="K80" s="722">
        <f>+D80-I80</f>
        <v>9665564.209999999</v>
      </c>
      <c r="L80" s="1025" t="e">
        <f>+J80-#REF!</f>
        <v>#REF!</v>
      </c>
      <c r="M80" s="1033">
        <v>69369.58</v>
      </c>
      <c r="N80" s="1018">
        <v>17454040</v>
      </c>
      <c r="O80" s="1028">
        <f>D80-N80</f>
        <v>-5933156.3900000006</v>
      </c>
      <c r="P80" s="1029" t="s">
        <v>539</v>
      </c>
      <c r="Q80" s="1030" t="s">
        <v>540</v>
      </c>
      <c r="R80" s="1028" t="s">
        <v>697</v>
      </c>
      <c r="S80" s="1028" t="s">
        <v>698</v>
      </c>
      <c r="T80" s="1031"/>
      <c r="U80" s="1031"/>
      <c r="V80" s="1031"/>
      <c r="W80" s="1028"/>
    </row>
    <row r="81" spans="1:23" s="683" customFormat="1" ht="27.95" customHeight="1">
      <c r="A81" s="313">
        <v>73</v>
      </c>
      <c r="B81" s="313">
        <v>1500400124</v>
      </c>
      <c r="C81" s="314" t="s">
        <v>76</v>
      </c>
      <c r="D81" s="315">
        <f>+[4]จังหวัด!D85</f>
        <v>11386976.26</v>
      </c>
      <c r="E81" s="315">
        <f>+[4]จังหวัด!E85</f>
        <v>1780696.23</v>
      </c>
      <c r="F81" s="703">
        <f>+E81*100/D81</f>
        <v>15.638007749741282</v>
      </c>
      <c r="G81" s="315">
        <f>+[4]จังหวัด!G85</f>
        <v>0</v>
      </c>
      <c r="H81" s="723">
        <f>+G81*100/D81</f>
        <v>0</v>
      </c>
      <c r="I81" s="315">
        <f t="shared" si="1"/>
        <v>1780696.23</v>
      </c>
      <c r="J81" s="703">
        <f>+I81*100/D81</f>
        <v>15.638007749741282</v>
      </c>
      <c r="K81" s="722">
        <f>+D81-I81</f>
        <v>9606280.0299999993</v>
      </c>
      <c r="L81" s="1025" t="e">
        <f>+J81-#REF!</f>
        <v>#REF!</v>
      </c>
      <c r="M81" s="1033">
        <v>644.14</v>
      </c>
      <c r="N81" s="1018">
        <v>20566018.050000001</v>
      </c>
      <c r="O81" s="1028">
        <f>D81-N81</f>
        <v>-9179041.790000001</v>
      </c>
      <c r="P81" s="1029" t="s">
        <v>663</v>
      </c>
      <c r="Q81" s="1030" t="s">
        <v>664</v>
      </c>
      <c r="R81" s="1028" t="s">
        <v>699</v>
      </c>
      <c r="S81" s="1028" t="s">
        <v>700</v>
      </c>
      <c r="T81" s="1031"/>
      <c r="U81" s="1031"/>
      <c r="V81" s="1031"/>
      <c r="W81" s="1028"/>
    </row>
    <row r="82" spans="1:23" s="683" customFormat="1" ht="27.95" customHeight="1">
      <c r="A82" s="313">
        <v>74</v>
      </c>
      <c r="B82" s="313">
        <v>1500400025</v>
      </c>
      <c r="C82" s="314" t="s">
        <v>91</v>
      </c>
      <c r="D82" s="315">
        <f>+[4]จังหวัด!D11</f>
        <v>12439505</v>
      </c>
      <c r="E82" s="315">
        <f>+[4]จังหวัด!E11</f>
        <v>1849853.74</v>
      </c>
      <c r="F82" s="703">
        <f>+E82*100/D82</f>
        <v>14.870798637084032</v>
      </c>
      <c r="G82" s="315">
        <f>+[4]จังหวัด!G11</f>
        <v>80600</v>
      </c>
      <c r="H82" s="721">
        <f>+G82*100/D82</f>
        <v>0.64793574985499824</v>
      </c>
      <c r="I82" s="315">
        <f t="shared" si="1"/>
        <v>1930453.74</v>
      </c>
      <c r="J82" s="703">
        <f>+I82*100/D82</f>
        <v>15.51873438693903</v>
      </c>
      <c r="K82" s="722">
        <f>+D82-I82</f>
        <v>10509051.26</v>
      </c>
      <c r="L82" s="1025" t="e">
        <f>+J82-#REF!</f>
        <v>#REF!</v>
      </c>
      <c r="M82" s="1033">
        <v>500</v>
      </c>
      <c r="N82" s="1018">
        <v>30356729.399999999</v>
      </c>
      <c r="O82" s="1028">
        <f>D82-N82</f>
        <v>-17917224.399999999</v>
      </c>
      <c r="P82" s="1029" t="s">
        <v>479</v>
      </c>
      <c r="Q82" s="1030" t="s">
        <v>575</v>
      </c>
      <c r="R82" s="1028" t="s">
        <v>701</v>
      </c>
      <c r="S82" s="1028" t="s">
        <v>702</v>
      </c>
      <c r="T82" s="1031"/>
      <c r="U82" s="1031"/>
      <c r="V82" s="1031"/>
      <c r="W82" s="1028"/>
    </row>
    <row r="83" spans="1:23" s="683" customFormat="1" ht="27.95" customHeight="1">
      <c r="A83" s="313">
        <v>75</v>
      </c>
      <c r="B83" s="313">
        <v>1500400069</v>
      </c>
      <c r="C83" s="314" t="s">
        <v>56</v>
      </c>
      <c r="D83" s="315">
        <f>+[4]จังหวัด!D55</f>
        <v>19204446.129999999</v>
      </c>
      <c r="E83" s="315">
        <f>+[4]จังหวัด!E55</f>
        <v>2591669.34</v>
      </c>
      <c r="F83" s="703">
        <f>+E83*100/D83</f>
        <v>13.49515274981794</v>
      </c>
      <c r="G83" s="315">
        <f>+[4]จังหวัด!G55</f>
        <v>0</v>
      </c>
      <c r="H83" s="723">
        <f>+G83*100/D83</f>
        <v>0</v>
      </c>
      <c r="I83" s="315">
        <f t="shared" si="1"/>
        <v>2591669.34</v>
      </c>
      <c r="J83" s="703">
        <f>+I83*100/D83</f>
        <v>13.49515274981794</v>
      </c>
      <c r="K83" s="722">
        <f>+D83-I83</f>
        <v>16612776.789999999</v>
      </c>
      <c r="L83" s="1025" t="e">
        <f>+J83-#REF!</f>
        <v>#REF!</v>
      </c>
      <c r="M83" s="1026">
        <v>6145.16</v>
      </c>
      <c r="N83" s="1018">
        <v>10836324.84</v>
      </c>
      <c r="O83" s="1028">
        <f>D83-N83</f>
        <v>8368121.2899999991</v>
      </c>
      <c r="P83" s="1029" t="s">
        <v>539</v>
      </c>
      <c r="Q83" s="1030" t="s">
        <v>540</v>
      </c>
      <c r="R83" s="1028" t="s">
        <v>703</v>
      </c>
      <c r="S83" s="1028" t="s">
        <v>704</v>
      </c>
      <c r="T83" s="1031"/>
      <c r="U83" s="1031"/>
      <c r="V83" s="1031"/>
      <c r="W83" s="1028"/>
    </row>
    <row r="84" spans="1:23" s="683" customFormat="1" ht="27.95" customHeight="1">
      <c r="A84" s="313">
        <v>76</v>
      </c>
      <c r="B84" s="313">
        <v>1500400064</v>
      </c>
      <c r="C84" s="314" t="s">
        <v>105</v>
      </c>
      <c r="D84" s="315">
        <f>+[4]จังหวัด!D50</f>
        <v>26641603.82</v>
      </c>
      <c r="E84" s="315">
        <f>+[4]จังหวัด!E50</f>
        <v>2340320.36</v>
      </c>
      <c r="F84" s="703">
        <f>+E84*100/D84</f>
        <v>8.784457481659226</v>
      </c>
      <c r="G84" s="315">
        <f>+[4]จังหวัด!G50</f>
        <v>21600</v>
      </c>
      <c r="H84" s="721">
        <f>+G84*100/D84</f>
        <v>8.1076200013847369E-2</v>
      </c>
      <c r="I84" s="315">
        <f t="shared" si="1"/>
        <v>2361920.36</v>
      </c>
      <c r="J84" s="703">
        <f>+I84*100/D84</f>
        <v>8.8655336816730728</v>
      </c>
      <c r="K84" s="722">
        <f>+D84-I84</f>
        <v>24279683.460000001</v>
      </c>
      <c r="L84" s="1025" t="e">
        <f>+J84-#REF!</f>
        <v>#REF!</v>
      </c>
      <c r="M84" s="1026">
        <v>367.3</v>
      </c>
      <c r="N84" s="1018">
        <v>58292790.57</v>
      </c>
      <c r="O84" s="1028">
        <f>D84-N84</f>
        <v>-31651186.75</v>
      </c>
      <c r="P84" s="1053" t="s">
        <v>484</v>
      </c>
      <c r="Q84" s="1030" t="s">
        <v>532</v>
      </c>
      <c r="R84" s="1028" t="s">
        <v>705</v>
      </c>
      <c r="S84" s="1028" t="s">
        <v>706</v>
      </c>
      <c r="T84" s="1032"/>
      <c r="U84" s="1031"/>
      <c r="V84" s="1031"/>
      <c r="W84" s="1028"/>
    </row>
    <row r="85" spans="1:23" s="683" customFormat="1" ht="27.95" customHeight="1">
      <c r="A85" s="710"/>
      <c r="B85" s="709"/>
      <c r="C85" s="710"/>
      <c r="D85" s="711"/>
      <c r="E85" s="711"/>
      <c r="F85" s="712"/>
      <c r="G85" s="713"/>
      <c r="H85" s="712"/>
      <c r="I85" s="713"/>
      <c r="J85" s="732"/>
      <c r="K85" s="733"/>
      <c r="L85" s="1054"/>
      <c r="M85" s="1054"/>
      <c r="N85" s="1023"/>
      <c r="O85" s="1055"/>
      <c r="P85" s="1056"/>
      <c r="Q85" s="1023"/>
      <c r="R85" s="1023"/>
      <c r="S85" s="1023"/>
      <c r="T85" s="1023"/>
      <c r="U85" s="1023"/>
      <c r="V85" s="1023"/>
      <c r="W85" s="1023"/>
    </row>
    <row r="86" spans="1:23">
      <c r="B86" s="236"/>
      <c r="F86" s="118"/>
      <c r="G86" s="117"/>
      <c r="H86" s="139"/>
      <c r="I86" s="117"/>
      <c r="J86" s="237"/>
      <c r="L86" s="1057"/>
      <c r="M86" s="1057"/>
      <c r="O86" s="1058"/>
    </row>
    <row r="87" spans="1:23">
      <c r="B87" s="236"/>
      <c r="F87" s="118"/>
      <c r="G87" s="117"/>
      <c r="H87" s="139"/>
      <c r="I87" s="117"/>
      <c r="J87" s="237"/>
      <c r="L87" s="1057"/>
      <c r="M87" s="1057"/>
      <c r="O87" s="1058"/>
    </row>
    <row r="88" spans="1:23">
      <c r="B88" s="236"/>
      <c r="F88" s="118"/>
      <c r="G88" s="117"/>
      <c r="H88" s="139"/>
      <c r="I88" s="117"/>
      <c r="J88" s="237"/>
      <c r="L88" s="1057"/>
      <c r="M88" s="1057"/>
      <c r="O88" s="1058"/>
    </row>
    <row r="89" spans="1:23">
      <c r="B89" s="236"/>
      <c r="F89" s="118"/>
      <c r="G89" s="117"/>
      <c r="H89" s="139"/>
      <c r="I89" s="117"/>
      <c r="J89" s="237"/>
      <c r="L89" s="1057"/>
      <c r="M89" s="1057"/>
      <c r="O89" s="1058"/>
    </row>
    <row r="90" spans="1:23">
      <c r="B90" s="236"/>
      <c r="F90" s="118"/>
      <c r="G90" s="117"/>
      <c r="H90" s="139"/>
      <c r="I90" s="117"/>
      <c r="J90" s="237"/>
      <c r="L90" s="1057"/>
      <c r="M90" s="1057"/>
      <c r="O90" s="1058"/>
    </row>
    <row r="91" spans="1:23">
      <c r="B91" s="236"/>
      <c r="F91" s="118"/>
      <c r="G91" s="117"/>
      <c r="H91" s="139"/>
      <c r="I91" s="117"/>
      <c r="J91" s="237"/>
      <c r="L91" s="1057"/>
      <c r="M91" s="1057"/>
      <c r="O91" s="1058"/>
    </row>
    <row r="92" spans="1:23">
      <c r="B92" s="236"/>
      <c r="F92" s="118"/>
      <c r="G92" s="117"/>
      <c r="H92" s="139"/>
      <c r="I92" s="117"/>
      <c r="J92" s="237"/>
      <c r="L92" s="1057"/>
      <c r="M92" s="1057"/>
      <c r="O92" s="1058"/>
    </row>
    <row r="93" spans="1:23">
      <c r="B93" s="172"/>
      <c r="J93" s="237"/>
      <c r="L93" s="1057"/>
      <c r="M93" s="1057"/>
      <c r="O93" s="1058"/>
    </row>
    <row r="94" spans="1:23">
      <c r="B94" s="172"/>
      <c r="J94" s="237"/>
      <c r="L94" s="1057"/>
      <c r="M94" s="1057"/>
    </row>
    <row r="95" spans="1:23">
      <c r="J95" s="237"/>
      <c r="L95" s="1057"/>
      <c r="M95" s="1057"/>
    </row>
    <row r="96" spans="1:23">
      <c r="J96" s="237"/>
      <c r="L96" s="1057"/>
      <c r="M96" s="1057"/>
    </row>
    <row r="97" spans="10:13">
      <c r="J97" s="237"/>
      <c r="L97" s="1057"/>
      <c r="M97" s="1057"/>
    </row>
    <row r="98" spans="10:13">
      <c r="J98" s="237"/>
      <c r="L98" s="1057"/>
      <c r="M98" s="1057"/>
    </row>
    <row r="99" spans="10:13">
      <c r="J99" s="237"/>
      <c r="L99" s="1057"/>
      <c r="M99" s="1057"/>
    </row>
    <row r="100" spans="10:13">
      <c r="J100" s="237"/>
      <c r="L100" s="1061"/>
      <c r="M100" s="1061"/>
    </row>
    <row r="101" spans="10:13">
      <c r="L101" s="1061"/>
      <c r="M101" s="1061"/>
    </row>
  </sheetData>
  <mergeCells count="19">
    <mergeCell ref="P5:P8"/>
    <mergeCell ref="R5:R8"/>
    <mergeCell ref="S5:S8"/>
    <mergeCell ref="N2:O2"/>
    <mergeCell ref="A3:L3"/>
    <mergeCell ref="A4:L4"/>
    <mergeCell ref="D5:D7"/>
    <mergeCell ref="E5:J5"/>
    <mergeCell ref="K5:K7"/>
    <mergeCell ref="L5:L7"/>
    <mergeCell ref="M5:M7"/>
    <mergeCell ref="E6:F6"/>
    <mergeCell ref="G6:H6"/>
    <mergeCell ref="I6:J6"/>
    <mergeCell ref="A1:L1"/>
    <mergeCell ref="A2:L2"/>
    <mergeCell ref="A5:A7"/>
    <mergeCell ref="B5:B7"/>
    <mergeCell ref="C5:C7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Y91"/>
  <sheetViews>
    <sheetView zoomScale="60" zoomScaleNormal="60" workbookViewId="0">
      <selection activeCell="H8" sqref="H8"/>
    </sheetView>
  </sheetViews>
  <sheetFormatPr defaultRowHeight="26.25"/>
  <cols>
    <col min="1" max="1" width="8.7109375" style="283" customWidth="1"/>
    <col min="2" max="2" width="80.85546875" style="284" customWidth="1"/>
    <col min="3" max="3" width="30" style="285" customWidth="1"/>
    <col min="4" max="4" width="28.7109375" style="285" customWidth="1"/>
    <col min="5" max="5" width="17" style="290" customWidth="1"/>
    <col min="6" max="6" width="28.7109375" style="285" customWidth="1"/>
    <col min="7" max="7" width="15.5703125" style="285" customWidth="1"/>
    <col min="8" max="8" width="28.7109375" style="285" customWidth="1"/>
    <col min="9" max="9" width="16.42578125" style="291" customWidth="1"/>
    <col min="10" max="10" width="28" style="285" hidden="1" customWidth="1"/>
    <col min="11" max="11" width="28.5703125" style="285" customWidth="1"/>
    <col min="12" max="12" width="23.28515625" style="261" customWidth="1"/>
    <col min="13" max="13" width="25.28515625" style="261" customWidth="1"/>
    <col min="14" max="14" width="20.140625" style="130" customWidth="1"/>
    <col min="15" max="15" width="19.5703125" style="130" customWidth="1"/>
    <col min="16" max="16" width="15.5703125" style="130" customWidth="1"/>
    <col min="17" max="17" width="20.5703125" style="261" customWidth="1"/>
    <col min="18" max="18" width="14.28515625" style="261" customWidth="1"/>
    <col min="19" max="48" width="9.140625" style="261" customWidth="1"/>
    <col min="49" max="49" width="26.5703125" style="261" customWidth="1"/>
    <col min="50" max="50" width="9.140625" style="261"/>
    <col min="51" max="51" width="25.28515625" style="261" customWidth="1"/>
    <col min="52" max="16384" width="9.140625" style="261"/>
  </cols>
  <sheetData>
    <row r="1" spans="1:49" s="262" customFormat="1" ht="50.25" customHeight="1">
      <c r="A1" s="873" t="s">
        <v>238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570"/>
      <c r="M1" s="570"/>
      <c r="N1" s="130"/>
      <c r="O1" s="130"/>
      <c r="P1" s="130"/>
      <c r="Q1" s="261"/>
    </row>
    <row r="2" spans="1:49" s="262" customFormat="1" ht="50.25" customHeight="1">
      <c r="A2" s="874" t="s">
        <v>707</v>
      </c>
      <c r="B2" s="874"/>
      <c r="C2" s="874"/>
      <c r="D2" s="874"/>
      <c r="E2" s="874"/>
      <c r="F2" s="874"/>
      <c r="G2" s="874"/>
      <c r="H2" s="874"/>
      <c r="I2" s="874"/>
      <c r="J2" s="874"/>
      <c r="K2" s="874"/>
      <c r="N2" s="130"/>
      <c r="O2" s="130"/>
      <c r="P2" s="130"/>
      <c r="Q2" s="261"/>
    </row>
    <row r="3" spans="1:49" s="268" customFormat="1" ht="66.75" customHeight="1">
      <c r="A3" s="865" t="s">
        <v>239</v>
      </c>
      <c r="B3" s="866"/>
      <c r="C3" s="263" t="s">
        <v>128</v>
      </c>
      <c r="D3" s="859" t="s">
        <v>9</v>
      </c>
      <c r="E3" s="859"/>
      <c r="F3" s="875" t="s">
        <v>90</v>
      </c>
      <c r="G3" s="875"/>
      <c r="H3" s="875" t="s">
        <v>240</v>
      </c>
      <c r="I3" s="875"/>
      <c r="J3" s="871" t="s">
        <v>27</v>
      </c>
      <c r="K3" s="871" t="s">
        <v>4</v>
      </c>
      <c r="L3" s="264"/>
      <c r="M3" s="264"/>
      <c r="N3" s="265"/>
      <c r="O3" s="265"/>
      <c r="P3" s="266"/>
      <c r="Q3" s="267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</row>
    <row r="4" spans="1:49" s="268" customFormat="1" ht="16.5" customHeight="1">
      <c r="A4" s="867"/>
      <c r="B4" s="868"/>
      <c r="C4" s="871" t="s">
        <v>113</v>
      </c>
      <c r="D4" s="871" t="s">
        <v>113</v>
      </c>
      <c r="E4" s="872" t="s">
        <v>7</v>
      </c>
      <c r="F4" s="871" t="s">
        <v>113</v>
      </c>
      <c r="G4" s="871" t="s">
        <v>7</v>
      </c>
      <c r="H4" s="871" t="s">
        <v>113</v>
      </c>
      <c r="I4" s="872" t="s">
        <v>7</v>
      </c>
      <c r="J4" s="871"/>
      <c r="K4" s="871"/>
      <c r="L4" s="264"/>
      <c r="M4" s="264"/>
      <c r="N4" s="265"/>
      <c r="O4" s="265"/>
      <c r="P4" s="266"/>
      <c r="Q4" s="267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</row>
    <row r="5" spans="1:49" s="268" customFormat="1" ht="21" customHeight="1">
      <c r="A5" s="869"/>
      <c r="B5" s="870"/>
      <c r="C5" s="871"/>
      <c r="D5" s="871"/>
      <c r="E5" s="872"/>
      <c r="F5" s="871"/>
      <c r="G5" s="871"/>
      <c r="H5" s="871"/>
      <c r="I5" s="872"/>
      <c r="J5" s="871"/>
      <c r="K5" s="871"/>
      <c r="L5" s="264"/>
      <c r="M5" s="264"/>
      <c r="N5" s="265"/>
      <c r="O5" s="265"/>
      <c r="P5" s="266"/>
      <c r="Q5" s="267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</row>
    <row r="6" spans="1:49" s="274" customFormat="1" ht="52.5" customHeight="1">
      <c r="A6" s="861" t="s">
        <v>242</v>
      </c>
      <c r="B6" s="861"/>
      <c r="C6" s="275">
        <f>C7+C15</f>
        <v>689134400</v>
      </c>
      <c r="D6" s="275">
        <f>D7+D15</f>
        <v>24809924.449999999</v>
      </c>
      <c r="E6" s="571">
        <f>D6/C6*100</f>
        <v>3.6001575962540833</v>
      </c>
      <c r="F6" s="275">
        <f>F7+F15</f>
        <v>12865097.42</v>
      </c>
      <c r="G6" s="571">
        <f>F6/C6*100</f>
        <v>1.8668488207815483</v>
      </c>
      <c r="H6" s="275">
        <f>H7+H15</f>
        <v>37675021.869999997</v>
      </c>
      <c r="I6" s="571">
        <f>H6/C6*100</f>
        <v>5.4670064170356314</v>
      </c>
      <c r="J6" s="605"/>
      <c r="K6" s="275">
        <f>K7+K15</f>
        <v>651459378.13</v>
      </c>
      <c r="N6" s="273"/>
      <c r="O6" s="273"/>
      <c r="P6" s="273"/>
    </row>
    <row r="7" spans="1:49" s="274" customFormat="1" ht="52.5" customHeight="1">
      <c r="A7" s="860" t="s">
        <v>207</v>
      </c>
      <c r="B7" s="860"/>
      <c r="C7" s="276">
        <f>+C8+C13</f>
        <v>486669600</v>
      </c>
      <c r="D7" s="276">
        <f>+D8+D13</f>
        <v>23919444.449999999</v>
      </c>
      <c r="E7" s="572">
        <f>D7/C7*100</f>
        <v>4.9149247148373352</v>
      </c>
      <c r="F7" s="276">
        <f>+F8+F13</f>
        <v>1945860</v>
      </c>
      <c r="G7" s="573">
        <f>SUM(G8)</f>
        <v>0.4118366038179111</v>
      </c>
      <c r="H7" s="276">
        <f>+H8+H13</f>
        <v>25865304.449999999</v>
      </c>
      <c r="I7" s="573">
        <f>H7/C7*100</f>
        <v>5.3147565514673607</v>
      </c>
      <c r="J7" s="276" t="e">
        <f>SUM(#REF!+#REF!)</f>
        <v>#REF!</v>
      </c>
      <c r="K7" s="276">
        <f>+K8+K13</f>
        <v>460804295.55000001</v>
      </c>
      <c r="N7" s="273"/>
      <c r="O7" s="273"/>
      <c r="P7" s="273"/>
    </row>
    <row r="8" spans="1:49" s="274" customFormat="1" ht="46.5" customHeight="1">
      <c r="A8" s="862" t="s">
        <v>243</v>
      </c>
      <c r="B8" s="863"/>
      <c r="C8" s="269">
        <f>SUM(C9:C12)</f>
        <v>472483500</v>
      </c>
      <c r="D8" s="269">
        <f>SUM(D9:D12)</f>
        <v>23919444.449999999</v>
      </c>
      <c r="E8" s="574">
        <f>D8/C8*100</f>
        <v>5.062493071186613</v>
      </c>
      <c r="F8" s="269">
        <f>SUM(F9:F12)</f>
        <v>1945860</v>
      </c>
      <c r="G8" s="574">
        <f>F8/C8*100</f>
        <v>0.4118366038179111</v>
      </c>
      <c r="H8" s="269">
        <f>SUM(H9:H12)</f>
        <v>25865304.449999999</v>
      </c>
      <c r="I8" s="574">
        <f>H8/C8*100</f>
        <v>5.4743296750045234</v>
      </c>
      <c r="J8" s="272"/>
      <c r="K8" s="269">
        <f>SUM(K9:K12)</f>
        <v>446618195.55000001</v>
      </c>
      <c r="N8" s="273"/>
      <c r="O8" s="273"/>
      <c r="P8" s="273"/>
    </row>
    <row r="9" spans="1:49" s="274" customFormat="1" ht="42" customHeight="1">
      <c r="A9" s="277">
        <v>1</v>
      </c>
      <c r="B9" s="278" t="s">
        <v>135</v>
      </c>
      <c r="C9" s="272">
        <f>472483500-C10-C11-C12</f>
        <v>104304050</v>
      </c>
      <c r="D9" s="270">
        <v>0</v>
      </c>
      <c r="E9" s="606">
        <f t="shared" ref="E9:E14" si="0">+D9*100/C9</f>
        <v>0</v>
      </c>
      <c r="F9" s="270">
        <v>0</v>
      </c>
      <c r="G9" s="272">
        <f t="shared" ref="G9:G14" si="1">+F9*100/C9</f>
        <v>0</v>
      </c>
      <c r="H9" s="270">
        <f>F9+D9</f>
        <v>0</v>
      </c>
      <c r="I9" s="279">
        <f t="shared" ref="I9:I14" si="2">+H9*100/C9</f>
        <v>0</v>
      </c>
      <c r="J9" s="272"/>
      <c r="K9" s="270">
        <f>+C9-H9</f>
        <v>104304050</v>
      </c>
      <c r="N9" s="273"/>
      <c r="O9" s="273"/>
      <c r="P9" s="273"/>
    </row>
    <row r="10" spans="1:49" s="274" customFormat="1" ht="42" customHeight="1">
      <c r="A10" s="277">
        <v>2</v>
      </c>
      <c r="B10" s="278" t="s">
        <v>244</v>
      </c>
      <c r="C10" s="272">
        <f>+[5]เรียงส่วนกลาง!D9</f>
        <v>18087080</v>
      </c>
      <c r="D10" s="270">
        <f>+[5]เรียงส่วนกลาง!E9</f>
        <v>1683942.45</v>
      </c>
      <c r="E10" s="575">
        <f t="shared" si="0"/>
        <v>9.3101951779944585</v>
      </c>
      <c r="F10" s="270">
        <f>+[5]เรียงส่วนกลาง!G9</f>
        <v>1175000</v>
      </c>
      <c r="G10" s="575">
        <f t="shared" si="1"/>
        <v>6.4963498806883146</v>
      </c>
      <c r="H10" s="270">
        <f>+D10+F10</f>
        <v>2858942.45</v>
      </c>
      <c r="I10" s="575">
        <f t="shared" si="2"/>
        <v>15.806545058682772</v>
      </c>
      <c r="J10" s="272"/>
      <c r="K10" s="270">
        <f>+C10-H10</f>
        <v>15228137.550000001</v>
      </c>
      <c r="N10" s="273"/>
      <c r="O10" s="273"/>
      <c r="P10" s="273"/>
    </row>
    <row r="11" spans="1:49" s="274" customFormat="1" ht="42" customHeight="1">
      <c r="A11" s="277">
        <v>3</v>
      </c>
      <c r="B11" s="278" t="s">
        <v>127</v>
      </c>
      <c r="C11" s="272">
        <f>+[5]เรียงศูนย์ศึกษาฯ!D9</f>
        <v>7848470</v>
      </c>
      <c r="D11" s="270">
        <f>+[5]เรียงศูนย์ศึกษาฯ!E9</f>
        <v>3038455</v>
      </c>
      <c r="E11" s="575">
        <f t="shared" si="0"/>
        <v>38.713978648067716</v>
      </c>
      <c r="F11" s="270">
        <f>+[5]เรียงศูนย์ศึกษาฯ!G9</f>
        <v>0</v>
      </c>
      <c r="G11" s="279">
        <f t="shared" si="1"/>
        <v>0</v>
      </c>
      <c r="H11" s="270">
        <f>+D11+F11</f>
        <v>3038455</v>
      </c>
      <c r="I11" s="575">
        <f t="shared" si="2"/>
        <v>38.713978648067716</v>
      </c>
      <c r="J11" s="272"/>
      <c r="K11" s="270">
        <f>+C11-H11</f>
        <v>4810015</v>
      </c>
      <c r="N11" s="273"/>
      <c r="O11" s="273"/>
      <c r="P11" s="273"/>
    </row>
    <row r="12" spans="1:49" s="274" customFormat="1" ht="42" customHeight="1">
      <c r="A12" s="277">
        <v>4</v>
      </c>
      <c r="B12" s="278" t="s">
        <v>222</v>
      </c>
      <c r="C12" s="272">
        <f>+[5]เรียงจังหวัด!D8</f>
        <v>342243900</v>
      </c>
      <c r="D12" s="270">
        <f>+[5]เรียงจังหวัด!E8</f>
        <v>19197047</v>
      </c>
      <c r="E12" s="575">
        <f t="shared" si="0"/>
        <v>5.6091714125511078</v>
      </c>
      <c r="F12" s="270">
        <f>+[5]เรียงจังหวัด!G8</f>
        <v>770860</v>
      </c>
      <c r="G12" s="575">
        <f t="shared" si="1"/>
        <v>0.22523703125168923</v>
      </c>
      <c r="H12" s="270">
        <f>+D12+F12</f>
        <v>19967907</v>
      </c>
      <c r="I12" s="575">
        <f t="shared" si="2"/>
        <v>5.834408443802797</v>
      </c>
      <c r="J12" s="272"/>
      <c r="K12" s="270">
        <f>+C12-H12</f>
        <v>322275993</v>
      </c>
      <c r="N12" s="273"/>
      <c r="O12" s="273"/>
      <c r="P12" s="273"/>
    </row>
    <row r="13" spans="1:49" s="274" customFormat="1" ht="46.5" customHeight="1">
      <c r="A13" s="864" t="s">
        <v>245</v>
      </c>
      <c r="B13" s="864"/>
      <c r="C13" s="280">
        <f>+C14</f>
        <v>14186100</v>
      </c>
      <c r="D13" s="280">
        <f>+D14</f>
        <v>0</v>
      </c>
      <c r="E13" s="269">
        <f t="shared" si="0"/>
        <v>0</v>
      </c>
      <c r="F13" s="280">
        <f>+F14</f>
        <v>0</v>
      </c>
      <c r="G13" s="280">
        <f t="shared" si="1"/>
        <v>0</v>
      </c>
      <c r="H13" s="280">
        <f>+H14</f>
        <v>0</v>
      </c>
      <c r="I13" s="269">
        <f t="shared" si="2"/>
        <v>0</v>
      </c>
      <c r="J13" s="280"/>
      <c r="K13" s="280">
        <f>+K14</f>
        <v>14186100</v>
      </c>
      <c r="N13" s="273"/>
      <c r="O13" s="273"/>
      <c r="P13" s="273"/>
    </row>
    <row r="14" spans="1:49" s="274" customFormat="1" ht="42" customHeight="1">
      <c r="A14" s="277">
        <v>1</v>
      </c>
      <c r="B14" s="278" t="s">
        <v>135</v>
      </c>
      <c r="C14" s="272">
        <v>14186100</v>
      </c>
      <c r="D14" s="270">
        <v>0</v>
      </c>
      <c r="E14" s="279">
        <f t="shared" si="0"/>
        <v>0</v>
      </c>
      <c r="F14" s="270">
        <v>0</v>
      </c>
      <c r="G14" s="272">
        <f t="shared" si="1"/>
        <v>0</v>
      </c>
      <c r="H14" s="270">
        <f>+D14+F14</f>
        <v>0</v>
      </c>
      <c r="I14" s="279">
        <f t="shared" si="2"/>
        <v>0</v>
      </c>
      <c r="J14" s="272"/>
      <c r="K14" s="270">
        <f>+C14-H14</f>
        <v>14186100</v>
      </c>
      <c r="N14" s="273"/>
      <c r="O14" s="273"/>
      <c r="P14" s="273"/>
    </row>
    <row r="15" spans="1:49" s="274" customFormat="1" ht="52.5" customHeight="1">
      <c r="A15" s="860" t="s">
        <v>246</v>
      </c>
      <c r="B15" s="860"/>
      <c r="C15" s="276">
        <f>+C16+C18+C22+C25</f>
        <v>202464800</v>
      </c>
      <c r="D15" s="276">
        <f>+D16+D18+D22+D25</f>
        <v>890480</v>
      </c>
      <c r="E15" s="572">
        <f>D15/C15*100</f>
        <v>0.43981966247960136</v>
      </c>
      <c r="F15" s="276">
        <f>+F16+F18+F22+F25</f>
        <v>10919237.42</v>
      </c>
      <c r="G15" s="573">
        <f>F15/C15*100</f>
        <v>5.3931534864331967</v>
      </c>
      <c r="H15" s="276">
        <f>+H16+H18+H22+H25</f>
        <v>11809717.42</v>
      </c>
      <c r="I15" s="573">
        <f>H15/C15*100</f>
        <v>5.8329731489127985</v>
      </c>
      <c r="J15" s="276" t="e">
        <f>SUM(J18+#REF!)</f>
        <v>#REF!</v>
      </c>
      <c r="K15" s="276">
        <f>+K16+K18+K22+K25</f>
        <v>190655082.57999998</v>
      </c>
      <c r="N15" s="273"/>
      <c r="O15" s="273"/>
      <c r="P15" s="273"/>
    </row>
    <row r="16" spans="1:49" s="274" customFormat="1" ht="52.5" customHeight="1">
      <c r="A16" s="858" t="s">
        <v>243</v>
      </c>
      <c r="B16" s="858"/>
      <c r="C16" s="281">
        <f>+C17</f>
        <v>5955000</v>
      </c>
      <c r="D16" s="281">
        <f>+D17</f>
        <v>0</v>
      </c>
      <c r="E16" s="269">
        <f>D16/C16*100</f>
        <v>0</v>
      </c>
      <c r="F16" s="281">
        <f>+F17</f>
        <v>0</v>
      </c>
      <c r="G16" s="280">
        <f>F16/C16*100</f>
        <v>0</v>
      </c>
      <c r="H16" s="281">
        <f>+H17</f>
        <v>0</v>
      </c>
      <c r="I16" s="269">
        <f>+H16*100/C16</f>
        <v>0</v>
      </c>
      <c r="J16" s="280"/>
      <c r="K16" s="281">
        <f>+K17</f>
        <v>5955000</v>
      </c>
      <c r="N16" s="273"/>
      <c r="O16" s="273"/>
      <c r="P16" s="273"/>
    </row>
    <row r="17" spans="1:16" s="274" customFormat="1" ht="42" customHeight="1">
      <c r="A17" s="607">
        <v>1</v>
      </c>
      <c r="B17" s="278" t="s">
        <v>262</v>
      </c>
      <c r="C17" s="270">
        <f>+[5]รายละเอียดงบลงทุน!F25</f>
        <v>5955000</v>
      </c>
      <c r="D17" s="270">
        <f>+[5]รายละเอียดงบลงทุน!L25</f>
        <v>0</v>
      </c>
      <c r="E17" s="279">
        <f>D17/C17*100</f>
        <v>0</v>
      </c>
      <c r="F17" s="270">
        <f>+[5]รายละเอียดงบลงทุน!N25</f>
        <v>0</v>
      </c>
      <c r="G17" s="272">
        <f>F17/C17*100</f>
        <v>0</v>
      </c>
      <c r="H17" s="270">
        <f>F17+D17</f>
        <v>0</v>
      </c>
      <c r="I17" s="279">
        <f>+H17*100/C17</f>
        <v>0</v>
      </c>
      <c r="J17" s="272"/>
      <c r="K17" s="270">
        <f>+C17-H17</f>
        <v>5955000</v>
      </c>
      <c r="N17" s="273"/>
      <c r="O17" s="273"/>
      <c r="P17" s="273"/>
    </row>
    <row r="18" spans="1:16" s="274" customFormat="1" ht="52.5" customHeight="1">
      <c r="A18" s="858" t="s">
        <v>245</v>
      </c>
      <c r="B18" s="858"/>
      <c r="C18" s="281">
        <f>SUM(C19:C21)</f>
        <v>51122300</v>
      </c>
      <c r="D18" s="281">
        <f>SUM(D19:D21)</f>
        <v>890480</v>
      </c>
      <c r="E18" s="574">
        <f>D18/C18*100</f>
        <v>1.7418621619136856</v>
      </c>
      <c r="F18" s="281">
        <f>SUM(F19:F21)</f>
        <v>10185000</v>
      </c>
      <c r="G18" s="574">
        <f>F18/C18*100</f>
        <v>19.922812549513615</v>
      </c>
      <c r="H18" s="281">
        <f>SUM(H19:H21)</f>
        <v>11075480</v>
      </c>
      <c r="I18" s="574">
        <f t="shared" ref="I18:I26" si="3">+H18*100/C18</f>
        <v>21.664674711427303</v>
      </c>
      <c r="J18" s="280"/>
      <c r="K18" s="281">
        <f>SUM(K19:K21)</f>
        <v>40046820</v>
      </c>
      <c r="N18" s="273"/>
      <c r="O18" s="273"/>
      <c r="P18" s="273"/>
    </row>
    <row r="19" spans="1:16" s="274" customFormat="1" ht="42" customHeight="1">
      <c r="A19" s="277">
        <v>1</v>
      </c>
      <c r="B19" s="278" t="s">
        <v>247</v>
      </c>
      <c r="C19" s="1063">
        <f>+[5]รายละเอียดงบลงทุน!F9+[5]รายละเอียดงบลงทุน!F10+[5]รายละเอียดงบลงทุน!F11+[5]รายละเอียดงบลงทุน!F15+[5]รายละเอียดงบลงทุน!F12</f>
        <v>30838010</v>
      </c>
      <c r="D19" s="270">
        <f>+[5]รายละเอียดงบลงทุน!L9+[5]รายละเอียดงบลงทุน!L10+[5]รายละเอียดงบลงทุน!L11+[5]รายละเอียดงบลงทุน!L15+[5]รายละเอียดงบลงทุน!L12</f>
        <v>0</v>
      </c>
      <c r="E19" s="271">
        <v>0</v>
      </c>
      <c r="F19" s="270">
        <f>+[5]รายละเอียดงบลงทุน!N9+[5]รายละเอียดงบลงทุน!N10+[5]รายละเอียดงบลงทุน!N11+[5]รายละเอียดงบลงทุน!N15+[5]รายละเอียดงบลงทุน!N12</f>
        <v>1575000</v>
      </c>
      <c r="G19" s="272">
        <v>0</v>
      </c>
      <c r="H19" s="270">
        <f>F19+D19</f>
        <v>1575000</v>
      </c>
      <c r="I19" s="575">
        <f t="shared" si="3"/>
        <v>5.1073334498562</v>
      </c>
      <c r="J19" s="272"/>
      <c r="K19" s="270">
        <f>C19-H19</f>
        <v>29263010</v>
      </c>
      <c r="N19" s="273"/>
      <c r="O19" s="273"/>
      <c r="P19" s="273"/>
    </row>
    <row r="20" spans="1:16" s="274" customFormat="1" ht="42" customHeight="1">
      <c r="A20" s="277">
        <v>2</v>
      </c>
      <c r="B20" s="278" t="s">
        <v>248</v>
      </c>
      <c r="C20" s="272">
        <f>+[5]รายละเอียดงบลงทุน!F13+[5]รายละเอียดงบลงทุน!F22</f>
        <v>1081500</v>
      </c>
      <c r="D20" s="270">
        <f>+[5]รายละเอียดงบลงทุน!L13+[5]รายละเอียดงบลงทุน!L22</f>
        <v>10800</v>
      </c>
      <c r="E20" s="575">
        <f>+D20*100/C20</f>
        <v>0.9986130374479889</v>
      </c>
      <c r="F20" s="270">
        <f>+[5]รายละเอียดงบลงทุน!N13+[5]รายละเอียดงบลงทุน!N22</f>
        <v>0</v>
      </c>
      <c r="G20" s="272">
        <f>F20/C20*100</f>
        <v>0</v>
      </c>
      <c r="H20" s="270">
        <f>F20+D20</f>
        <v>10800</v>
      </c>
      <c r="I20" s="575">
        <f t="shared" si="3"/>
        <v>0.9986130374479889</v>
      </c>
      <c r="J20" s="272"/>
      <c r="K20" s="270">
        <f>C20-H20</f>
        <v>1070700</v>
      </c>
      <c r="N20" s="273"/>
      <c r="O20" s="273"/>
      <c r="P20" s="273"/>
    </row>
    <row r="21" spans="1:16" s="274" customFormat="1" ht="42" customHeight="1">
      <c r="A21" s="277">
        <v>3</v>
      </c>
      <c r="B21" s="282" t="s">
        <v>249</v>
      </c>
      <c r="C21" s="272">
        <f>+[5]รายละเอียดงบลงทุน!F14+[5]รายละเอียดงบลงทุน!F21+[5]รายละเอียดงบลงทุน!F17+[5]รายละเอียดงบลงทุน!F19+[5]รายละเอียดงบลงทุน!F20+[5]รายละเอียดงบลงทุน!F23+[5]รายละเอียดงบลงทุน!F16+[5]รายละเอียดงบลงทุน!F18</f>
        <v>19202790</v>
      </c>
      <c r="D21" s="270">
        <f>+[5]รายละเอียดงบลงทุน!L14+[5]รายละเอียดงบลงทุน!L21+[5]รายละเอียดงบลงทุน!L17+[5]รายละเอียดงบลงทุน!L19+[5]รายละเอียดงบลงทุน!L20+[5]รายละเอียดงบลงทุน!L23+[5]รายละเอียดงบลงทุน!L16+[5]รายละเอียดงบลงทุน!L18</f>
        <v>879680</v>
      </c>
      <c r="E21" s="575">
        <f>+D21*100/C21</f>
        <v>4.5810009899603132</v>
      </c>
      <c r="F21" s="270">
        <f>+[5]รายละเอียดงบลงทุน!N14+[5]รายละเอียดงบลงทุน!N21+[5]รายละเอียดงบลงทุน!N17+[5]รายละเอียดงบลงทุน!N19+[5]รายละเอียดงบลงทุน!N20+[5]รายละเอียดงบลงทุน!N23+[5]รายละเอียดงบลงทุน!N16+[5]รายละเอียดงบลงทุน!N18</f>
        <v>8610000</v>
      </c>
      <c r="G21" s="575">
        <f>F21/C21*100</f>
        <v>44.837234589348732</v>
      </c>
      <c r="H21" s="270">
        <f>F21+D21</f>
        <v>9489680</v>
      </c>
      <c r="I21" s="575">
        <f t="shared" si="3"/>
        <v>49.418235579309048</v>
      </c>
      <c r="J21" s="272"/>
      <c r="K21" s="270">
        <f>C21-H21</f>
        <v>9713110</v>
      </c>
      <c r="N21" s="273"/>
      <c r="O21" s="273"/>
      <c r="P21" s="273"/>
    </row>
    <row r="22" spans="1:16" s="1069" customFormat="1" ht="52.5" customHeight="1">
      <c r="A22" s="1064" t="s">
        <v>250</v>
      </c>
      <c r="B22" s="1064"/>
      <c r="C22" s="1065">
        <f>SUM(C23:C24)</f>
        <v>144937500</v>
      </c>
      <c r="D22" s="1065">
        <f>SUM(D23:D24)</f>
        <v>0</v>
      </c>
      <c r="E22" s="1066">
        <f>D22/C22*100</f>
        <v>0</v>
      </c>
      <c r="F22" s="1065">
        <f>SUM(F23:F24)</f>
        <v>734237.42</v>
      </c>
      <c r="G22" s="1067">
        <f>F22/C22*100</f>
        <v>0.50658899180681338</v>
      </c>
      <c r="H22" s="1065">
        <f>SUM(H23:H24)</f>
        <v>734237.42</v>
      </c>
      <c r="I22" s="1067">
        <f t="shared" si="3"/>
        <v>0.50658899180681327</v>
      </c>
      <c r="J22" s="1068"/>
      <c r="K22" s="1065">
        <f>SUM(K23:K24)</f>
        <v>144203262.57999998</v>
      </c>
      <c r="N22" s="1070"/>
      <c r="O22" s="1070"/>
      <c r="P22" s="1070"/>
    </row>
    <row r="23" spans="1:16" s="322" customFormat="1" ht="42" customHeight="1">
      <c r="A23" s="320">
        <v>1</v>
      </c>
      <c r="B23" s="278" t="s">
        <v>263</v>
      </c>
      <c r="C23" s="321">
        <v>124591500</v>
      </c>
      <c r="D23" s="321"/>
      <c r="E23" s="271">
        <v>0</v>
      </c>
      <c r="F23" s="321"/>
      <c r="G23" s="272">
        <v>0</v>
      </c>
      <c r="H23" s="270">
        <f>F23+D23</f>
        <v>0</v>
      </c>
      <c r="I23" s="279">
        <f t="shared" si="3"/>
        <v>0</v>
      </c>
      <c r="J23" s="272"/>
      <c r="K23" s="270">
        <f>C23-H23</f>
        <v>124591500</v>
      </c>
      <c r="N23" s="323"/>
      <c r="O23" s="323"/>
      <c r="P23" s="323"/>
    </row>
    <row r="24" spans="1:16" s="274" customFormat="1" ht="42" customHeight="1">
      <c r="A24" s="277">
        <v>2</v>
      </c>
      <c r="B24" s="278" t="s">
        <v>460</v>
      </c>
      <c r="C24" s="1063">
        <f>+[5]รายละเอียดงบลงทุน!F26-C23</f>
        <v>20346000</v>
      </c>
      <c r="D24" s="270">
        <f>+[5]รายละเอียดงบลงทุน!L26</f>
        <v>0</v>
      </c>
      <c r="E24" s="271">
        <v>0</v>
      </c>
      <c r="F24" s="270">
        <f>+[5]รายละเอียดงบลงทุน!N26</f>
        <v>734237.42</v>
      </c>
      <c r="G24" s="272">
        <v>0</v>
      </c>
      <c r="H24" s="270">
        <f>F24+D24</f>
        <v>734237.42</v>
      </c>
      <c r="I24" s="575">
        <f t="shared" si="3"/>
        <v>3.6087556276417967</v>
      </c>
      <c r="J24" s="272"/>
      <c r="K24" s="270">
        <f>C24-H24</f>
        <v>19611762.579999998</v>
      </c>
      <c r="N24" s="273"/>
      <c r="O24" s="273"/>
      <c r="P24" s="273"/>
    </row>
    <row r="25" spans="1:16" s="274" customFormat="1" ht="52.5" customHeight="1">
      <c r="A25" s="858" t="s">
        <v>251</v>
      </c>
      <c r="B25" s="858"/>
      <c r="C25" s="281">
        <f>+C26</f>
        <v>450000</v>
      </c>
      <c r="D25" s="281">
        <f>+D26</f>
        <v>0</v>
      </c>
      <c r="E25" s="269">
        <f>D25/C25*100</f>
        <v>0</v>
      </c>
      <c r="F25" s="281">
        <f>+F26</f>
        <v>0</v>
      </c>
      <c r="G25" s="280">
        <f>F25/C25*100</f>
        <v>0</v>
      </c>
      <c r="H25" s="281">
        <f>+H26</f>
        <v>0</v>
      </c>
      <c r="I25" s="279">
        <f t="shared" si="3"/>
        <v>0</v>
      </c>
      <c r="J25" s="280"/>
      <c r="K25" s="281">
        <f>+K26</f>
        <v>450000</v>
      </c>
      <c r="N25" s="273"/>
      <c r="O25" s="273"/>
      <c r="P25" s="273"/>
    </row>
    <row r="26" spans="1:16" s="274" customFormat="1" ht="42" customHeight="1">
      <c r="A26" s="277">
        <v>1</v>
      </c>
      <c r="B26" s="278" t="s">
        <v>262</v>
      </c>
      <c r="C26" s="1063">
        <f>+[5]รายละเอียดงบลงทุน!F35</f>
        <v>450000</v>
      </c>
      <c r="D26" s="270">
        <f>+[5]รายละเอียดงบลงทุน!L35</f>
        <v>0</v>
      </c>
      <c r="E26" s="271">
        <v>0</v>
      </c>
      <c r="F26" s="270">
        <f>+[5]รายละเอียดงบลงทุน!N35</f>
        <v>0</v>
      </c>
      <c r="G26" s="272">
        <v>0</v>
      </c>
      <c r="H26" s="270">
        <f>F26+D26</f>
        <v>0</v>
      </c>
      <c r="I26" s="279">
        <f t="shared" si="3"/>
        <v>0</v>
      </c>
      <c r="J26" s="272"/>
      <c r="K26" s="270">
        <f>C26-H26</f>
        <v>450000</v>
      </c>
      <c r="N26" s="273"/>
      <c r="O26" s="273"/>
      <c r="P26" s="273"/>
    </row>
    <row r="27" spans="1:16" ht="48.75" customHeight="1">
      <c r="D27" s="286"/>
      <c r="E27" s="287"/>
      <c r="F27" s="286"/>
      <c r="G27" s="286"/>
      <c r="H27" s="286"/>
      <c r="I27" s="288"/>
      <c r="J27" s="286"/>
      <c r="K27" s="286"/>
      <c r="N27" s="133"/>
      <c r="O27" s="133"/>
      <c r="P27" s="133"/>
    </row>
    <row r="28" spans="1:16" ht="89.25" customHeight="1">
      <c r="D28" s="61"/>
      <c r="E28" s="289"/>
      <c r="F28" s="61"/>
      <c r="G28" s="61"/>
      <c r="H28" s="61"/>
      <c r="I28" s="62"/>
      <c r="J28" s="61"/>
      <c r="K28" s="61"/>
      <c r="N28" s="133"/>
      <c r="O28" s="133"/>
      <c r="P28" s="133"/>
    </row>
    <row r="29" spans="1:16" ht="48.75" customHeight="1">
      <c r="D29" s="61"/>
      <c r="E29" s="289"/>
      <c r="F29" s="61"/>
      <c r="G29" s="61"/>
      <c r="H29" s="61"/>
      <c r="I29" s="62"/>
      <c r="J29" s="61"/>
      <c r="K29" s="61"/>
      <c r="N29" s="133"/>
      <c r="O29" s="133"/>
      <c r="P29" s="133"/>
    </row>
    <row r="30" spans="1:16" ht="48.75" customHeight="1">
      <c r="D30" s="61"/>
      <c r="E30" s="289"/>
      <c r="F30" s="61"/>
      <c r="G30" s="61"/>
      <c r="H30" s="61"/>
      <c r="I30" s="62"/>
      <c r="J30" s="61"/>
      <c r="K30" s="61"/>
      <c r="N30" s="133"/>
      <c r="O30" s="133"/>
      <c r="P30" s="133"/>
    </row>
    <row r="31" spans="1:16" ht="48.75" customHeight="1">
      <c r="D31" s="61"/>
      <c r="E31" s="289"/>
      <c r="F31" s="61"/>
      <c r="G31" s="61"/>
      <c r="H31" s="61"/>
      <c r="I31" s="62"/>
      <c r="J31" s="61"/>
      <c r="K31" s="61"/>
      <c r="N31" s="133"/>
      <c r="O31" s="133"/>
      <c r="P31" s="133"/>
    </row>
    <row r="32" spans="1:16" ht="48.75" customHeight="1">
      <c r="D32" s="61"/>
      <c r="E32" s="289"/>
      <c r="F32" s="61"/>
      <c r="G32" s="61"/>
      <c r="H32" s="61"/>
      <c r="I32" s="62"/>
      <c r="J32" s="61"/>
      <c r="K32" s="61"/>
    </row>
    <row r="33" spans="2:51" ht="48.75" customHeight="1"/>
    <row r="34" spans="2:51" ht="48.75" customHeight="1"/>
    <row r="35" spans="2:51" ht="48.75" customHeight="1"/>
    <row r="36" spans="2:51" ht="48.75" customHeight="1"/>
    <row r="37" spans="2:51" ht="48.75" customHeight="1"/>
    <row r="38" spans="2:51" ht="48.75" customHeight="1"/>
    <row r="39" spans="2:51" ht="48.75" customHeight="1"/>
    <row r="40" spans="2:51" ht="48.75" customHeight="1"/>
    <row r="41" spans="2:51" ht="48.75" customHeight="1"/>
    <row r="42" spans="2:51" ht="48.75" customHeight="1"/>
    <row r="43" spans="2:51" ht="48.75" customHeight="1"/>
    <row r="44" spans="2:51" ht="48.75" customHeight="1"/>
    <row r="45" spans="2:51" ht="48.75" customHeight="1"/>
    <row r="46" spans="2:51" s="283" customFormat="1" ht="48.75" customHeight="1">
      <c r="B46" s="284"/>
      <c r="C46" s="285"/>
      <c r="D46" s="285"/>
      <c r="E46" s="290"/>
      <c r="F46" s="285"/>
      <c r="G46" s="285"/>
      <c r="H46" s="285"/>
      <c r="I46" s="291"/>
      <c r="J46" s="285"/>
      <c r="K46" s="285"/>
      <c r="L46" s="261"/>
      <c r="M46" s="261"/>
      <c r="N46" s="130"/>
      <c r="O46" s="130"/>
      <c r="P46" s="130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</row>
    <row r="47" spans="2:51" s="283" customFormat="1" ht="48.75" customHeight="1">
      <c r="B47" s="284"/>
      <c r="C47" s="285"/>
      <c r="D47" s="285"/>
      <c r="E47" s="290"/>
      <c r="F47" s="285"/>
      <c r="G47" s="285"/>
      <c r="H47" s="285"/>
      <c r="I47" s="291"/>
      <c r="J47" s="285"/>
      <c r="K47" s="285"/>
      <c r="L47" s="261"/>
      <c r="M47" s="261"/>
      <c r="N47" s="130"/>
      <c r="O47" s="130"/>
      <c r="P47" s="130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</row>
    <row r="48" spans="2:51" s="283" customFormat="1" ht="48.75" customHeight="1">
      <c r="B48" s="284"/>
      <c r="C48" s="285"/>
      <c r="D48" s="285"/>
      <c r="E48" s="290"/>
      <c r="F48" s="285"/>
      <c r="G48" s="285"/>
      <c r="H48" s="285"/>
      <c r="I48" s="291"/>
      <c r="J48" s="285"/>
      <c r="K48" s="285"/>
      <c r="L48" s="261"/>
      <c r="M48" s="261"/>
      <c r="N48" s="130"/>
      <c r="O48" s="130"/>
      <c r="P48" s="130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</row>
    <row r="49" spans="2:51" s="283" customFormat="1" ht="48.75" customHeight="1">
      <c r="B49" s="284"/>
      <c r="C49" s="285"/>
      <c r="D49" s="285"/>
      <c r="E49" s="290"/>
      <c r="F49" s="285"/>
      <c r="G49" s="285"/>
      <c r="H49" s="285"/>
      <c r="I49" s="291"/>
      <c r="J49" s="285"/>
      <c r="K49" s="285"/>
      <c r="L49" s="261"/>
      <c r="M49" s="261"/>
      <c r="N49" s="130"/>
      <c r="O49" s="130"/>
      <c r="P49" s="130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</row>
    <row r="50" spans="2:51" s="283" customFormat="1" ht="48.75" customHeight="1">
      <c r="B50" s="284"/>
      <c r="C50" s="285"/>
      <c r="D50" s="285"/>
      <c r="E50" s="290"/>
      <c r="F50" s="285"/>
      <c r="G50" s="285"/>
      <c r="H50" s="285"/>
      <c r="I50" s="291"/>
      <c r="J50" s="285"/>
      <c r="K50" s="285"/>
      <c r="L50" s="261"/>
      <c r="M50" s="261"/>
      <c r="N50" s="130"/>
      <c r="O50" s="130"/>
      <c r="P50" s="130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</row>
    <row r="51" spans="2:51" s="283" customFormat="1" ht="48.75" customHeight="1">
      <c r="B51" s="284"/>
      <c r="C51" s="285"/>
      <c r="D51" s="285"/>
      <c r="E51" s="290"/>
      <c r="F51" s="285"/>
      <c r="G51" s="285"/>
      <c r="H51" s="285"/>
      <c r="I51" s="291"/>
      <c r="J51" s="285"/>
      <c r="K51" s="285"/>
      <c r="L51" s="261"/>
      <c r="M51" s="261"/>
      <c r="N51" s="130"/>
      <c r="O51" s="130"/>
      <c r="P51" s="130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</row>
    <row r="52" spans="2:51" s="283" customFormat="1" ht="48.75" customHeight="1">
      <c r="B52" s="284"/>
      <c r="C52" s="285"/>
      <c r="D52" s="285"/>
      <c r="E52" s="290"/>
      <c r="F52" s="285"/>
      <c r="G52" s="285"/>
      <c r="H52" s="285"/>
      <c r="I52" s="291"/>
      <c r="J52" s="285"/>
      <c r="K52" s="285"/>
      <c r="L52" s="261"/>
      <c r="M52" s="261"/>
      <c r="N52" s="130"/>
      <c r="O52" s="130"/>
      <c r="P52" s="130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</row>
    <row r="53" spans="2:51" s="283" customFormat="1" ht="48.75" customHeight="1">
      <c r="B53" s="284"/>
      <c r="C53" s="285"/>
      <c r="D53" s="285"/>
      <c r="E53" s="290"/>
      <c r="F53" s="285"/>
      <c r="G53" s="285"/>
      <c r="H53" s="285"/>
      <c r="I53" s="291"/>
      <c r="J53" s="285"/>
      <c r="K53" s="285"/>
      <c r="L53" s="261"/>
      <c r="M53" s="261"/>
      <c r="N53" s="130"/>
      <c r="O53" s="130"/>
      <c r="P53" s="130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</row>
    <row r="54" spans="2:51" s="283" customFormat="1" ht="48.75" customHeight="1">
      <c r="B54" s="284"/>
      <c r="C54" s="285"/>
      <c r="D54" s="285"/>
      <c r="E54" s="290"/>
      <c r="F54" s="285"/>
      <c r="G54" s="285"/>
      <c r="H54" s="285"/>
      <c r="I54" s="291"/>
      <c r="J54" s="285"/>
      <c r="K54" s="285"/>
      <c r="L54" s="261"/>
      <c r="M54" s="261"/>
      <c r="N54" s="130"/>
      <c r="O54" s="130"/>
      <c r="P54" s="130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</row>
    <row r="55" spans="2:51" s="283" customFormat="1" ht="48.75" customHeight="1">
      <c r="B55" s="284"/>
      <c r="C55" s="285"/>
      <c r="D55" s="285"/>
      <c r="E55" s="290"/>
      <c r="F55" s="285"/>
      <c r="G55" s="285"/>
      <c r="H55" s="285"/>
      <c r="I55" s="291"/>
      <c r="J55" s="285"/>
      <c r="K55" s="285"/>
      <c r="L55" s="261"/>
      <c r="M55" s="261"/>
      <c r="N55" s="130"/>
      <c r="O55" s="130"/>
      <c r="P55" s="130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  <c r="AT55" s="261"/>
      <c r="AU55" s="261"/>
      <c r="AV55" s="261"/>
      <c r="AW55" s="261"/>
      <c r="AX55" s="261"/>
      <c r="AY55" s="261"/>
    </row>
    <row r="56" spans="2:51" s="283" customFormat="1" ht="48.75" customHeight="1">
      <c r="B56" s="284"/>
      <c r="C56" s="285"/>
      <c r="D56" s="285"/>
      <c r="E56" s="290"/>
      <c r="F56" s="285"/>
      <c r="G56" s="285"/>
      <c r="H56" s="285"/>
      <c r="I56" s="291"/>
      <c r="J56" s="285"/>
      <c r="K56" s="285"/>
      <c r="L56" s="261"/>
      <c r="M56" s="261"/>
      <c r="N56" s="130"/>
      <c r="O56" s="130"/>
      <c r="P56" s="130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  <c r="AT56" s="261"/>
      <c r="AU56" s="261"/>
      <c r="AV56" s="261"/>
      <c r="AW56" s="261"/>
      <c r="AX56" s="261"/>
      <c r="AY56" s="261"/>
    </row>
    <row r="57" spans="2:51" s="283" customFormat="1" ht="48.75" customHeight="1">
      <c r="B57" s="284"/>
      <c r="C57" s="285"/>
      <c r="D57" s="285"/>
      <c r="E57" s="290"/>
      <c r="F57" s="285"/>
      <c r="G57" s="285"/>
      <c r="H57" s="285"/>
      <c r="I57" s="291"/>
      <c r="J57" s="285"/>
      <c r="K57" s="285"/>
      <c r="L57" s="261"/>
      <c r="M57" s="261"/>
      <c r="N57" s="130"/>
      <c r="O57" s="130"/>
      <c r="P57" s="130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</row>
    <row r="58" spans="2:51" s="283" customFormat="1" ht="48.75" customHeight="1">
      <c r="B58" s="284"/>
      <c r="C58" s="285"/>
      <c r="D58" s="285"/>
      <c r="E58" s="290"/>
      <c r="F58" s="285"/>
      <c r="G58" s="285"/>
      <c r="H58" s="285"/>
      <c r="I58" s="291"/>
      <c r="J58" s="285"/>
      <c r="K58" s="285"/>
      <c r="L58" s="261"/>
      <c r="M58" s="261"/>
      <c r="N58" s="130"/>
      <c r="O58" s="130"/>
      <c r="P58" s="130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</row>
    <row r="59" spans="2:51" s="283" customFormat="1" ht="48.75" customHeight="1">
      <c r="B59" s="284"/>
      <c r="C59" s="285"/>
      <c r="D59" s="285"/>
      <c r="E59" s="290"/>
      <c r="F59" s="285"/>
      <c r="G59" s="285"/>
      <c r="H59" s="285"/>
      <c r="I59" s="291"/>
      <c r="J59" s="285"/>
      <c r="K59" s="285"/>
      <c r="L59" s="261"/>
      <c r="M59" s="261"/>
      <c r="N59" s="130"/>
      <c r="O59" s="130"/>
      <c r="P59" s="130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</row>
    <row r="60" spans="2:51" s="283" customFormat="1" ht="48.75" customHeight="1">
      <c r="B60" s="284"/>
      <c r="C60" s="285"/>
      <c r="D60" s="285"/>
      <c r="E60" s="290"/>
      <c r="F60" s="285"/>
      <c r="G60" s="285"/>
      <c r="H60" s="285"/>
      <c r="I60" s="291"/>
      <c r="J60" s="285"/>
      <c r="K60" s="285"/>
      <c r="L60" s="261"/>
      <c r="M60" s="261"/>
      <c r="N60" s="130"/>
      <c r="O60" s="130"/>
      <c r="P60" s="130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61"/>
      <c r="AY60" s="261"/>
    </row>
    <row r="61" spans="2:51" s="283" customFormat="1" ht="48.75" customHeight="1">
      <c r="B61" s="284"/>
      <c r="C61" s="285"/>
      <c r="D61" s="285"/>
      <c r="E61" s="290"/>
      <c r="F61" s="285"/>
      <c r="G61" s="285"/>
      <c r="H61" s="285"/>
      <c r="I61" s="291"/>
      <c r="J61" s="285"/>
      <c r="K61" s="285"/>
      <c r="L61" s="261"/>
      <c r="M61" s="261"/>
      <c r="N61" s="130"/>
      <c r="O61" s="130"/>
      <c r="P61" s="130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  <c r="AQ61" s="261"/>
      <c r="AR61" s="261"/>
      <c r="AS61" s="261"/>
      <c r="AT61" s="261"/>
      <c r="AU61" s="261"/>
      <c r="AV61" s="261"/>
      <c r="AW61" s="261"/>
      <c r="AX61" s="261"/>
      <c r="AY61" s="261"/>
    </row>
    <row r="62" spans="2:51" s="283" customFormat="1" ht="48.75" customHeight="1">
      <c r="B62" s="284"/>
      <c r="C62" s="285"/>
      <c r="D62" s="285"/>
      <c r="E62" s="290"/>
      <c r="F62" s="285"/>
      <c r="G62" s="285"/>
      <c r="H62" s="285"/>
      <c r="I62" s="291"/>
      <c r="J62" s="285"/>
      <c r="K62" s="285"/>
      <c r="L62" s="261"/>
      <c r="M62" s="261"/>
      <c r="N62" s="130"/>
      <c r="O62" s="130"/>
      <c r="P62" s="130"/>
      <c r="Q62" s="261"/>
      <c r="R62" s="261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P62" s="261"/>
      <c r="AQ62" s="261"/>
      <c r="AR62" s="261"/>
      <c r="AS62" s="261"/>
      <c r="AT62" s="261"/>
      <c r="AU62" s="261"/>
      <c r="AV62" s="261"/>
      <c r="AW62" s="261"/>
      <c r="AX62" s="261"/>
      <c r="AY62" s="261"/>
    </row>
    <row r="63" spans="2:51" s="283" customFormat="1" ht="48.75" customHeight="1">
      <c r="B63" s="284"/>
      <c r="C63" s="285"/>
      <c r="D63" s="285"/>
      <c r="E63" s="290"/>
      <c r="F63" s="285"/>
      <c r="G63" s="285"/>
      <c r="H63" s="285"/>
      <c r="I63" s="291"/>
      <c r="J63" s="285"/>
      <c r="K63" s="285"/>
      <c r="L63" s="261"/>
      <c r="M63" s="261"/>
      <c r="N63" s="130"/>
      <c r="O63" s="130"/>
      <c r="P63" s="130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  <c r="AM63" s="261"/>
      <c r="AN63" s="261"/>
      <c r="AO63" s="261"/>
      <c r="AP63" s="261"/>
      <c r="AQ63" s="261"/>
      <c r="AR63" s="261"/>
      <c r="AS63" s="261"/>
      <c r="AT63" s="261"/>
      <c r="AU63" s="261"/>
      <c r="AV63" s="261"/>
      <c r="AW63" s="261"/>
      <c r="AX63" s="261"/>
      <c r="AY63" s="261"/>
    </row>
    <row r="64" spans="2:51" s="283" customFormat="1" ht="48.75" customHeight="1">
      <c r="B64" s="284"/>
      <c r="C64" s="285"/>
      <c r="D64" s="285"/>
      <c r="E64" s="290"/>
      <c r="F64" s="285"/>
      <c r="G64" s="285"/>
      <c r="H64" s="285"/>
      <c r="I64" s="291"/>
      <c r="J64" s="285"/>
      <c r="K64" s="285"/>
      <c r="L64" s="261"/>
      <c r="M64" s="261"/>
      <c r="N64" s="130"/>
      <c r="O64" s="130"/>
      <c r="P64" s="130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  <c r="AM64" s="261"/>
      <c r="AN64" s="261"/>
      <c r="AO64" s="261"/>
      <c r="AP64" s="261"/>
      <c r="AQ64" s="261"/>
      <c r="AR64" s="261"/>
      <c r="AS64" s="261"/>
      <c r="AT64" s="261"/>
      <c r="AU64" s="261"/>
      <c r="AV64" s="261"/>
      <c r="AW64" s="261"/>
      <c r="AX64" s="261"/>
      <c r="AY64" s="261"/>
    </row>
    <row r="65" spans="2:51" s="283" customFormat="1" ht="48.75" customHeight="1">
      <c r="B65" s="284"/>
      <c r="C65" s="285"/>
      <c r="D65" s="285"/>
      <c r="E65" s="290"/>
      <c r="F65" s="285"/>
      <c r="G65" s="285"/>
      <c r="H65" s="285"/>
      <c r="I65" s="291"/>
      <c r="J65" s="285"/>
      <c r="K65" s="285"/>
      <c r="L65" s="261"/>
      <c r="M65" s="261"/>
      <c r="N65" s="130"/>
      <c r="O65" s="130"/>
      <c r="P65" s="130"/>
      <c r="Q65" s="261"/>
      <c r="R65" s="26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</row>
    <row r="66" spans="2:51" s="283" customFormat="1" ht="48.75" customHeight="1">
      <c r="B66" s="284"/>
      <c r="C66" s="285"/>
      <c r="D66" s="285"/>
      <c r="E66" s="290"/>
      <c r="F66" s="285"/>
      <c r="G66" s="285"/>
      <c r="H66" s="285"/>
      <c r="I66" s="291"/>
      <c r="J66" s="285"/>
      <c r="K66" s="285"/>
      <c r="L66" s="261"/>
      <c r="M66" s="261"/>
      <c r="N66" s="130"/>
      <c r="O66" s="130"/>
      <c r="P66" s="130"/>
      <c r="Q66" s="261"/>
      <c r="R66" s="261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  <c r="AM66" s="261"/>
      <c r="AN66" s="261"/>
      <c r="AO66" s="261"/>
      <c r="AP66" s="261"/>
      <c r="AQ66" s="261"/>
      <c r="AR66" s="261"/>
      <c r="AS66" s="261"/>
      <c r="AT66" s="261"/>
      <c r="AU66" s="261"/>
      <c r="AV66" s="261"/>
      <c r="AW66" s="261"/>
      <c r="AX66" s="261"/>
      <c r="AY66" s="261"/>
    </row>
    <row r="67" spans="2:51" s="283" customFormat="1" ht="48.75" customHeight="1">
      <c r="B67" s="284"/>
      <c r="C67" s="285"/>
      <c r="D67" s="285"/>
      <c r="E67" s="290"/>
      <c r="F67" s="285"/>
      <c r="G67" s="285"/>
      <c r="H67" s="285"/>
      <c r="I67" s="291"/>
      <c r="J67" s="285"/>
      <c r="K67" s="285"/>
      <c r="L67" s="261"/>
      <c r="M67" s="261"/>
      <c r="N67" s="130"/>
      <c r="O67" s="130"/>
      <c r="P67" s="130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  <c r="AM67" s="261"/>
      <c r="AN67" s="261"/>
      <c r="AO67" s="261"/>
      <c r="AP67" s="261"/>
      <c r="AQ67" s="261"/>
      <c r="AR67" s="261"/>
      <c r="AS67" s="261"/>
      <c r="AT67" s="261"/>
      <c r="AU67" s="261"/>
      <c r="AV67" s="261"/>
      <c r="AW67" s="261"/>
      <c r="AX67" s="261"/>
      <c r="AY67" s="261"/>
    </row>
    <row r="68" spans="2:51" s="283" customFormat="1" ht="48.75" customHeight="1">
      <c r="B68" s="284"/>
      <c r="C68" s="285"/>
      <c r="D68" s="285"/>
      <c r="E68" s="290"/>
      <c r="F68" s="285"/>
      <c r="G68" s="285"/>
      <c r="H68" s="285"/>
      <c r="I68" s="291"/>
      <c r="J68" s="285"/>
      <c r="K68" s="285"/>
      <c r="L68" s="261"/>
      <c r="M68" s="261"/>
      <c r="N68" s="130"/>
      <c r="O68" s="130"/>
      <c r="P68" s="130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</row>
    <row r="69" spans="2:51" s="283" customFormat="1" ht="48.75" customHeight="1">
      <c r="B69" s="284"/>
      <c r="C69" s="285"/>
      <c r="D69" s="285"/>
      <c r="E69" s="290"/>
      <c r="F69" s="285"/>
      <c r="G69" s="285"/>
      <c r="H69" s="285"/>
      <c r="I69" s="291"/>
      <c r="J69" s="285"/>
      <c r="K69" s="285"/>
      <c r="L69" s="261"/>
      <c r="M69" s="261"/>
      <c r="N69" s="130"/>
      <c r="O69" s="130"/>
      <c r="P69" s="130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61"/>
      <c r="AY69" s="261"/>
    </row>
    <row r="70" spans="2:51" s="283" customFormat="1" ht="48.75" customHeight="1">
      <c r="B70" s="284"/>
      <c r="C70" s="285"/>
      <c r="D70" s="285"/>
      <c r="E70" s="290"/>
      <c r="F70" s="285"/>
      <c r="G70" s="285"/>
      <c r="H70" s="285"/>
      <c r="I70" s="291"/>
      <c r="J70" s="285"/>
      <c r="K70" s="285"/>
      <c r="L70" s="261"/>
      <c r="M70" s="261"/>
      <c r="N70" s="130"/>
      <c r="O70" s="130"/>
      <c r="P70" s="130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261"/>
      <c r="AX70" s="261"/>
      <c r="AY70" s="261"/>
    </row>
    <row r="71" spans="2:51" s="283" customFormat="1" ht="48.75" customHeight="1">
      <c r="B71" s="284"/>
      <c r="C71" s="285"/>
      <c r="D71" s="285"/>
      <c r="E71" s="290"/>
      <c r="F71" s="285"/>
      <c r="G71" s="285"/>
      <c r="H71" s="285"/>
      <c r="I71" s="291"/>
      <c r="J71" s="285"/>
      <c r="K71" s="285"/>
      <c r="L71" s="261"/>
      <c r="M71" s="261"/>
      <c r="N71" s="130"/>
      <c r="O71" s="130"/>
      <c r="P71" s="130"/>
      <c r="Q71" s="261"/>
      <c r="R71" s="261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1"/>
      <c r="AQ71" s="261"/>
      <c r="AR71" s="261"/>
      <c r="AS71" s="261"/>
      <c r="AT71" s="261"/>
      <c r="AU71" s="261"/>
      <c r="AV71" s="261"/>
      <c r="AW71" s="261"/>
      <c r="AX71" s="261"/>
      <c r="AY71" s="261"/>
    </row>
    <row r="72" spans="2:51" s="283" customFormat="1" ht="48.75" customHeight="1">
      <c r="B72" s="284"/>
      <c r="C72" s="285"/>
      <c r="D72" s="285"/>
      <c r="E72" s="290"/>
      <c r="F72" s="285"/>
      <c r="G72" s="285"/>
      <c r="H72" s="285"/>
      <c r="I72" s="291"/>
      <c r="J72" s="285"/>
      <c r="K72" s="285"/>
      <c r="L72" s="261"/>
      <c r="M72" s="261"/>
      <c r="N72" s="130"/>
      <c r="O72" s="130"/>
      <c r="P72" s="130"/>
      <c r="Q72" s="261"/>
      <c r="R72" s="261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1"/>
      <c r="AQ72" s="261"/>
      <c r="AR72" s="261"/>
      <c r="AS72" s="261"/>
      <c r="AT72" s="261"/>
      <c r="AU72" s="261"/>
      <c r="AV72" s="261"/>
      <c r="AW72" s="261"/>
      <c r="AX72" s="261"/>
      <c r="AY72" s="261"/>
    </row>
    <row r="73" spans="2:51" s="283" customFormat="1" ht="48.75" customHeight="1">
      <c r="B73" s="284"/>
      <c r="C73" s="285"/>
      <c r="D73" s="285"/>
      <c r="E73" s="290"/>
      <c r="F73" s="285"/>
      <c r="G73" s="285"/>
      <c r="H73" s="285"/>
      <c r="I73" s="291"/>
      <c r="J73" s="285"/>
      <c r="K73" s="285"/>
      <c r="L73" s="261"/>
      <c r="M73" s="261"/>
      <c r="N73" s="130"/>
      <c r="O73" s="130"/>
      <c r="P73" s="130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  <c r="AM73" s="261"/>
      <c r="AN73" s="261"/>
      <c r="AO73" s="261"/>
      <c r="AP73" s="261"/>
      <c r="AQ73" s="261"/>
      <c r="AR73" s="261"/>
      <c r="AS73" s="261"/>
      <c r="AT73" s="261"/>
      <c r="AU73" s="261"/>
      <c r="AV73" s="261"/>
      <c r="AW73" s="261"/>
      <c r="AX73" s="261"/>
      <c r="AY73" s="261"/>
    </row>
    <row r="74" spans="2:51" s="283" customFormat="1" ht="48.75" customHeight="1">
      <c r="B74" s="284"/>
      <c r="C74" s="285"/>
      <c r="D74" s="285"/>
      <c r="E74" s="290"/>
      <c r="F74" s="285"/>
      <c r="G74" s="285"/>
      <c r="H74" s="285"/>
      <c r="I74" s="291"/>
      <c r="J74" s="285"/>
      <c r="K74" s="285"/>
      <c r="L74" s="261"/>
      <c r="M74" s="261"/>
      <c r="N74" s="130"/>
      <c r="O74" s="130"/>
      <c r="P74" s="130"/>
      <c r="Q74" s="261"/>
      <c r="R74" s="261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1"/>
      <c r="AQ74" s="261"/>
      <c r="AR74" s="261"/>
      <c r="AS74" s="261"/>
      <c r="AT74" s="261"/>
      <c r="AU74" s="261"/>
      <c r="AV74" s="261"/>
      <c r="AW74" s="261"/>
      <c r="AX74" s="261"/>
      <c r="AY74" s="261"/>
    </row>
    <row r="75" spans="2:51" s="283" customFormat="1" ht="48.75" customHeight="1">
      <c r="B75" s="284"/>
      <c r="C75" s="285"/>
      <c r="D75" s="285"/>
      <c r="E75" s="290"/>
      <c r="F75" s="285"/>
      <c r="G75" s="285"/>
      <c r="H75" s="285"/>
      <c r="I75" s="291"/>
      <c r="J75" s="285"/>
      <c r="K75" s="285"/>
      <c r="L75" s="261"/>
      <c r="M75" s="261"/>
      <c r="N75" s="130"/>
      <c r="O75" s="130"/>
      <c r="P75" s="130"/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  <c r="AM75" s="261"/>
      <c r="AN75" s="261"/>
      <c r="AO75" s="261"/>
      <c r="AP75" s="261"/>
      <c r="AQ75" s="261"/>
      <c r="AR75" s="261"/>
      <c r="AS75" s="261"/>
      <c r="AT75" s="261"/>
      <c r="AU75" s="261"/>
      <c r="AV75" s="261"/>
      <c r="AW75" s="261"/>
      <c r="AX75" s="261"/>
      <c r="AY75" s="261"/>
    </row>
    <row r="76" spans="2:51" s="283" customFormat="1" ht="48.75" customHeight="1">
      <c r="B76" s="284"/>
      <c r="C76" s="285"/>
      <c r="D76" s="285"/>
      <c r="E76" s="290"/>
      <c r="F76" s="285"/>
      <c r="G76" s="285"/>
      <c r="H76" s="285"/>
      <c r="I76" s="291"/>
      <c r="J76" s="285"/>
      <c r="K76" s="285"/>
      <c r="L76" s="261"/>
      <c r="M76" s="261"/>
      <c r="N76" s="130"/>
      <c r="O76" s="130"/>
      <c r="P76" s="130"/>
      <c r="Q76" s="261"/>
      <c r="R76" s="261"/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  <c r="AM76" s="261"/>
      <c r="AN76" s="261"/>
      <c r="AO76" s="261"/>
      <c r="AP76" s="261"/>
      <c r="AQ76" s="261"/>
      <c r="AR76" s="261"/>
      <c r="AS76" s="261"/>
      <c r="AT76" s="261"/>
      <c r="AU76" s="261"/>
      <c r="AV76" s="261"/>
      <c r="AW76" s="261"/>
      <c r="AX76" s="261"/>
      <c r="AY76" s="261"/>
    </row>
    <row r="77" spans="2:51" s="283" customFormat="1" ht="48.75" customHeight="1">
      <c r="B77" s="284"/>
      <c r="C77" s="285"/>
      <c r="D77" s="285"/>
      <c r="E77" s="290"/>
      <c r="F77" s="285"/>
      <c r="G77" s="285"/>
      <c r="H77" s="285"/>
      <c r="I77" s="291"/>
      <c r="J77" s="285"/>
      <c r="K77" s="285"/>
      <c r="L77" s="261"/>
      <c r="M77" s="261"/>
      <c r="N77" s="130"/>
      <c r="O77" s="130"/>
      <c r="P77" s="130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  <c r="AM77" s="261"/>
      <c r="AN77" s="261"/>
      <c r="AO77" s="261"/>
      <c r="AP77" s="261"/>
      <c r="AQ77" s="261"/>
      <c r="AR77" s="261"/>
      <c r="AS77" s="261"/>
      <c r="AT77" s="261"/>
      <c r="AU77" s="261"/>
      <c r="AV77" s="261"/>
      <c r="AW77" s="261"/>
      <c r="AX77" s="261"/>
      <c r="AY77" s="261"/>
    </row>
    <row r="78" spans="2:51" s="283" customFormat="1" ht="48.75" customHeight="1">
      <c r="B78" s="284"/>
      <c r="C78" s="285"/>
      <c r="D78" s="285"/>
      <c r="E78" s="290"/>
      <c r="F78" s="285"/>
      <c r="G78" s="285"/>
      <c r="H78" s="285"/>
      <c r="I78" s="291"/>
      <c r="J78" s="285"/>
      <c r="K78" s="285"/>
      <c r="L78" s="261"/>
      <c r="M78" s="261"/>
      <c r="N78" s="130"/>
      <c r="O78" s="130"/>
      <c r="P78" s="130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  <c r="AT78" s="261"/>
      <c r="AU78" s="261"/>
      <c r="AV78" s="261"/>
      <c r="AW78" s="261"/>
      <c r="AX78" s="261"/>
      <c r="AY78" s="261"/>
    </row>
    <row r="79" spans="2:51" s="283" customFormat="1" ht="48.75" customHeight="1">
      <c r="B79" s="284"/>
      <c r="C79" s="285"/>
      <c r="D79" s="285"/>
      <c r="E79" s="290"/>
      <c r="F79" s="285"/>
      <c r="G79" s="285"/>
      <c r="H79" s="285"/>
      <c r="I79" s="291"/>
      <c r="J79" s="285"/>
      <c r="K79" s="285"/>
      <c r="L79" s="261"/>
      <c r="M79" s="261"/>
      <c r="N79" s="130"/>
      <c r="O79" s="130"/>
      <c r="P79" s="130"/>
      <c r="Q79" s="261"/>
      <c r="R79" s="261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  <c r="AM79" s="261"/>
      <c r="AN79" s="261"/>
      <c r="AO79" s="261"/>
      <c r="AP79" s="261"/>
      <c r="AQ79" s="261"/>
      <c r="AR79" s="261"/>
      <c r="AS79" s="261"/>
      <c r="AT79" s="261"/>
      <c r="AU79" s="261"/>
      <c r="AV79" s="261"/>
      <c r="AW79" s="261"/>
      <c r="AX79" s="261"/>
      <c r="AY79" s="261"/>
    </row>
    <row r="80" spans="2:51" s="283" customFormat="1" ht="48.75" customHeight="1">
      <c r="B80" s="284"/>
      <c r="C80" s="285"/>
      <c r="D80" s="285"/>
      <c r="E80" s="290"/>
      <c r="F80" s="285"/>
      <c r="G80" s="285"/>
      <c r="H80" s="285"/>
      <c r="I80" s="291"/>
      <c r="J80" s="285"/>
      <c r="K80" s="285"/>
      <c r="L80" s="261"/>
      <c r="M80" s="261"/>
      <c r="N80" s="130"/>
      <c r="O80" s="130"/>
      <c r="P80" s="130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  <c r="AM80" s="261"/>
      <c r="AN80" s="261"/>
      <c r="AO80" s="261"/>
      <c r="AP80" s="261"/>
      <c r="AQ80" s="261"/>
      <c r="AR80" s="261"/>
      <c r="AS80" s="261"/>
      <c r="AT80" s="261"/>
      <c r="AU80" s="261"/>
      <c r="AV80" s="261"/>
      <c r="AW80" s="261"/>
      <c r="AX80" s="261"/>
      <c r="AY80" s="261"/>
    </row>
    <row r="81" spans="2:51" s="283" customFormat="1" ht="48.75" customHeight="1">
      <c r="B81" s="284"/>
      <c r="C81" s="285"/>
      <c r="D81" s="285"/>
      <c r="E81" s="290"/>
      <c r="F81" s="285"/>
      <c r="G81" s="285"/>
      <c r="H81" s="285"/>
      <c r="I81" s="291"/>
      <c r="J81" s="285"/>
      <c r="K81" s="285"/>
      <c r="L81" s="261"/>
      <c r="M81" s="261"/>
      <c r="N81" s="130"/>
      <c r="O81" s="130"/>
      <c r="P81" s="130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1"/>
      <c r="AQ81" s="261"/>
      <c r="AR81" s="261"/>
      <c r="AS81" s="261"/>
      <c r="AT81" s="261"/>
      <c r="AU81" s="261"/>
      <c r="AV81" s="261"/>
      <c r="AW81" s="261"/>
      <c r="AX81" s="261"/>
      <c r="AY81" s="261"/>
    </row>
    <row r="82" spans="2:51" s="283" customFormat="1" ht="48.75" customHeight="1">
      <c r="B82" s="284"/>
      <c r="C82" s="285"/>
      <c r="D82" s="285"/>
      <c r="E82" s="290"/>
      <c r="F82" s="285"/>
      <c r="G82" s="285"/>
      <c r="H82" s="285"/>
      <c r="I82" s="291"/>
      <c r="J82" s="285"/>
      <c r="K82" s="285"/>
      <c r="L82" s="261"/>
      <c r="M82" s="261"/>
      <c r="N82" s="130"/>
      <c r="O82" s="130"/>
      <c r="P82" s="130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  <c r="AU82" s="261"/>
      <c r="AV82" s="261"/>
      <c r="AW82" s="261"/>
      <c r="AX82" s="261"/>
      <c r="AY82" s="261"/>
    </row>
    <row r="83" spans="2:51" s="283" customFormat="1" ht="48.75" customHeight="1">
      <c r="B83" s="284"/>
      <c r="C83" s="285"/>
      <c r="D83" s="285"/>
      <c r="E83" s="290"/>
      <c r="F83" s="285"/>
      <c r="G83" s="285"/>
      <c r="H83" s="285"/>
      <c r="I83" s="291"/>
      <c r="J83" s="285"/>
      <c r="K83" s="285"/>
      <c r="L83" s="261"/>
      <c r="M83" s="261"/>
      <c r="N83" s="130"/>
      <c r="O83" s="130"/>
      <c r="P83" s="130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  <c r="AM83" s="261"/>
      <c r="AN83" s="261"/>
      <c r="AO83" s="261"/>
      <c r="AP83" s="261"/>
      <c r="AQ83" s="261"/>
      <c r="AR83" s="261"/>
      <c r="AS83" s="261"/>
      <c r="AT83" s="261"/>
      <c r="AU83" s="261"/>
      <c r="AV83" s="261"/>
      <c r="AW83" s="261"/>
      <c r="AX83" s="261"/>
      <c r="AY83" s="261"/>
    </row>
    <row r="84" spans="2:51" s="283" customFormat="1" ht="48.75" customHeight="1">
      <c r="B84" s="284"/>
      <c r="C84" s="285"/>
      <c r="D84" s="285"/>
      <c r="E84" s="290"/>
      <c r="F84" s="285"/>
      <c r="G84" s="285"/>
      <c r="H84" s="285"/>
      <c r="I84" s="291"/>
      <c r="J84" s="285"/>
      <c r="K84" s="285"/>
      <c r="L84" s="261"/>
      <c r="M84" s="261"/>
      <c r="N84" s="130"/>
      <c r="O84" s="130"/>
      <c r="P84" s="130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  <c r="AM84" s="261"/>
      <c r="AN84" s="261"/>
      <c r="AO84" s="261"/>
      <c r="AP84" s="261"/>
      <c r="AQ84" s="261"/>
      <c r="AR84" s="261"/>
      <c r="AS84" s="261"/>
      <c r="AT84" s="261"/>
      <c r="AU84" s="261"/>
      <c r="AV84" s="261"/>
      <c r="AW84" s="261"/>
      <c r="AX84" s="261"/>
      <c r="AY84" s="261"/>
    </row>
    <row r="85" spans="2:51" s="283" customFormat="1" ht="48.75" customHeight="1">
      <c r="B85" s="284"/>
      <c r="C85" s="285"/>
      <c r="D85" s="285"/>
      <c r="E85" s="290"/>
      <c r="F85" s="285"/>
      <c r="G85" s="285"/>
      <c r="H85" s="285"/>
      <c r="I85" s="291"/>
      <c r="J85" s="285"/>
      <c r="K85" s="285"/>
      <c r="L85" s="261"/>
      <c r="M85" s="261"/>
      <c r="N85" s="130"/>
      <c r="O85" s="130"/>
      <c r="P85" s="130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/>
      <c r="AS85" s="261"/>
      <c r="AT85" s="261"/>
      <c r="AU85" s="261"/>
      <c r="AV85" s="261"/>
      <c r="AW85" s="261"/>
      <c r="AX85" s="261"/>
      <c r="AY85" s="261"/>
    </row>
    <row r="86" spans="2:51" s="283" customFormat="1" ht="48.75" customHeight="1">
      <c r="B86" s="284"/>
      <c r="C86" s="285"/>
      <c r="D86" s="285"/>
      <c r="E86" s="290"/>
      <c r="F86" s="285"/>
      <c r="G86" s="285"/>
      <c r="H86" s="285"/>
      <c r="I86" s="291"/>
      <c r="J86" s="285"/>
      <c r="K86" s="285"/>
      <c r="L86" s="261"/>
      <c r="M86" s="261"/>
      <c r="N86" s="130"/>
      <c r="O86" s="130"/>
      <c r="P86" s="130"/>
      <c r="Q86" s="261"/>
      <c r="R86" s="261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/>
      <c r="AO86" s="261"/>
      <c r="AP86" s="261"/>
      <c r="AQ86" s="261"/>
      <c r="AR86" s="261"/>
      <c r="AS86" s="261"/>
      <c r="AT86" s="261"/>
      <c r="AU86" s="261"/>
      <c r="AV86" s="261"/>
      <c r="AW86" s="261"/>
      <c r="AX86" s="261"/>
      <c r="AY86" s="261"/>
    </row>
    <row r="87" spans="2:51" s="283" customFormat="1" ht="48.75" customHeight="1">
      <c r="B87" s="284"/>
      <c r="C87" s="285"/>
      <c r="D87" s="285"/>
      <c r="E87" s="290"/>
      <c r="F87" s="285"/>
      <c r="G87" s="285"/>
      <c r="H87" s="285"/>
      <c r="I87" s="291"/>
      <c r="J87" s="285"/>
      <c r="K87" s="285"/>
      <c r="L87" s="261"/>
      <c r="M87" s="261"/>
      <c r="N87" s="130"/>
      <c r="O87" s="130"/>
      <c r="P87" s="130"/>
      <c r="Q87" s="261"/>
      <c r="R87" s="261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  <c r="AM87" s="261"/>
      <c r="AN87" s="261"/>
      <c r="AO87" s="261"/>
      <c r="AP87" s="261"/>
      <c r="AQ87" s="261"/>
      <c r="AR87" s="261"/>
      <c r="AS87" s="261"/>
      <c r="AT87" s="261"/>
      <c r="AU87" s="261"/>
      <c r="AV87" s="261"/>
      <c r="AW87" s="261"/>
      <c r="AX87" s="261"/>
      <c r="AY87" s="261"/>
    </row>
    <row r="88" spans="2:51" s="283" customFormat="1" ht="48.75" customHeight="1">
      <c r="B88" s="284"/>
      <c r="C88" s="285"/>
      <c r="D88" s="285"/>
      <c r="E88" s="290"/>
      <c r="F88" s="285"/>
      <c r="G88" s="285"/>
      <c r="H88" s="285"/>
      <c r="I88" s="291"/>
      <c r="J88" s="285"/>
      <c r="K88" s="285"/>
      <c r="L88" s="261"/>
      <c r="M88" s="261"/>
      <c r="N88" s="130"/>
      <c r="O88" s="130"/>
      <c r="P88" s="130"/>
      <c r="Q88" s="261"/>
      <c r="R88" s="261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  <c r="AM88" s="261"/>
      <c r="AN88" s="261"/>
      <c r="AO88" s="261"/>
      <c r="AP88" s="261"/>
      <c r="AQ88" s="261"/>
      <c r="AR88" s="261"/>
      <c r="AS88" s="261"/>
      <c r="AT88" s="261"/>
      <c r="AU88" s="261"/>
      <c r="AV88" s="261"/>
      <c r="AW88" s="261"/>
      <c r="AX88" s="261"/>
      <c r="AY88" s="261"/>
    </row>
    <row r="89" spans="2:51" s="283" customFormat="1" ht="48.75" customHeight="1">
      <c r="B89" s="284"/>
      <c r="C89" s="285"/>
      <c r="D89" s="285"/>
      <c r="E89" s="290"/>
      <c r="F89" s="285"/>
      <c r="G89" s="285"/>
      <c r="H89" s="285"/>
      <c r="I89" s="291"/>
      <c r="J89" s="285"/>
      <c r="K89" s="285"/>
      <c r="L89" s="261"/>
      <c r="M89" s="261"/>
      <c r="N89" s="130"/>
      <c r="O89" s="130"/>
      <c r="P89" s="130"/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61"/>
      <c r="AU89" s="261"/>
      <c r="AV89" s="261"/>
      <c r="AW89" s="261"/>
      <c r="AX89" s="261"/>
      <c r="AY89" s="261"/>
    </row>
    <row r="90" spans="2:51" s="283" customFormat="1" ht="48.75" customHeight="1">
      <c r="B90" s="284"/>
      <c r="C90" s="285"/>
      <c r="D90" s="285"/>
      <c r="E90" s="290"/>
      <c r="F90" s="285"/>
      <c r="G90" s="285"/>
      <c r="H90" s="285"/>
      <c r="I90" s="291"/>
      <c r="J90" s="285"/>
      <c r="K90" s="285"/>
      <c r="L90" s="261"/>
      <c r="M90" s="261"/>
      <c r="N90" s="130"/>
      <c r="O90" s="130"/>
      <c r="P90" s="130"/>
      <c r="Q90" s="261"/>
      <c r="R90" s="261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  <c r="AM90" s="261"/>
      <c r="AN90" s="261"/>
      <c r="AO90" s="261"/>
      <c r="AP90" s="261"/>
      <c r="AQ90" s="261"/>
      <c r="AR90" s="261"/>
      <c r="AS90" s="261"/>
      <c r="AT90" s="261"/>
      <c r="AU90" s="261"/>
      <c r="AV90" s="261"/>
      <c r="AW90" s="261"/>
      <c r="AX90" s="261"/>
      <c r="AY90" s="261"/>
    </row>
    <row r="91" spans="2:51" s="283" customFormat="1" ht="48.75" customHeight="1">
      <c r="B91" s="284"/>
      <c r="C91" s="285"/>
      <c r="D91" s="285"/>
      <c r="E91" s="290"/>
      <c r="F91" s="285"/>
      <c r="G91" s="285"/>
      <c r="H91" s="285"/>
      <c r="I91" s="291"/>
      <c r="J91" s="285"/>
      <c r="K91" s="285"/>
      <c r="L91" s="261"/>
      <c r="M91" s="261"/>
      <c r="N91" s="130"/>
      <c r="O91" s="130"/>
      <c r="P91" s="130"/>
      <c r="Q91" s="261"/>
      <c r="R91" s="261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  <c r="AM91" s="261"/>
      <c r="AN91" s="261"/>
      <c r="AO91" s="261"/>
      <c r="AP91" s="261"/>
      <c r="AQ91" s="261"/>
      <c r="AR91" s="261"/>
      <c r="AS91" s="261"/>
      <c r="AT91" s="261"/>
      <c r="AU91" s="261"/>
      <c r="AV91" s="261"/>
      <c r="AW91" s="261"/>
      <c r="AX91" s="261"/>
      <c r="AY91" s="261"/>
    </row>
  </sheetData>
  <mergeCells count="24">
    <mergeCell ref="A1:K1"/>
    <mergeCell ref="A2:K2"/>
    <mergeCell ref="K3:K5"/>
    <mergeCell ref="F3:G3"/>
    <mergeCell ref="H3:I3"/>
    <mergeCell ref="H4:H5"/>
    <mergeCell ref="I4:I5"/>
    <mergeCell ref="J3:J5"/>
    <mergeCell ref="F4:F5"/>
    <mergeCell ref="G4:G5"/>
    <mergeCell ref="A16:B16"/>
    <mergeCell ref="A18:B18"/>
    <mergeCell ref="A22:B22"/>
    <mergeCell ref="A25:B25"/>
    <mergeCell ref="D3:E3"/>
    <mergeCell ref="A15:B15"/>
    <mergeCell ref="A6:B6"/>
    <mergeCell ref="A7:B7"/>
    <mergeCell ref="A8:B8"/>
    <mergeCell ref="A13:B13"/>
    <mergeCell ref="A3:B5"/>
    <mergeCell ref="C4:C5"/>
    <mergeCell ref="D4:D5"/>
    <mergeCell ref="E4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S36"/>
  <sheetViews>
    <sheetView zoomScale="70" zoomScaleNormal="70" zoomScaleSheetLayoutView="40" zoomScalePageLayoutView="60" workbookViewId="0">
      <selection activeCell="X8" sqref="X8"/>
    </sheetView>
  </sheetViews>
  <sheetFormatPr defaultColWidth="9.140625" defaultRowHeight="20.25"/>
  <cols>
    <col min="1" max="1" width="7.140625" style="360" customWidth="1"/>
    <col min="2" max="2" width="63.85546875" style="353" customWidth="1"/>
    <col min="3" max="3" width="8" style="360" hidden="1" customWidth="1"/>
    <col min="4" max="5" width="20.7109375" style="611" hidden="1" customWidth="1"/>
    <col min="6" max="6" width="19.5703125" style="331" customWidth="1"/>
    <col min="7" max="7" width="20.42578125" style="331" customWidth="1"/>
    <col min="8" max="8" width="17.28515625" style="331" hidden="1" customWidth="1"/>
    <col min="9" max="9" width="18.28515625" style="331" customWidth="1"/>
    <col min="10" max="10" width="17.140625" style="331" hidden="1" customWidth="1"/>
    <col min="11" max="11" width="19.42578125" style="331" customWidth="1"/>
    <col min="12" max="12" width="17.85546875" style="331" bestFit="1" customWidth="1"/>
    <col min="13" max="13" width="10.140625" style="331" bestFit="1" customWidth="1"/>
    <col min="14" max="14" width="19.28515625" style="331" bestFit="1" customWidth="1"/>
    <col min="15" max="15" width="9.7109375" style="331" bestFit="1" customWidth="1"/>
    <col min="16" max="16" width="19.140625" style="331" bestFit="1" customWidth="1"/>
    <col min="17" max="17" width="10.140625" style="331" bestFit="1" customWidth="1"/>
    <col min="18" max="18" width="20.28515625" style="331" customWidth="1"/>
    <col min="19" max="19" width="20.28515625" style="330" customWidth="1"/>
    <col min="20" max="16384" width="9.140625" style="353"/>
  </cols>
  <sheetData>
    <row r="1" spans="1:19" s="327" customFormat="1" ht="26.25">
      <c r="A1" s="884" t="s">
        <v>264</v>
      </c>
      <c r="B1" s="884"/>
      <c r="C1" s="884"/>
      <c r="D1" s="884"/>
      <c r="E1" s="884"/>
      <c r="F1" s="884"/>
      <c r="G1" s="884"/>
      <c r="H1" s="884"/>
      <c r="I1" s="884"/>
      <c r="J1" s="884"/>
      <c r="K1" s="884"/>
      <c r="L1" s="884"/>
      <c r="M1" s="884"/>
      <c r="N1" s="884"/>
      <c r="O1" s="884"/>
      <c r="P1" s="884"/>
      <c r="Q1" s="884"/>
      <c r="R1" s="884"/>
      <c r="S1" s="608"/>
    </row>
    <row r="2" spans="1:19" s="327" customFormat="1" ht="26.25">
      <c r="A2" s="885" t="s">
        <v>708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  <c r="O2" s="885"/>
      <c r="P2" s="885"/>
      <c r="Q2" s="885"/>
      <c r="R2" s="885"/>
      <c r="S2" s="608"/>
    </row>
    <row r="3" spans="1:19" s="332" customFormat="1" ht="26.1" customHeight="1">
      <c r="A3" s="881" t="s">
        <v>25</v>
      </c>
      <c r="B3" s="881" t="s">
        <v>152</v>
      </c>
      <c r="C3" s="888" t="s">
        <v>3</v>
      </c>
      <c r="D3" s="876" t="s">
        <v>487</v>
      </c>
      <c r="E3" s="876" t="s">
        <v>488</v>
      </c>
      <c r="F3" s="886" t="s">
        <v>128</v>
      </c>
      <c r="G3" s="878" t="s">
        <v>489</v>
      </c>
      <c r="H3" s="878" t="s">
        <v>490</v>
      </c>
      <c r="I3" s="878" t="s">
        <v>491</v>
      </c>
      <c r="J3" s="878" t="s">
        <v>492</v>
      </c>
      <c r="K3" s="878" t="s">
        <v>516</v>
      </c>
      <c r="L3" s="881" t="s">
        <v>12</v>
      </c>
      <c r="M3" s="881"/>
      <c r="N3" s="882" t="s">
        <v>90</v>
      </c>
      <c r="O3" s="883"/>
      <c r="P3" s="890" t="s">
        <v>185</v>
      </c>
      <c r="Q3" s="890"/>
      <c r="R3" s="876" t="s">
        <v>4</v>
      </c>
      <c r="S3" s="876" t="s">
        <v>265</v>
      </c>
    </row>
    <row r="4" spans="1:19" s="332" customFormat="1" ht="42.75" customHeight="1">
      <c r="A4" s="881"/>
      <c r="B4" s="881"/>
      <c r="C4" s="889"/>
      <c r="D4" s="877"/>
      <c r="E4" s="877"/>
      <c r="F4" s="887"/>
      <c r="G4" s="879"/>
      <c r="H4" s="879"/>
      <c r="I4" s="880"/>
      <c r="J4" s="879"/>
      <c r="K4" s="880"/>
      <c r="L4" s="328" t="s">
        <v>113</v>
      </c>
      <c r="M4" s="328" t="s">
        <v>7</v>
      </c>
      <c r="N4" s="328" t="s">
        <v>113</v>
      </c>
      <c r="O4" s="328" t="s">
        <v>7</v>
      </c>
      <c r="P4" s="328" t="s">
        <v>113</v>
      </c>
      <c r="Q4" s="328" t="s">
        <v>7</v>
      </c>
      <c r="R4" s="877"/>
      <c r="S4" s="877"/>
    </row>
    <row r="5" spans="1:19" s="336" customFormat="1" ht="26.1" customHeight="1" thickBot="1">
      <c r="A5" s="333"/>
      <c r="B5" s="333" t="s">
        <v>162</v>
      </c>
      <c r="C5" s="333">
        <f t="shared" ref="C5:L5" si="0">+C6+C24+C26+C35</f>
        <v>204</v>
      </c>
      <c r="D5" s="334">
        <f t="shared" si="0"/>
        <v>140333710</v>
      </c>
      <c r="E5" s="334">
        <f t="shared" si="0"/>
        <v>62131090</v>
      </c>
      <c r="F5" s="334">
        <f t="shared" si="0"/>
        <v>202464800</v>
      </c>
      <c r="G5" s="334">
        <f t="shared" si="0"/>
        <v>0</v>
      </c>
      <c r="H5" s="334">
        <f t="shared" si="0"/>
        <v>0</v>
      </c>
      <c r="I5" s="334">
        <f t="shared" si="0"/>
        <v>0</v>
      </c>
      <c r="J5" s="334">
        <f t="shared" si="0"/>
        <v>0</v>
      </c>
      <c r="K5" s="334">
        <f t="shared" si="0"/>
        <v>202464800</v>
      </c>
      <c r="L5" s="334">
        <f t="shared" si="0"/>
        <v>890480</v>
      </c>
      <c r="M5" s="334">
        <f t="shared" ref="M5:M24" si="1">+L5*100/K5</f>
        <v>0.43981966247960141</v>
      </c>
      <c r="N5" s="334">
        <f>+N6+N24+N26+N35</f>
        <v>10919237.42</v>
      </c>
      <c r="O5" s="334">
        <f t="shared" ref="O5:O24" si="2">+N5*100/K5</f>
        <v>5.3931534864331976</v>
      </c>
      <c r="P5" s="334">
        <f>+P6+P24+P26+P35</f>
        <v>11809717.42</v>
      </c>
      <c r="Q5" s="334">
        <f t="shared" ref="Q5:Q24" si="3">+P5*100/K5</f>
        <v>5.8329731489127985</v>
      </c>
      <c r="R5" s="334">
        <f>+R6+R24+R26+R35</f>
        <v>190655082.57999998</v>
      </c>
      <c r="S5" s="335"/>
    </row>
    <row r="6" spans="1:19" s="329" customFormat="1" ht="41.25" thickTop="1">
      <c r="A6" s="337"/>
      <c r="B6" s="338" t="s">
        <v>266</v>
      </c>
      <c r="C6" s="339">
        <f>SUM(C9:C23)</f>
        <v>15</v>
      </c>
      <c r="D6" s="340">
        <f>SUM(D9:D23)</f>
        <v>5201410</v>
      </c>
      <c r="E6" s="340">
        <f>SUM(E9:E23)</f>
        <v>45920890</v>
      </c>
      <c r="F6" s="340">
        <f t="shared" ref="F6:L6" si="4">SUM(F7:F23)</f>
        <v>51122300</v>
      </c>
      <c r="G6" s="340">
        <f t="shared" si="4"/>
        <v>0</v>
      </c>
      <c r="H6" s="340">
        <f t="shared" si="4"/>
        <v>0</v>
      </c>
      <c r="I6" s="340">
        <f t="shared" si="4"/>
        <v>0</v>
      </c>
      <c r="J6" s="340">
        <f t="shared" si="4"/>
        <v>0</v>
      </c>
      <c r="K6" s="340">
        <f t="shared" si="4"/>
        <v>51122300</v>
      </c>
      <c r="L6" s="340">
        <f t="shared" si="4"/>
        <v>890480</v>
      </c>
      <c r="M6" s="356">
        <f t="shared" si="1"/>
        <v>1.7418621619136854</v>
      </c>
      <c r="N6" s="340">
        <f>SUM(N7:N23)</f>
        <v>10185000</v>
      </c>
      <c r="O6" s="356">
        <f t="shared" si="2"/>
        <v>19.922812549513619</v>
      </c>
      <c r="P6" s="340">
        <f>SUM(P7:P23)</f>
        <v>11075480</v>
      </c>
      <c r="Q6" s="356">
        <f t="shared" si="3"/>
        <v>21.664674711427303</v>
      </c>
      <c r="R6" s="340">
        <f>SUM(R7:R23)</f>
        <v>40046820</v>
      </c>
      <c r="S6" s="341"/>
    </row>
    <row r="7" spans="1:19" s="349" customFormat="1" ht="27" customHeight="1">
      <c r="A7" s="342"/>
      <c r="B7" s="359" t="s">
        <v>501</v>
      </c>
      <c r="C7" s="344"/>
      <c r="D7" s="345"/>
      <c r="E7" s="345"/>
      <c r="F7" s="345"/>
      <c r="G7" s="345">
        <f>9673110+40000</f>
        <v>9713110</v>
      </c>
      <c r="H7" s="345"/>
      <c r="I7" s="345">
        <v>-147900</v>
      </c>
      <c r="J7" s="345"/>
      <c r="K7" s="346">
        <f t="shared" ref="K7:K23" si="5">SUM(F7:J7)</f>
        <v>9565210</v>
      </c>
      <c r="L7" s="345"/>
      <c r="M7" s="347">
        <f t="shared" si="1"/>
        <v>0</v>
      </c>
      <c r="N7" s="345"/>
      <c r="O7" s="347">
        <f t="shared" si="2"/>
        <v>0</v>
      </c>
      <c r="P7" s="347">
        <f t="shared" ref="P7:P23" si="6">+L7+N7</f>
        <v>0</v>
      </c>
      <c r="Q7" s="347">
        <f t="shared" si="3"/>
        <v>0</v>
      </c>
      <c r="R7" s="347">
        <f>+K7-P7</f>
        <v>9565210</v>
      </c>
      <c r="S7" s="734"/>
    </row>
    <row r="8" spans="1:19" s="349" customFormat="1" ht="40.5">
      <c r="A8" s="342">
        <v>1</v>
      </c>
      <c r="B8" s="359" t="s">
        <v>709</v>
      </c>
      <c r="C8" s="344"/>
      <c r="D8" s="345"/>
      <c r="E8" s="345"/>
      <c r="F8" s="345"/>
      <c r="G8" s="345"/>
      <c r="H8" s="345"/>
      <c r="I8" s="345">
        <v>147900</v>
      </c>
      <c r="J8" s="345"/>
      <c r="K8" s="346">
        <f t="shared" si="5"/>
        <v>147900</v>
      </c>
      <c r="L8" s="345"/>
      <c r="M8" s="347">
        <f t="shared" si="1"/>
        <v>0</v>
      </c>
      <c r="N8" s="345"/>
      <c r="O8" s="347">
        <f t="shared" si="2"/>
        <v>0</v>
      </c>
      <c r="P8" s="347">
        <f t="shared" si="6"/>
        <v>0</v>
      </c>
      <c r="Q8" s="347">
        <f t="shared" si="3"/>
        <v>0</v>
      </c>
      <c r="R8" s="347">
        <f t="shared" ref="R8:R23" si="7">+K8-P8</f>
        <v>147900</v>
      </c>
      <c r="S8" s="734" t="s">
        <v>135</v>
      </c>
    </row>
    <row r="9" spans="1:19" s="349" customFormat="1" ht="40.5">
      <c r="A9" s="342">
        <v>2</v>
      </c>
      <c r="B9" s="350" t="s">
        <v>268</v>
      </c>
      <c r="C9" s="351">
        <v>1</v>
      </c>
      <c r="D9" s="610"/>
      <c r="E9" s="610">
        <v>15520000</v>
      </c>
      <c r="F9" s="345">
        <f t="shared" ref="F9:F23" si="8">SUM(D9:E9)</f>
        <v>15520000</v>
      </c>
      <c r="G9" s="347"/>
      <c r="H9" s="347"/>
      <c r="I9" s="347"/>
      <c r="J9" s="347"/>
      <c r="K9" s="346">
        <f t="shared" si="5"/>
        <v>15520000</v>
      </c>
      <c r="L9" s="347"/>
      <c r="M9" s="347">
        <f t="shared" si="1"/>
        <v>0</v>
      </c>
      <c r="N9" s="347"/>
      <c r="O9" s="347">
        <f t="shared" si="2"/>
        <v>0</v>
      </c>
      <c r="P9" s="347">
        <f t="shared" si="6"/>
        <v>0</v>
      </c>
      <c r="Q9" s="347">
        <f t="shared" si="3"/>
        <v>0</v>
      </c>
      <c r="R9" s="347">
        <f t="shared" si="7"/>
        <v>15520000</v>
      </c>
      <c r="S9" s="348" t="s">
        <v>135</v>
      </c>
    </row>
    <row r="10" spans="1:19" s="349" customFormat="1" ht="27" customHeight="1">
      <c r="A10" s="342">
        <v>3</v>
      </c>
      <c r="B10" s="1071" t="s">
        <v>269</v>
      </c>
      <c r="C10" s="351">
        <v>1</v>
      </c>
      <c r="D10" s="610"/>
      <c r="E10" s="610">
        <v>13200000</v>
      </c>
      <c r="F10" s="345">
        <f t="shared" si="8"/>
        <v>13200000</v>
      </c>
      <c r="G10" s="347"/>
      <c r="H10" s="347"/>
      <c r="I10" s="347"/>
      <c r="J10" s="347"/>
      <c r="K10" s="346">
        <f t="shared" si="5"/>
        <v>13200000</v>
      </c>
      <c r="L10" s="347"/>
      <c r="M10" s="347">
        <f t="shared" si="1"/>
        <v>0</v>
      </c>
      <c r="N10" s="347"/>
      <c r="O10" s="347">
        <f t="shared" si="2"/>
        <v>0</v>
      </c>
      <c r="P10" s="347">
        <f t="shared" si="6"/>
        <v>0</v>
      </c>
      <c r="Q10" s="347">
        <f t="shared" si="3"/>
        <v>0</v>
      </c>
      <c r="R10" s="347">
        <f t="shared" si="7"/>
        <v>13200000</v>
      </c>
      <c r="S10" s="348" t="s">
        <v>135</v>
      </c>
    </row>
    <row r="11" spans="1:19" s="349" customFormat="1" ht="27" hidden="1" customHeight="1">
      <c r="A11" s="342">
        <v>3</v>
      </c>
      <c r="B11" s="343" t="s">
        <v>270</v>
      </c>
      <c r="C11" s="351">
        <v>1</v>
      </c>
      <c r="D11" s="610">
        <v>3110</v>
      </c>
      <c r="E11" s="610"/>
      <c r="F11" s="345">
        <f t="shared" si="8"/>
        <v>3110</v>
      </c>
      <c r="G11" s="345">
        <v>-3110</v>
      </c>
      <c r="H11" s="345"/>
      <c r="I11" s="345"/>
      <c r="J11" s="345"/>
      <c r="K11" s="346">
        <f t="shared" si="5"/>
        <v>0</v>
      </c>
      <c r="L11" s="345"/>
      <c r="M11" s="347" t="e">
        <f t="shared" si="1"/>
        <v>#DIV/0!</v>
      </c>
      <c r="N11" s="345"/>
      <c r="O11" s="347" t="e">
        <f t="shared" si="2"/>
        <v>#DIV/0!</v>
      </c>
      <c r="P11" s="347">
        <f t="shared" si="6"/>
        <v>0</v>
      </c>
      <c r="Q11" s="347" t="e">
        <f t="shared" si="3"/>
        <v>#DIV/0!</v>
      </c>
      <c r="R11" s="347">
        <f t="shared" si="7"/>
        <v>0</v>
      </c>
      <c r="S11" s="348" t="s">
        <v>135</v>
      </c>
    </row>
    <row r="12" spans="1:19" s="349" customFormat="1" ht="27" customHeight="1">
      <c r="A12" s="342">
        <v>4</v>
      </c>
      <c r="B12" s="343" t="s">
        <v>280</v>
      </c>
      <c r="C12" s="351">
        <v>1</v>
      </c>
      <c r="D12" s="610">
        <v>499900</v>
      </c>
      <c r="E12" s="610"/>
      <c r="F12" s="345">
        <f t="shared" si="8"/>
        <v>499900</v>
      </c>
      <c r="G12" s="345"/>
      <c r="H12" s="345"/>
      <c r="I12" s="345"/>
      <c r="J12" s="345"/>
      <c r="K12" s="346">
        <f t="shared" si="5"/>
        <v>499900</v>
      </c>
      <c r="L12" s="345"/>
      <c r="M12" s="347">
        <f t="shared" si="1"/>
        <v>0</v>
      </c>
      <c r="N12" s="345"/>
      <c r="O12" s="347">
        <f t="shared" si="2"/>
        <v>0</v>
      </c>
      <c r="P12" s="347">
        <f t="shared" si="6"/>
        <v>0</v>
      </c>
      <c r="Q12" s="347">
        <f t="shared" si="3"/>
        <v>0</v>
      </c>
      <c r="R12" s="347">
        <f t="shared" si="7"/>
        <v>499900</v>
      </c>
      <c r="S12" s="348" t="s">
        <v>158</v>
      </c>
    </row>
    <row r="13" spans="1:19" s="349" customFormat="1" ht="27" customHeight="1">
      <c r="A13" s="342">
        <v>5</v>
      </c>
      <c r="B13" s="343" t="s">
        <v>181</v>
      </c>
      <c r="C13" s="351">
        <v>1</v>
      </c>
      <c r="D13" s="610">
        <v>1070700</v>
      </c>
      <c r="E13" s="610"/>
      <c r="F13" s="345">
        <f t="shared" si="8"/>
        <v>1070700</v>
      </c>
      <c r="G13" s="345"/>
      <c r="H13" s="345"/>
      <c r="I13" s="345"/>
      <c r="J13" s="345"/>
      <c r="K13" s="346">
        <f t="shared" si="5"/>
        <v>1070700</v>
      </c>
      <c r="L13" s="345"/>
      <c r="M13" s="347">
        <f t="shared" si="1"/>
        <v>0</v>
      </c>
      <c r="N13" s="345"/>
      <c r="O13" s="347">
        <f t="shared" si="2"/>
        <v>0</v>
      </c>
      <c r="P13" s="347">
        <f t="shared" si="6"/>
        <v>0</v>
      </c>
      <c r="Q13" s="347">
        <f t="shared" si="3"/>
        <v>0</v>
      </c>
      <c r="R13" s="347">
        <f t="shared" si="7"/>
        <v>1070700</v>
      </c>
      <c r="S13" s="348" t="s">
        <v>156</v>
      </c>
    </row>
    <row r="14" spans="1:19" s="349" customFormat="1" ht="27" customHeight="1">
      <c r="A14" s="342">
        <v>6</v>
      </c>
      <c r="B14" s="343" t="s">
        <v>277</v>
      </c>
      <c r="C14" s="351">
        <v>1</v>
      </c>
      <c r="D14" s="610">
        <v>972100</v>
      </c>
      <c r="E14" s="610"/>
      <c r="F14" s="345">
        <f t="shared" si="8"/>
        <v>972100</v>
      </c>
      <c r="G14" s="345"/>
      <c r="H14" s="345"/>
      <c r="I14" s="345"/>
      <c r="J14" s="345"/>
      <c r="K14" s="346">
        <f t="shared" si="5"/>
        <v>972100</v>
      </c>
      <c r="L14" s="345"/>
      <c r="M14" s="347">
        <f t="shared" si="1"/>
        <v>0</v>
      </c>
      <c r="N14" s="345">
        <v>950000</v>
      </c>
      <c r="O14" s="347">
        <f t="shared" si="2"/>
        <v>97.726571340397072</v>
      </c>
      <c r="P14" s="347">
        <f t="shared" si="6"/>
        <v>950000</v>
      </c>
      <c r="Q14" s="347">
        <f t="shared" si="3"/>
        <v>97.726571340397072</v>
      </c>
      <c r="R14" s="347">
        <f t="shared" si="7"/>
        <v>22100</v>
      </c>
      <c r="S14" s="348" t="s">
        <v>166</v>
      </c>
    </row>
    <row r="15" spans="1:19" s="349" customFormat="1" ht="40.5">
      <c r="A15" s="342">
        <v>7</v>
      </c>
      <c r="B15" s="343" t="s">
        <v>271</v>
      </c>
      <c r="C15" s="351">
        <v>1</v>
      </c>
      <c r="D15" s="610">
        <v>1615000</v>
      </c>
      <c r="E15" s="610"/>
      <c r="F15" s="345">
        <f>SUM(D15:E15)</f>
        <v>1615000</v>
      </c>
      <c r="G15" s="345">
        <v>-40000</v>
      </c>
      <c r="H15" s="345"/>
      <c r="I15" s="345"/>
      <c r="J15" s="345"/>
      <c r="K15" s="346">
        <f>SUM(F15:J15)</f>
        <v>1575000</v>
      </c>
      <c r="L15" s="345"/>
      <c r="M15" s="347">
        <f>+L15*100/K15</f>
        <v>0</v>
      </c>
      <c r="N15" s="345">
        <v>1575000</v>
      </c>
      <c r="O15" s="347">
        <f>+N15*100/K15</f>
        <v>100</v>
      </c>
      <c r="P15" s="347">
        <f>+L15+N15</f>
        <v>1575000</v>
      </c>
      <c r="Q15" s="347">
        <f>+P15*100/K15</f>
        <v>100</v>
      </c>
      <c r="R15" s="347">
        <f>+K15-P15</f>
        <v>0</v>
      </c>
      <c r="S15" s="348" t="s">
        <v>135</v>
      </c>
    </row>
    <row r="16" spans="1:19" s="349" customFormat="1" ht="40.5">
      <c r="A16" s="342">
        <v>8</v>
      </c>
      <c r="B16" s="343" t="s">
        <v>267</v>
      </c>
      <c r="C16" s="344">
        <v>1</v>
      </c>
      <c r="D16" s="609"/>
      <c r="E16" s="609">
        <v>16920000</v>
      </c>
      <c r="F16" s="345">
        <f>SUM(D16:E16)</f>
        <v>16920000</v>
      </c>
      <c r="G16" s="345">
        <v>-9670000</v>
      </c>
      <c r="H16" s="345"/>
      <c r="I16" s="345"/>
      <c r="J16" s="345"/>
      <c r="K16" s="346">
        <f>SUM(F16:J16)</f>
        <v>7250000</v>
      </c>
      <c r="L16" s="345"/>
      <c r="M16" s="347">
        <f>+L16*100/K16</f>
        <v>0</v>
      </c>
      <c r="N16" s="345">
        <v>7250000</v>
      </c>
      <c r="O16" s="347">
        <f>+N16*100/K16</f>
        <v>100</v>
      </c>
      <c r="P16" s="347">
        <f>+L16+N16</f>
        <v>7250000</v>
      </c>
      <c r="Q16" s="347">
        <f>+P16*100/K16</f>
        <v>100</v>
      </c>
      <c r="R16" s="347">
        <f t="shared" si="7"/>
        <v>0</v>
      </c>
      <c r="S16" s="348" t="s">
        <v>135</v>
      </c>
    </row>
    <row r="17" spans="1:19" s="349" customFormat="1" ht="40.5">
      <c r="A17" s="342">
        <v>9</v>
      </c>
      <c r="B17" s="343" t="s">
        <v>276</v>
      </c>
      <c r="C17" s="351">
        <v>1</v>
      </c>
      <c r="D17" s="610">
        <v>410000</v>
      </c>
      <c r="E17" s="610"/>
      <c r="F17" s="345">
        <f t="shared" si="8"/>
        <v>410000</v>
      </c>
      <c r="G17" s="345"/>
      <c r="H17" s="345"/>
      <c r="I17" s="345"/>
      <c r="J17" s="345"/>
      <c r="K17" s="346">
        <f t="shared" si="5"/>
        <v>410000</v>
      </c>
      <c r="L17" s="345"/>
      <c r="M17" s="347">
        <f t="shared" si="1"/>
        <v>0</v>
      </c>
      <c r="N17" s="345">
        <v>410000</v>
      </c>
      <c r="O17" s="347">
        <f t="shared" si="2"/>
        <v>100</v>
      </c>
      <c r="P17" s="347">
        <f t="shared" si="6"/>
        <v>410000</v>
      </c>
      <c r="Q17" s="347">
        <f t="shared" si="3"/>
        <v>100</v>
      </c>
      <c r="R17" s="347">
        <f t="shared" si="7"/>
        <v>0</v>
      </c>
      <c r="S17" s="348" t="s">
        <v>161</v>
      </c>
    </row>
    <row r="18" spans="1:19" s="349" customFormat="1" ht="27" customHeight="1">
      <c r="A18" s="342">
        <v>10</v>
      </c>
      <c r="B18" s="1072" t="s">
        <v>274</v>
      </c>
      <c r="C18" s="351">
        <v>1</v>
      </c>
      <c r="D18" s="610"/>
      <c r="E18" s="610">
        <v>177580</v>
      </c>
      <c r="F18" s="345">
        <f>SUM(D18:E18)</f>
        <v>177580</v>
      </c>
      <c r="G18" s="346"/>
      <c r="H18" s="346"/>
      <c r="I18" s="346"/>
      <c r="J18" s="346"/>
      <c r="K18" s="346">
        <f>SUM(F18:J18)</f>
        <v>177580</v>
      </c>
      <c r="L18" s="346">
        <v>156880</v>
      </c>
      <c r="M18" s="346">
        <f>+L18*100/K18</f>
        <v>88.343281901114992</v>
      </c>
      <c r="N18" s="346"/>
      <c r="O18" s="347">
        <f>+N18*100/K18</f>
        <v>0</v>
      </c>
      <c r="P18" s="347">
        <f>+L18+N18</f>
        <v>156880</v>
      </c>
      <c r="Q18" s="346">
        <f>+P18*100/K18</f>
        <v>88.343281901114992</v>
      </c>
      <c r="R18" s="347">
        <f t="shared" si="7"/>
        <v>20700</v>
      </c>
      <c r="S18" s="348" t="s">
        <v>169</v>
      </c>
    </row>
    <row r="19" spans="1:19" s="349" customFormat="1" ht="40.5">
      <c r="A19" s="342">
        <v>11</v>
      </c>
      <c r="B19" s="354" t="s">
        <v>278</v>
      </c>
      <c r="C19" s="351">
        <v>1</v>
      </c>
      <c r="D19" s="610"/>
      <c r="E19" s="610">
        <v>43310</v>
      </c>
      <c r="F19" s="345">
        <f>SUM(D19:E19)</f>
        <v>43310</v>
      </c>
      <c r="G19" s="346"/>
      <c r="H19" s="346"/>
      <c r="I19" s="346"/>
      <c r="J19" s="346"/>
      <c r="K19" s="346">
        <f>SUM(F19:J19)</f>
        <v>43310</v>
      </c>
      <c r="L19" s="346">
        <v>43000</v>
      </c>
      <c r="M19" s="346">
        <f>+L19*100/K19</f>
        <v>99.284229969983841</v>
      </c>
      <c r="N19" s="346"/>
      <c r="O19" s="347">
        <f>+N19*100/K19</f>
        <v>0</v>
      </c>
      <c r="P19" s="347">
        <f>+L19+N19</f>
        <v>43000</v>
      </c>
      <c r="Q19" s="346">
        <f>+P19*100/K19</f>
        <v>99.284229969983841</v>
      </c>
      <c r="R19" s="347">
        <f t="shared" si="7"/>
        <v>310</v>
      </c>
      <c r="S19" s="348" t="s">
        <v>168</v>
      </c>
    </row>
    <row r="20" spans="1:19" s="349" customFormat="1" ht="27" customHeight="1">
      <c r="A20" s="342">
        <v>12</v>
      </c>
      <c r="B20" s="343" t="s">
        <v>272</v>
      </c>
      <c r="C20" s="351">
        <v>1</v>
      </c>
      <c r="D20" s="610">
        <v>263000</v>
      </c>
      <c r="E20" s="610"/>
      <c r="F20" s="345">
        <f t="shared" si="8"/>
        <v>263000</v>
      </c>
      <c r="G20" s="345"/>
      <c r="H20" s="345"/>
      <c r="I20" s="345"/>
      <c r="J20" s="345"/>
      <c r="K20" s="346">
        <f t="shared" si="5"/>
        <v>263000</v>
      </c>
      <c r="L20" s="345">
        <v>263000</v>
      </c>
      <c r="M20" s="347">
        <f t="shared" si="1"/>
        <v>100</v>
      </c>
      <c r="N20" s="345"/>
      <c r="O20" s="347">
        <f t="shared" si="2"/>
        <v>0</v>
      </c>
      <c r="P20" s="347">
        <f t="shared" si="6"/>
        <v>263000</v>
      </c>
      <c r="Q20" s="347">
        <f t="shared" si="3"/>
        <v>100</v>
      </c>
      <c r="R20" s="347">
        <f t="shared" si="7"/>
        <v>0</v>
      </c>
      <c r="S20" s="348" t="s">
        <v>83</v>
      </c>
    </row>
    <row r="21" spans="1:19" s="349" customFormat="1" ht="40.5">
      <c r="A21" s="342">
        <v>13</v>
      </c>
      <c r="B21" s="343" t="s">
        <v>275</v>
      </c>
      <c r="C21" s="351">
        <v>1</v>
      </c>
      <c r="D21" s="610"/>
      <c r="E21" s="610">
        <v>60000</v>
      </c>
      <c r="F21" s="345">
        <f t="shared" si="8"/>
        <v>60000</v>
      </c>
      <c r="G21" s="345"/>
      <c r="H21" s="345"/>
      <c r="I21" s="345"/>
      <c r="J21" s="345"/>
      <c r="K21" s="346">
        <f t="shared" si="5"/>
        <v>60000</v>
      </c>
      <c r="L21" s="345">
        <v>60000</v>
      </c>
      <c r="M21" s="347">
        <f t="shared" si="1"/>
        <v>100</v>
      </c>
      <c r="N21" s="345"/>
      <c r="O21" s="347">
        <f t="shared" si="2"/>
        <v>0</v>
      </c>
      <c r="P21" s="347">
        <f t="shared" si="6"/>
        <v>60000</v>
      </c>
      <c r="Q21" s="347">
        <f t="shared" si="3"/>
        <v>100</v>
      </c>
      <c r="R21" s="347">
        <f t="shared" si="7"/>
        <v>0</v>
      </c>
      <c r="S21" s="348" t="s">
        <v>155</v>
      </c>
    </row>
    <row r="22" spans="1:19" s="349" customFormat="1" ht="26.1" customHeight="1">
      <c r="A22" s="342">
        <v>14</v>
      </c>
      <c r="B22" s="343" t="s">
        <v>273</v>
      </c>
      <c r="C22" s="351">
        <v>1</v>
      </c>
      <c r="D22" s="610">
        <v>10800</v>
      </c>
      <c r="E22" s="610"/>
      <c r="F22" s="345">
        <f t="shared" si="8"/>
        <v>10800</v>
      </c>
      <c r="G22" s="345"/>
      <c r="H22" s="345"/>
      <c r="I22" s="345"/>
      <c r="J22" s="345"/>
      <c r="K22" s="346">
        <f t="shared" si="5"/>
        <v>10800</v>
      </c>
      <c r="L22" s="345">
        <v>10800</v>
      </c>
      <c r="M22" s="347">
        <f t="shared" si="1"/>
        <v>100</v>
      </c>
      <c r="N22" s="345"/>
      <c r="O22" s="347">
        <f t="shared" si="2"/>
        <v>0</v>
      </c>
      <c r="P22" s="347">
        <f t="shared" si="6"/>
        <v>10800</v>
      </c>
      <c r="Q22" s="347">
        <f t="shared" si="3"/>
        <v>100</v>
      </c>
      <c r="R22" s="347">
        <f t="shared" si="7"/>
        <v>0</v>
      </c>
      <c r="S22" s="348" t="s">
        <v>85</v>
      </c>
    </row>
    <row r="23" spans="1:19" s="349" customFormat="1" ht="26.1" customHeight="1">
      <c r="A23" s="342">
        <v>15</v>
      </c>
      <c r="B23" s="343" t="s">
        <v>279</v>
      </c>
      <c r="C23" s="351">
        <v>1</v>
      </c>
      <c r="D23" s="610">
        <v>356800</v>
      </c>
      <c r="E23" s="610"/>
      <c r="F23" s="345">
        <f t="shared" si="8"/>
        <v>356800</v>
      </c>
      <c r="G23" s="345"/>
      <c r="H23" s="345"/>
      <c r="I23" s="345"/>
      <c r="J23" s="345"/>
      <c r="K23" s="346">
        <f t="shared" si="5"/>
        <v>356800</v>
      </c>
      <c r="L23" s="345">
        <v>356800</v>
      </c>
      <c r="M23" s="347">
        <f t="shared" si="1"/>
        <v>100</v>
      </c>
      <c r="N23" s="345"/>
      <c r="O23" s="347">
        <f t="shared" si="2"/>
        <v>0</v>
      </c>
      <c r="P23" s="347">
        <f t="shared" si="6"/>
        <v>356800</v>
      </c>
      <c r="Q23" s="347">
        <f t="shared" si="3"/>
        <v>100</v>
      </c>
      <c r="R23" s="347">
        <f t="shared" si="7"/>
        <v>0</v>
      </c>
      <c r="S23" s="348" t="s">
        <v>168</v>
      </c>
    </row>
    <row r="24" spans="1:19" s="357" customFormat="1" ht="35.1" customHeight="1">
      <c r="A24" s="337"/>
      <c r="B24" s="355" t="s">
        <v>243</v>
      </c>
      <c r="C24" s="339">
        <f>+C25</f>
        <v>1</v>
      </c>
      <c r="D24" s="340">
        <f t="shared" ref="D24:E24" si="9">+D25</f>
        <v>5955000</v>
      </c>
      <c r="E24" s="340">
        <f t="shared" si="9"/>
        <v>0</v>
      </c>
      <c r="F24" s="340">
        <f>+F25</f>
        <v>5955000</v>
      </c>
      <c r="G24" s="340">
        <f t="shared" ref="G24:R24" si="10">+G25</f>
        <v>0</v>
      </c>
      <c r="H24" s="340">
        <f t="shared" si="10"/>
        <v>0</v>
      </c>
      <c r="I24" s="340">
        <f t="shared" si="10"/>
        <v>0</v>
      </c>
      <c r="J24" s="340">
        <f t="shared" si="10"/>
        <v>0</v>
      </c>
      <c r="K24" s="340">
        <f t="shared" si="10"/>
        <v>5955000</v>
      </c>
      <c r="L24" s="340">
        <f t="shared" si="10"/>
        <v>0</v>
      </c>
      <c r="M24" s="340">
        <f t="shared" si="1"/>
        <v>0</v>
      </c>
      <c r="N24" s="340">
        <f t="shared" si="10"/>
        <v>0</v>
      </c>
      <c r="O24" s="340">
        <f t="shared" si="2"/>
        <v>0</v>
      </c>
      <c r="P24" s="340">
        <f t="shared" si="10"/>
        <v>0</v>
      </c>
      <c r="Q24" s="340">
        <f t="shared" si="3"/>
        <v>0</v>
      </c>
      <c r="R24" s="340">
        <f t="shared" si="10"/>
        <v>5955000</v>
      </c>
      <c r="S24" s="356"/>
    </row>
    <row r="25" spans="1:19" s="349" customFormat="1" ht="60.75" customHeight="1">
      <c r="A25" s="342">
        <v>1</v>
      </c>
      <c r="B25" s="343" t="s">
        <v>281</v>
      </c>
      <c r="C25" s="344">
        <v>1</v>
      </c>
      <c r="D25" s="609">
        <v>5955000</v>
      </c>
      <c r="E25" s="609"/>
      <c r="F25" s="345">
        <f>SUM(D25:E25)</f>
        <v>5955000</v>
      </c>
      <c r="G25" s="345"/>
      <c r="H25" s="345"/>
      <c r="I25" s="345"/>
      <c r="J25" s="345"/>
      <c r="K25" s="358">
        <f t="shared" ref="K25" si="11">SUM(F25:J25)</f>
        <v>5955000</v>
      </c>
      <c r="L25" s="345"/>
      <c r="M25" s="347">
        <f>+L25*100/F25</f>
        <v>0</v>
      </c>
      <c r="N25" s="345"/>
      <c r="O25" s="347">
        <f>+N25*100/F25</f>
        <v>0</v>
      </c>
      <c r="P25" s="347">
        <f>+L25+N25</f>
        <v>0</v>
      </c>
      <c r="Q25" s="347">
        <f>+P25*100/F25</f>
        <v>0</v>
      </c>
      <c r="R25" s="347">
        <f>+F25-P25</f>
        <v>5955000</v>
      </c>
      <c r="S25" s="348" t="s">
        <v>147</v>
      </c>
    </row>
    <row r="26" spans="1:19" s="329" customFormat="1" ht="35.1" customHeight="1">
      <c r="A26" s="337"/>
      <c r="B26" s="338" t="s">
        <v>250</v>
      </c>
      <c r="C26" s="339">
        <f>SUM(C27:C34)</f>
        <v>187</v>
      </c>
      <c r="D26" s="340">
        <f t="shared" ref="D26:E26" si="12">SUM(D27:D34)</f>
        <v>129177300</v>
      </c>
      <c r="E26" s="340">
        <f t="shared" si="12"/>
        <v>15760200</v>
      </c>
      <c r="F26" s="340">
        <f>SUM(F27:F34)</f>
        <v>144937500</v>
      </c>
      <c r="G26" s="340">
        <f t="shared" ref="G26:R26" si="13">SUM(G27:G34)</f>
        <v>0</v>
      </c>
      <c r="H26" s="340">
        <f t="shared" si="13"/>
        <v>0</v>
      </c>
      <c r="I26" s="340">
        <f t="shared" si="13"/>
        <v>0</v>
      </c>
      <c r="J26" s="340">
        <f t="shared" si="13"/>
        <v>0</v>
      </c>
      <c r="K26" s="340">
        <f t="shared" si="13"/>
        <v>144937500</v>
      </c>
      <c r="L26" s="340">
        <f t="shared" si="13"/>
        <v>0</v>
      </c>
      <c r="M26" s="340">
        <f t="shared" ref="M26:M31" si="14">+L26*100/K26</f>
        <v>0</v>
      </c>
      <c r="N26" s="340">
        <f t="shared" si="13"/>
        <v>734237.42</v>
      </c>
      <c r="O26" s="340">
        <f t="shared" ref="O26:O27" si="15">+N26*100/K26</f>
        <v>0.50658899180681327</v>
      </c>
      <c r="P26" s="340">
        <f t="shared" si="13"/>
        <v>734237.42</v>
      </c>
      <c r="Q26" s="340">
        <f t="shared" ref="Q26:Q27" si="16">+P26*100/K26</f>
        <v>0.50658899180681327</v>
      </c>
      <c r="R26" s="340">
        <f t="shared" si="13"/>
        <v>144203262.57999998</v>
      </c>
      <c r="S26" s="356"/>
    </row>
    <row r="27" spans="1:19" s="352" customFormat="1" ht="40.5">
      <c r="A27" s="342">
        <v>1</v>
      </c>
      <c r="B27" s="350" t="s">
        <v>282</v>
      </c>
      <c r="C27" s="351">
        <v>180</v>
      </c>
      <c r="D27" s="610">
        <v>20346000</v>
      </c>
      <c r="E27" s="610"/>
      <c r="F27" s="347">
        <f>SUM(D27:E27)</f>
        <v>20346000</v>
      </c>
      <c r="G27" s="347"/>
      <c r="H27" s="347"/>
      <c r="I27" s="347"/>
      <c r="J27" s="347"/>
      <c r="K27" s="346">
        <f t="shared" ref="K27:K34" si="17">SUM(F27:J27)</f>
        <v>20346000</v>
      </c>
      <c r="L27" s="347">
        <f>+'[5]46 (งบขุด)'!L8</f>
        <v>0</v>
      </c>
      <c r="M27" s="345">
        <f t="shared" si="14"/>
        <v>0</v>
      </c>
      <c r="N27" s="347">
        <f>+'[5]46 (งบขุด)'!K8</f>
        <v>734237.42</v>
      </c>
      <c r="O27" s="345">
        <f t="shared" si="15"/>
        <v>3.6087556276417967</v>
      </c>
      <c r="P27" s="347">
        <f>+L27+N27</f>
        <v>734237.42</v>
      </c>
      <c r="Q27" s="345">
        <f t="shared" si="16"/>
        <v>3.6087556276417967</v>
      </c>
      <c r="R27" s="347">
        <f>+F27-P27</f>
        <v>19611762.579999998</v>
      </c>
      <c r="S27" s="348" t="s">
        <v>184</v>
      </c>
    </row>
    <row r="28" spans="1:19" s="352" customFormat="1" ht="60.75" customHeight="1">
      <c r="A28" s="342">
        <v>2</v>
      </c>
      <c r="B28" s="350" t="s">
        <v>283</v>
      </c>
      <c r="C28" s="351">
        <v>1</v>
      </c>
      <c r="D28" s="610"/>
      <c r="E28" s="610">
        <v>1500000</v>
      </c>
      <c r="F28" s="347">
        <f t="shared" ref="F28:F34" si="18">SUM(D28:E28)</f>
        <v>1500000</v>
      </c>
      <c r="G28" s="347"/>
      <c r="H28" s="347"/>
      <c r="I28" s="347"/>
      <c r="J28" s="347"/>
      <c r="K28" s="346">
        <f t="shared" si="17"/>
        <v>1500000</v>
      </c>
      <c r="L28" s="347"/>
      <c r="M28" s="345">
        <f>+L28*100/F28</f>
        <v>0</v>
      </c>
      <c r="N28" s="347"/>
      <c r="O28" s="345">
        <f>+N28*100/F28</f>
        <v>0</v>
      </c>
      <c r="P28" s="347">
        <f t="shared" ref="P28:P34" si="19">+L28+N28</f>
        <v>0</v>
      </c>
      <c r="Q28" s="345">
        <f>+P28*100/F28</f>
        <v>0</v>
      </c>
      <c r="R28" s="347">
        <f t="shared" ref="R28:R34" si="20">+F28-P28</f>
        <v>1500000</v>
      </c>
      <c r="S28" s="348" t="s">
        <v>136</v>
      </c>
    </row>
    <row r="29" spans="1:19" s="352" customFormat="1" ht="60.75" customHeight="1">
      <c r="A29" s="342">
        <v>3</v>
      </c>
      <c r="B29" s="350" t="s">
        <v>284</v>
      </c>
      <c r="C29" s="351">
        <v>1</v>
      </c>
      <c r="D29" s="610"/>
      <c r="E29" s="610">
        <v>1500000</v>
      </c>
      <c r="F29" s="347">
        <f t="shared" si="18"/>
        <v>1500000</v>
      </c>
      <c r="G29" s="347"/>
      <c r="H29" s="347"/>
      <c r="I29" s="347"/>
      <c r="J29" s="347"/>
      <c r="K29" s="346">
        <f t="shared" si="17"/>
        <v>1500000</v>
      </c>
      <c r="L29" s="347"/>
      <c r="M29" s="345">
        <f>+L29*100/F29</f>
        <v>0</v>
      </c>
      <c r="N29" s="347"/>
      <c r="O29" s="345">
        <f t="shared" ref="O29:O34" si="21">+N29*100/F29</f>
        <v>0</v>
      </c>
      <c r="P29" s="347">
        <f t="shared" si="19"/>
        <v>0</v>
      </c>
      <c r="Q29" s="345">
        <f t="shared" ref="Q29:Q34" si="22">+P29*100/F29</f>
        <v>0</v>
      </c>
      <c r="R29" s="347">
        <f t="shared" si="20"/>
        <v>1500000</v>
      </c>
      <c r="S29" s="348" t="s">
        <v>136</v>
      </c>
    </row>
    <row r="30" spans="1:19" s="352" customFormat="1" ht="40.5" customHeight="1">
      <c r="A30" s="342">
        <v>4</v>
      </c>
      <c r="B30" s="350" t="s">
        <v>285</v>
      </c>
      <c r="C30" s="351">
        <v>1</v>
      </c>
      <c r="D30" s="610"/>
      <c r="E30" s="610">
        <v>12760200</v>
      </c>
      <c r="F30" s="347">
        <f t="shared" si="18"/>
        <v>12760200</v>
      </c>
      <c r="G30" s="347"/>
      <c r="H30" s="347"/>
      <c r="I30" s="347"/>
      <c r="J30" s="347"/>
      <c r="K30" s="346">
        <f t="shared" si="17"/>
        <v>12760200</v>
      </c>
      <c r="L30" s="347"/>
      <c r="M30" s="345">
        <f t="shared" si="14"/>
        <v>0</v>
      </c>
      <c r="N30" s="347"/>
      <c r="O30" s="345">
        <f t="shared" si="21"/>
        <v>0</v>
      </c>
      <c r="P30" s="347">
        <f t="shared" si="19"/>
        <v>0</v>
      </c>
      <c r="Q30" s="345">
        <f t="shared" si="22"/>
        <v>0</v>
      </c>
      <c r="R30" s="347">
        <f t="shared" si="20"/>
        <v>12760200</v>
      </c>
      <c r="S30" s="348" t="s">
        <v>136</v>
      </c>
    </row>
    <row r="31" spans="1:19" s="352" customFormat="1" ht="26.1" customHeight="1">
      <c r="A31" s="342">
        <v>5</v>
      </c>
      <c r="B31" s="350" t="s">
        <v>286</v>
      </c>
      <c r="C31" s="351">
        <v>1</v>
      </c>
      <c r="D31" s="610">
        <v>8371300</v>
      </c>
      <c r="E31" s="610"/>
      <c r="F31" s="347">
        <f t="shared" si="18"/>
        <v>8371300</v>
      </c>
      <c r="G31" s="347"/>
      <c r="H31" s="347"/>
      <c r="I31" s="347"/>
      <c r="J31" s="347"/>
      <c r="K31" s="346">
        <f t="shared" si="17"/>
        <v>8371300</v>
      </c>
      <c r="L31" s="347"/>
      <c r="M31" s="345">
        <f t="shared" si="14"/>
        <v>0</v>
      </c>
      <c r="N31" s="347"/>
      <c r="O31" s="345">
        <f t="shared" si="21"/>
        <v>0</v>
      </c>
      <c r="P31" s="347">
        <f t="shared" si="19"/>
        <v>0</v>
      </c>
      <c r="Q31" s="345">
        <f t="shared" si="22"/>
        <v>0</v>
      </c>
      <c r="R31" s="347">
        <f t="shared" si="20"/>
        <v>8371300</v>
      </c>
      <c r="S31" s="348" t="s">
        <v>136</v>
      </c>
    </row>
    <row r="32" spans="1:19" s="352" customFormat="1" ht="60.75" customHeight="1">
      <c r="A32" s="342">
        <v>6</v>
      </c>
      <c r="B32" s="350" t="s">
        <v>287</v>
      </c>
      <c r="C32" s="351">
        <v>1</v>
      </c>
      <c r="D32" s="610">
        <v>12500000</v>
      </c>
      <c r="E32" s="610"/>
      <c r="F32" s="347">
        <f t="shared" si="18"/>
        <v>12500000</v>
      </c>
      <c r="G32" s="347"/>
      <c r="H32" s="347"/>
      <c r="I32" s="347"/>
      <c r="J32" s="347"/>
      <c r="K32" s="346">
        <f t="shared" si="17"/>
        <v>12500000</v>
      </c>
      <c r="L32" s="347"/>
      <c r="M32" s="345">
        <f>+L32*100/F32</f>
        <v>0</v>
      </c>
      <c r="N32" s="347"/>
      <c r="O32" s="345">
        <f t="shared" si="21"/>
        <v>0</v>
      </c>
      <c r="P32" s="347">
        <f t="shared" si="19"/>
        <v>0</v>
      </c>
      <c r="Q32" s="345">
        <f t="shared" si="22"/>
        <v>0</v>
      </c>
      <c r="R32" s="347">
        <f t="shared" si="20"/>
        <v>12500000</v>
      </c>
      <c r="S32" s="348" t="s">
        <v>136</v>
      </c>
    </row>
    <row r="33" spans="1:19" s="352" customFormat="1" ht="40.5" customHeight="1">
      <c r="A33" s="342">
        <v>7</v>
      </c>
      <c r="B33" s="350" t="s">
        <v>288</v>
      </c>
      <c r="C33" s="351">
        <v>1</v>
      </c>
      <c r="D33" s="610">
        <v>12500000</v>
      </c>
      <c r="E33" s="610"/>
      <c r="F33" s="347">
        <f t="shared" si="18"/>
        <v>12500000</v>
      </c>
      <c r="G33" s="347"/>
      <c r="H33" s="347"/>
      <c r="I33" s="347"/>
      <c r="J33" s="347"/>
      <c r="K33" s="346">
        <f t="shared" si="17"/>
        <v>12500000</v>
      </c>
      <c r="L33" s="347"/>
      <c r="M33" s="345">
        <f t="shared" ref="M33:M34" si="23">+L33*100/F33</f>
        <v>0</v>
      </c>
      <c r="N33" s="347"/>
      <c r="O33" s="345">
        <f t="shared" si="21"/>
        <v>0</v>
      </c>
      <c r="P33" s="347">
        <f t="shared" si="19"/>
        <v>0</v>
      </c>
      <c r="Q33" s="345">
        <f t="shared" si="22"/>
        <v>0</v>
      </c>
      <c r="R33" s="347">
        <f t="shared" si="20"/>
        <v>12500000</v>
      </c>
      <c r="S33" s="348" t="s">
        <v>136</v>
      </c>
    </row>
    <row r="34" spans="1:19" s="349" customFormat="1" ht="40.5" customHeight="1">
      <c r="A34" s="342">
        <v>8</v>
      </c>
      <c r="B34" s="359" t="s">
        <v>289</v>
      </c>
      <c r="C34" s="344">
        <v>1</v>
      </c>
      <c r="D34" s="609">
        <v>75460000</v>
      </c>
      <c r="E34" s="609"/>
      <c r="F34" s="347">
        <f t="shared" si="18"/>
        <v>75460000</v>
      </c>
      <c r="G34" s="345"/>
      <c r="H34" s="345"/>
      <c r="I34" s="345"/>
      <c r="J34" s="345"/>
      <c r="K34" s="346">
        <f t="shared" si="17"/>
        <v>75460000</v>
      </c>
      <c r="L34" s="345"/>
      <c r="M34" s="345">
        <f t="shared" si="23"/>
        <v>0</v>
      </c>
      <c r="N34" s="345"/>
      <c r="O34" s="345">
        <f t="shared" si="21"/>
        <v>0</v>
      </c>
      <c r="P34" s="347">
        <f t="shared" si="19"/>
        <v>0</v>
      </c>
      <c r="Q34" s="345">
        <f t="shared" si="22"/>
        <v>0</v>
      </c>
      <c r="R34" s="347">
        <f t="shared" si="20"/>
        <v>75460000</v>
      </c>
      <c r="S34" s="348" t="s">
        <v>136</v>
      </c>
    </row>
    <row r="35" spans="1:19" s="357" customFormat="1" ht="40.5">
      <c r="A35" s="337"/>
      <c r="B35" s="355" t="s">
        <v>251</v>
      </c>
      <c r="C35" s="339">
        <f>+C36</f>
        <v>1</v>
      </c>
      <c r="D35" s="340">
        <f t="shared" ref="D35:E35" si="24">+D36</f>
        <v>0</v>
      </c>
      <c r="E35" s="340">
        <f t="shared" si="24"/>
        <v>450000</v>
      </c>
      <c r="F35" s="340">
        <f>+F36</f>
        <v>450000</v>
      </c>
      <c r="G35" s="340">
        <f t="shared" ref="G35:K35" si="25">+G36</f>
        <v>0</v>
      </c>
      <c r="H35" s="340">
        <f t="shared" si="25"/>
        <v>0</v>
      </c>
      <c r="I35" s="340">
        <f t="shared" si="25"/>
        <v>0</v>
      </c>
      <c r="J35" s="340">
        <f t="shared" si="25"/>
        <v>0</v>
      </c>
      <c r="K35" s="340">
        <f t="shared" si="25"/>
        <v>450000</v>
      </c>
      <c r="L35" s="340">
        <f>+L36</f>
        <v>0</v>
      </c>
      <c r="M35" s="340">
        <f>+L35*100/F35</f>
        <v>0</v>
      </c>
      <c r="N35" s="340">
        <f>+N36</f>
        <v>0</v>
      </c>
      <c r="O35" s="340">
        <f>+N35*100/F35</f>
        <v>0</v>
      </c>
      <c r="P35" s="340">
        <f>+P36</f>
        <v>0</v>
      </c>
      <c r="Q35" s="340">
        <f>+P35*100/F35</f>
        <v>0</v>
      </c>
      <c r="R35" s="340">
        <f>+R36</f>
        <v>450000</v>
      </c>
      <c r="S35" s="356"/>
    </row>
    <row r="36" spans="1:19" s="349" customFormat="1" ht="40.5" customHeight="1">
      <c r="A36" s="342">
        <v>1</v>
      </c>
      <c r="B36" s="343" t="s">
        <v>290</v>
      </c>
      <c r="C36" s="344">
        <v>1</v>
      </c>
      <c r="D36" s="609"/>
      <c r="E36" s="609">
        <v>450000</v>
      </c>
      <c r="F36" s="345">
        <f>SUM(D36:E36)</f>
        <v>450000</v>
      </c>
      <c r="G36" s="345"/>
      <c r="H36" s="345"/>
      <c r="I36" s="345"/>
      <c r="J36" s="345"/>
      <c r="K36" s="346">
        <v>450000</v>
      </c>
      <c r="L36" s="345"/>
      <c r="M36" s="347">
        <f>+L36*100/F36</f>
        <v>0</v>
      </c>
      <c r="N36" s="345"/>
      <c r="O36" s="347">
        <f>+N36*100/F36</f>
        <v>0</v>
      </c>
      <c r="P36" s="347">
        <f>+L36+N36</f>
        <v>0</v>
      </c>
      <c r="Q36" s="347">
        <f>+P36*100/F36</f>
        <v>0</v>
      </c>
      <c r="R36" s="347">
        <f>+F36-P36</f>
        <v>450000</v>
      </c>
      <c r="S36" s="348" t="s">
        <v>154</v>
      </c>
    </row>
  </sheetData>
  <mergeCells count="18">
    <mergeCell ref="A1:R1"/>
    <mergeCell ref="A2:R2"/>
    <mergeCell ref="E3:E4"/>
    <mergeCell ref="F3:F4"/>
    <mergeCell ref="G3:G4"/>
    <mergeCell ref="A3:A4"/>
    <mergeCell ref="B3:B4"/>
    <mergeCell ref="C3:C4"/>
    <mergeCell ref="D3:D4"/>
    <mergeCell ref="K3:K4"/>
    <mergeCell ref="P3:Q3"/>
    <mergeCell ref="R3:R4"/>
    <mergeCell ref="S3:S4"/>
    <mergeCell ref="H3:H4"/>
    <mergeCell ref="I3:I4"/>
    <mergeCell ref="J3:J4"/>
    <mergeCell ref="L3:M3"/>
    <mergeCell ref="N3:O3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4D0B-E135-4003-959A-8E30A68F1E67}">
  <sheetPr>
    <tabColor rgb="FF92D050"/>
  </sheetPr>
  <dimension ref="A1:Z108"/>
  <sheetViews>
    <sheetView zoomScale="70" zoomScaleNormal="70" workbookViewId="0">
      <selection activeCell="J13" sqref="J13"/>
    </sheetView>
  </sheetViews>
  <sheetFormatPr defaultRowHeight="27.75"/>
  <cols>
    <col min="1" max="1" width="7.140625" style="87" customWidth="1"/>
    <col min="2" max="2" width="11.140625" style="88" hidden="1" customWidth="1"/>
    <col min="3" max="3" width="35.140625" style="89" customWidth="1"/>
    <col min="4" max="4" width="10.5703125" style="87" customWidth="1"/>
    <col min="5" max="5" width="20.140625" style="222" hidden="1" customWidth="1"/>
    <col min="6" max="7" width="10" style="222" hidden="1" customWidth="1"/>
    <col min="8" max="8" width="10" style="622" hidden="1" customWidth="1"/>
    <col min="9" max="9" width="22" style="223" bestFit="1" customWidth="1"/>
    <col min="10" max="10" width="20.7109375" style="222" customWidth="1"/>
    <col min="11" max="11" width="11.7109375" style="222" customWidth="1"/>
    <col min="12" max="12" width="20.7109375" style="222" customWidth="1"/>
    <col min="13" max="13" width="20.7109375" style="223" customWidth="1"/>
    <col min="14" max="14" width="12.140625" style="223" customWidth="1"/>
    <col min="15" max="15" width="22.140625" style="87" bestFit="1" customWidth="1"/>
    <col min="16" max="16" width="22.7109375" style="14" customWidth="1"/>
    <col min="17" max="17" width="19.140625" style="14" customWidth="1"/>
    <col min="18" max="18" width="20.7109375" style="135" customWidth="1"/>
    <col min="19" max="19" width="22.5703125" style="14" customWidth="1"/>
    <col min="20" max="21" width="9.140625" style="14" customWidth="1"/>
    <col min="22" max="22" width="9.140625" style="14"/>
    <col min="23" max="23" width="19.28515625" style="361" customWidth="1"/>
    <col min="24" max="24" width="22.5703125" style="14" customWidth="1"/>
    <col min="25" max="25" width="13.5703125" style="14" customWidth="1"/>
    <col min="26" max="26" width="19.5703125" style="14" customWidth="1"/>
    <col min="27" max="16384" width="9.140625" style="14"/>
  </cols>
  <sheetData>
    <row r="1" spans="1:26" s="612" customFormat="1" ht="33" customHeight="1">
      <c r="A1" s="891" t="s">
        <v>291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R1" s="613"/>
      <c r="S1" s="614"/>
      <c r="T1" s="614"/>
      <c r="U1" s="615"/>
      <c r="W1" s="616"/>
    </row>
    <row r="2" spans="1:26" s="612" customFormat="1" ht="33" customHeight="1">
      <c r="A2" s="891" t="s">
        <v>135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R2" s="613"/>
      <c r="S2" s="614"/>
      <c r="T2" s="614"/>
      <c r="U2" s="615"/>
      <c r="W2" s="616"/>
    </row>
    <row r="3" spans="1:26" s="612" customFormat="1" ht="33" customHeight="1">
      <c r="A3" s="891" t="str">
        <f>+[5]รายละเอียดงบลงทุน!A2</f>
        <v>ข้อมูลสะสมตั้งแต่วันที่ 1 ตุลาคม 2567 ถึงวันที่ 15 มกราคม 2568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R3" s="613"/>
      <c r="S3" s="614"/>
      <c r="T3" s="614"/>
      <c r="U3" s="615"/>
      <c r="W3" s="616"/>
    </row>
    <row r="4" spans="1:26" s="11" customFormat="1" ht="27" customHeight="1">
      <c r="A4" s="895" t="s">
        <v>25</v>
      </c>
      <c r="B4" s="897" t="s">
        <v>77</v>
      </c>
      <c r="C4" s="897" t="s">
        <v>78</v>
      </c>
      <c r="D4" s="895" t="s">
        <v>3</v>
      </c>
      <c r="E4" s="901" t="s">
        <v>128</v>
      </c>
      <c r="F4" s="892" t="s">
        <v>493</v>
      </c>
      <c r="G4" s="901"/>
      <c r="H4" s="908" t="s">
        <v>494</v>
      </c>
      <c r="I4" s="911" t="s">
        <v>128</v>
      </c>
      <c r="J4" s="914" t="s">
        <v>9</v>
      </c>
      <c r="K4" s="915"/>
      <c r="L4" s="918" t="s">
        <v>137</v>
      </c>
      <c r="M4" s="904" t="s">
        <v>176</v>
      </c>
      <c r="N4" s="905"/>
      <c r="O4" s="895" t="s">
        <v>4</v>
      </c>
      <c r="Q4" s="131"/>
      <c r="R4" s="131"/>
      <c r="W4" s="361"/>
    </row>
    <row r="5" spans="1:26" s="11" customFormat="1" ht="27" customHeight="1">
      <c r="A5" s="896"/>
      <c r="B5" s="898"/>
      <c r="C5" s="898"/>
      <c r="D5" s="896"/>
      <c r="E5" s="902"/>
      <c r="F5" s="893"/>
      <c r="G5" s="902"/>
      <c r="H5" s="909"/>
      <c r="I5" s="912"/>
      <c r="J5" s="916"/>
      <c r="K5" s="917"/>
      <c r="L5" s="919"/>
      <c r="M5" s="906"/>
      <c r="N5" s="907"/>
      <c r="O5" s="896"/>
      <c r="R5" s="131"/>
      <c r="W5" s="361"/>
    </row>
    <row r="6" spans="1:26" s="11" customFormat="1" ht="27" customHeight="1">
      <c r="A6" s="896"/>
      <c r="B6" s="899"/>
      <c r="C6" s="899"/>
      <c r="D6" s="900"/>
      <c r="E6" s="903"/>
      <c r="F6" s="894"/>
      <c r="G6" s="903"/>
      <c r="H6" s="910"/>
      <c r="I6" s="913"/>
      <c r="J6" s="184" t="s">
        <v>113</v>
      </c>
      <c r="K6" s="184" t="s">
        <v>7</v>
      </c>
      <c r="L6" s="218" t="s">
        <v>113</v>
      </c>
      <c r="M6" s="96" t="s">
        <v>113</v>
      </c>
      <c r="N6" s="96" t="s">
        <v>7</v>
      </c>
      <c r="O6" s="900"/>
      <c r="R6" s="131"/>
      <c r="W6" s="361"/>
    </row>
    <row r="7" spans="1:26" s="12" customFormat="1" ht="27" customHeight="1" thickBot="1">
      <c r="A7" s="219"/>
      <c r="B7" s="83"/>
      <c r="C7" s="84"/>
      <c r="D7" s="362">
        <f>SUM(D8:D10)</f>
        <v>13</v>
      </c>
      <c r="E7" s="220">
        <f>SUM(E8:E9)</f>
        <v>1081500</v>
      </c>
      <c r="F7" s="220">
        <f>SUM(F8:F11)</f>
        <v>0</v>
      </c>
      <c r="G7" s="220"/>
      <c r="H7" s="617">
        <f>SUM(H8:H9)</f>
        <v>0</v>
      </c>
      <c r="I7" s="220">
        <f>SUM(I8:I10)</f>
        <v>177656710</v>
      </c>
      <c r="J7" s="220">
        <f>SUM(J8:J10)</f>
        <v>0</v>
      </c>
      <c r="K7" s="363">
        <f>+J7*100/I7</f>
        <v>0</v>
      </c>
      <c r="L7" s="220">
        <f>SUM(L8:L10)</f>
        <v>1575000</v>
      </c>
      <c r="M7" s="220">
        <f>SUM(M8:M10)</f>
        <v>1575000</v>
      </c>
      <c r="N7" s="1073">
        <f>M7/I7*100</f>
        <v>0.88654124012540814</v>
      </c>
      <c r="O7" s="220">
        <f>SUM(O8:O10)</f>
        <v>176081710</v>
      </c>
      <c r="P7" s="82"/>
      <c r="Q7" s="13"/>
      <c r="R7" s="132"/>
      <c r="W7" s="361"/>
    </row>
    <row r="8" spans="1:26" s="371" customFormat="1" ht="27.95" customHeight="1" thickTop="1">
      <c r="A8" s="364">
        <v>1</v>
      </c>
      <c r="B8" s="364">
        <v>118</v>
      </c>
      <c r="C8" s="365" t="s">
        <v>292</v>
      </c>
      <c r="D8" s="364">
        <v>5</v>
      </c>
      <c r="E8" s="366">
        <f>+[5]รายละเอียดงบลงทุน!F13</f>
        <v>1070700</v>
      </c>
      <c r="F8" s="366"/>
      <c r="G8" s="366"/>
      <c r="H8" s="618"/>
      <c r="I8" s="366">
        <f>+[5]รายละเอียดงบลงทุน!K7+[5]รายละเอียดงบลงทุน!K9+[5]รายละเอียดงบลงทุน!K10+[5]รายละเอียดงบลงทุน!K15+[5]รายละเอียดงบลงทุน!K16</f>
        <v>47110210</v>
      </c>
      <c r="J8" s="366">
        <f>+[5]รายละเอียดงบลงทุน!L9+[5]รายละเอียดงบลงทุน!L10+[5]รายละเอียดงบลงทุน!L11+[5]รายละเอียดงบลงทุน!L15+[5]รายละเอียดงบลงทุน!L12</f>
        <v>0</v>
      </c>
      <c r="K8" s="366">
        <f>+J8*100/I8</f>
        <v>0</v>
      </c>
      <c r="L8" s="366">
        <f>+[5]รายละเอียดงบลงทุน!N9+[5]รายละเอียดงบลงทุน!N10+[5]รายละเอียดงบลงทุน!N11+[5]รายละเอียดงบลงทุน!N15+[5]รายละเอียดงบลงทุน!N12</f>
        <v>1575000</v>
      </c>
      <c r="M8" s="366">
        <f>+J8+L8</f>
        <v>1575000</v>
      </c>
      <c r="N8" s="390">
        <f>+M8*100/I8</f>
        <v>3.3432243244086579</v>
      </c>
      <c r="O8" s="367">
        <f>+I8-M8</f>
        <v>45535210</v>
      </c>
      <c r="P8" s="368"/>
      <c r="Q8" s="369"/>
      <c r="R8" s="370"/>
      <c r="S8" s="368"/>
      <c r="W8" s="372"/>
    </row>
    <row r="9" spans="1:26" s="371" customFormat="1" ht="27.95" customHeight="1">
      <c r="A9" s="373">
        <v>2</v>
      </c>
      <c r="B9" s="373">
        <v>120</v>
      </c>
      <c r="C9" s="374" t="s">
        <v>120</v>
      </c>
      <c r="D9" s="373">
        <v>1</v>
      </c>
      <c r="E9" s="136">
        <f>+[5]รายละเอียดงบลงทุน!F22</f>
        <v>10800</v>
      </c>
      <c r="F9" s="136"/>
      <c r="G9" s="136"/>
      <c r="H9" s="619"/>
      <c r="I9" s="366">
        <v>5955000</v>
      </c>
      <c r="J9" s="136">
        <f>+[5]รายละเอียดงบลงทุน!L25+[5]รายละเอียดงบลงทุน!L28+[5]รายละเอียดงบลงทุน!L29+[5]รายละเอียดงบลงทุน!L30+[5]รายละเอียดงบลงทุน!L31+[5]รายละเอียดงบลงทุน!L32+[5]รายละเอียดงบลงทุน!L33+[5]รายละเอียดงบลงทุน!L34</f>
        <v>0</v>
      </c>
      <c r="K9" s="136">
        <f>+J9*100/I9</f>
        <v>0</v>
      </c>
      <c r="L9" s="136">
        <f>+[5]รายละเอียดงบลงทุน!N28+[5]รายละเอียดงบลงทุน!N29+[5]รายละเอียดงบลงทุน!N30+[5]รายละเอียดงบลงทุน!N31+[5]รายละเอียดงบลงทุน!N32+[5]รายละเอียดงบลงทุน!N33+[5]รายละเอียดงบลงทุน!N34+[5]รายละเอียดงบลงทุน!N25</f>
        <v>0</v>
      </c>
      <c r="M9" s="366">
        <f>+J9+L9</f>
        <v>0</v>
      </c>
      <c r="N9" s="366">
        <f>+M9*100/I9</f>
        <v>0</v>
      </c>
      <c r="O9" s="367">
        <f>+I9-M9</f>
        <v>5955000</v>
      </c>
      <c r="P9" s="368"/>
      <c r="Q9" s="369"/>
      <c r="R9" s="370"/>
      <c r="S9" s="368"/>
      <c r="W9" s="372"/>
      <c r="X9" s="368"/>
      <c r="Y9" s="368"/>
      <c r="Z9" s="368"/>
    </row>
    <row r="10" spans="1:26" s="371" customFormat="1" ht="27.95" customHeight="1">
      <c r="A10" s="375">
        <v>3</v>
      </c>
      <c r="B10" s="375"/>
      <c r="C10" s="376" t="s">
        <v>293</v>
      </c>
      <c r="D10" s="375">
        <v>7</v>
      </c>
      <c r="E10" s="137"/>
      <c r="F10" s="137"/>
      <c r="G10" s="137"/>
      <c r="H10" s="620"/>
      <c r="I10" s="377">
        <v>124591500</v>
      </c>
      <c r="J10" s="137">
        <v>0</v>
      </c>
      <c r="K10" s="136">
        <f>+J10*100/I10</f>
        <v>0</v>
      </c>
      <c r="L10" s="137">
        <v>0</v>
      </c>
      <c r="M10" s="366">
        <f>+J10+L10</f>
        <v>0</v>
      </c>
      <c r="N10" s="366">
        <f>+M10*100/I10</f>
        <v>0</v>
      </c>
      <c r="O10" s="367">
        <f>+I10-M10</f>
        <v>124591500</v>
      </c>
      <c r="P10" s="368"/>
      <c r="Q10" s="369"/>
      <c r="R10" s="370"/>
      <c r="S10" s="368"/>
      <c r="W10" s="372"/>
      <c r="X10" s="368"/>
      <c r="Y10" s="368"/>
      <c r="Z10" s="368"/>
    </row>
    <row r="11" spans="1:26" s="380" customFormat="1" ht="27.95" customHeight="1">
      <c r="A11" s="378"/>
      <c r="B11" s="378"/>
      <c r="C11" s="379"/>
      <c r="D11" s="378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367"/>
      <c r="R11" s="381"/>
      <c r="W11" s="382"/>
    </row>
    <row r="12" spans="1:26">
      <c r="A12" s="85"/>
      <c r="B12" s="85"/>
      <c r="C12" s="86"/>
      <c r="D12" s="85"/>
      <c r="E12" s="221"/>
      <c r="F12" s="221"/>
      <c r="G12" s="221"/>
      <c r="H12" s="621"/>
      <c r="I12" s="221"/>
      <c r="J12" s="221"/>
      <c r="K12" s="221"/>
      <c r="L12" s="221"/>
      <c r="M12" s="221"/>
      <c r="N12" s="221"/>
      <c r="O12" s="85"/>
      <c r="R12" s="134"/>
    </row>
    <row r="20" spans="23:23">
      <c r="W20" s="383"/>
    </row>
    <row r="25" spans="23:23">
      <c r="W25" s="383"/>
    </row>
    <row r="26" spans="23:23">
      <c r="W26" s="383"/>
    </row>
    <row r="27" spans="23:23">
      <c r="W27" s="383"/>
    </row>
    <row r="33" spans="10:23">
      <c r="W33" s="383"/>
    </row>
    <row r="34" spans="10:23">
      <c r="W34" s="383"/>
    </row>
    <row r="35" spans="10:23">
      <c r="W35" s="383"/>
    </row>
    <row r="36" spans="10:23">
      <c r="W36" s="383"/>
    </row>
    <row r="37" spans="10:23">
      <c r="W37" s="383"/>
    </row>
    <row r="38" spans="10:23">
      <c r="W38" s="383"/>
    </row>
    <row r="39" spans="10:23">
      <c r="W39" s="383"/>
    </row>
    <row r="42" spans="10:23">
      <c r="J42" s="222" t="s">
        <v>186</v>
      </c>
    </row>
    <row r="46" spans="10:23">
      <c r="W46" s="384"/>
    </row>
    <row r="47" spans="10:23">
      <c r="W47" s="384"/>
    </row>
    <row r="48" spans="10:23">
      <c r="W48" s="385"/>
    </row>
    <row r="49" spans="23:23">
      <c r="W49" s="386"/>
    </row>
    <row r="50" spans="23:23">
      <c r="W50" s="383"/>
    </row>
    <row r="51" spans="23:23">
      <c r="W51" s="383"/>
    </row>
    <row r="52" spans="23:23">
      <c r="W52" s="383"/>
    </row>
    <row r="53" spans="23:23">
      <c r="W53" s="383"/>
    </row>
    <row r="54" spans="23:23">
      <c r="W54" s="383"/>
    </row>
    <row r="55" spans="23:23">
      <c r="W55" s="383"/>
    </row>
    <row r="56" spans="23:23">
      <c r="W56" s="383"/>
    </row>
    <row r="57" spans="23:23">
      <c r="W57" s="383"/>
    </row>
    <row r="58" spans="23:23">
      <c r="W58" s="383"/>
    </row>
    <row r="59" spans="23:23">
      <c r="W59" s="383"/>
    </row>
    <row r="60" spans="23:23">
      <c r="W60" s="383"/>
    </row>
    <row r="61" spans="23:23">
      <c r="W61" s="383"/>
    </row>
    <row r="62" spans="23:23">
      <c r="W62" s="383"/>
    </row>
    <row r="63" spans="23:23">
      <c r="W63" s="383"/>
    </row>
    <row r="64" spans="23:23">
      <c r="W64" s="383"/>
    </row>
    <row r="65" spans="23:23">
      <c r="W65" s="383"/>
    </row>
    <row r="66" spans="23:23">
      <c r="W66" s="383"/>
    </row>
    <row r="67" spans="23:23">
      <c r="W67" s="383"/>
    </row>
    <row r="68" spans="23:23">
      <c r="W68" s="383"/>
    </row>
    <row r="69" spans="23:23">
      <c r="W69" s="383"/>
    </row>
    <row r="70" spans="23:23">
      <c r="W70" s="383"/>
    </row>
    <row r="71" spans="23:23">
      <c r="W71" s="383"/>
    </row>
    <row r="72" spans="23:23">
      <c r="W72" s="383"/>
    </row>
    <row r="73" spans="23:23">
      <c r="W73" s="383"/>
    </row>
    <row r="74" spans="23:23">
      <c r="W74" s="383"/>
    </row>
    <row r="75" spans="23:23">
      <c r="W75" s="383"/>
    </row>
    <row r="76" spans="23:23">
      <c r="W76" s="383"/>
    </row>
    <row r="77" spans="23:23">
      <c r="W77" s="383"/>
    </row>
    <row r="78" spans="23:23">
      <c r="W78" s="383"/>
    </row>
    <row r="79" spans="23:23">
      <c r="W79" s="383"/>
    </row>
    <row r="80" spans="23:23">
      <c r="W80" s="383"/>
    </row>
    <row r="81" spans="23:23">
      <c r="W81" s="383"/>
    </row>
    <row r="82" spans="23:23">
      <c r="W82" s="383"/>
    </row>
    <row r="83" spans="23:23">
      <c r="W83" s="383"/>
    </row>
    <row r="84" spans="23:23">
      <c r="W84" s="383"/>
    </row>
    <row r="85" spans="23:23">
      <c r="W85" s="383"/>
    </row>
    <row r="86" spans="23:23">
      <c r="W86" s="383"/>
    </row>
    <row r="87" spans="23:23">
      <c r="W87" s="383"/>
    </row>
    <row r="88" spans="23:23">
      <c r="W88" s="383"/>
    </row>
    <row r="89" spans="23:23">
      <c r="W89" s="383"/>
    </row>
    <row r="90" spans="23:23">
      <c r="W90" s="383"/>
    </row>
    <row r="91" spans="23:23">
      <c r="W91" s="383"/>
    </row>
    <row r="92" spans="23:23">
      <c r="W92" s="383"/>
    </row>
    <row r="93" spans="23:23">
      <c r="W93" s="383"/>
    </row>
    <row r="94" spans="23:23">
      <c r="W94" s="383"/>
    </row>
    <row r="95" spans="23:23">
      <c r="W95" s="383"/>
    </row>
    <row r="96" spans="23:23">
      <c r="W96" s="383"/>
    </row>
    <row r="97" spans="23:23">
      <c r="W97" s="383"/>
    </row>
    <row r="98" spans="23:23">
      <c r="W98" s="383"/>
    </row>
    <row r="99" spans="23:23">
      <c r="W99" s="383"/>
    </row>
    <row r="100" spans="23:23">
      <c r="W100" s="383"/>
    </row>
    <row r="101" spans="23:23">
      <c r="W101" s="383"/>
    </row>
    <row r="102" spans="23:23">
      <c r="W102" s="383"/>
    </row>
    <row r="103" spans="23:23">
      <c r="W103" s="383"/>
    </row>
    <row r="104" spans="23:23">
      <c r="W104" s="383"/>
    </row>
    <row r="105" spans="23:23">
      <c r="W105" s="383"/>
    </row>
    <row r="106" spans="23:23">
      <c r="W106" s="383"/>
    </row>
    <row r="107" spans="23:23">
      <c r="W107" s="383"/>
    </row>
    <row r="108" spans="23:23">
      <c r="W108" s="387"/>
    </row>
  </sheetData>
  <mergeCells count="16">
    <mergeCell ref="A1:O1"/>
    <mergeCell ref="A2:O2"/>
    <mergeCell ref="A3:O3"/>
    <mergeCell ref="F4:F6"/>
    <mergeCell ref="A4:A6"/>
    <mergeCell ref="B4:B6"/>
    <mergeCell ref="C4:C6"/>
    <mergeCell ref="D4:D6"/>
    <mergeCell ref="E4:E6"/>
    <mergeCell ref="M4:N5"/>
    <mergeCell ref="O4:O6"/>
    <mergeCell ref="G4:G6"/>
    <mergeCell ref="H4:H6"/>
    <mergeCell ref="I4:I6"/>
    <mergeCell ref="J4:K5"/>
    <mergeCell ref="L4:L5"/>
  </mergeCells>
  <printOptions horizontalCentered="1"/>
  <pageMargins left="0.34" right="0.11811023622047245" top="0.49" bottom="0.74803149606299213" header="0.31496062992125984" footer="0.31496062992125984"/>
  <pageSetup paperSize="9" scale="67" orientation="landscape" horizontalDpi="4294967293" r:id="rId1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A2E-CB36-49FE-A361-6E314231D177}">
  <sheetPr>
    <tabColor rgb="FF92D050"/>
  </sheetPr>
  <dimension ref="A1:Z107"/>
  <sheetViews>
    <sheetView zoomScale="70" zoomScaleNormal="70" workbookViewId="0">
      <pane xSplit="1" ySplit="6" topLeftCell="B7" activePane="bottomRight" state="frozen"/>
      <selection activeCell="W15" sqref="W15"/>
      <selection pane="topRight" activeCell="W15" sqref="W15"/>
      <selection pane="bottomLeft" activeCell="W15" sqref="W15"/>
      <selection pane="bottomRight" activeCell="L12" sqref="L12"/>
    </sheetView>
  </sheetViews>
  <sheetFormatPr defaultRowHeight="27.75"/>
  <cols>
    <col min="1" max="1" width="7.140625" style="87" customWidth="1"/>
    <col min="2" max="2" width="11.140625" style="88" hidden="1" customWidth="1"/>
    <col min="3" max="3" width="26" style="89" customWidth="1"/>
    <col min="4" max="4" width="10.5703125" style="87" customWidth="1"/>
    <col min="5" max="5" width="20.140625" style="222" hidden="1" customWidth="1"/>
    <col min="6" max="7" width="10" style="222" hidden="1" customWidth="1"/>
    <col min="8" max="8" width="10" style="622" hidden="1" customWidth="1"/>
    <col min="9" max="9" width="20.7109375" style="223" customWidth="1"/>
    <col min="10" max="10" width="20.7109375" style="222" customWidth="1"/>
    <col min="11" max="11" width="11.7109375" style="222" customWidth="1"/>
    <col min="12" max="12" width="20.7109375" style="222" customWidth="1"/>
    <col min="13" max="13" width="20.7109375" style="223" customWidth="1"/>
    <col min="14" max="14" width="12.140625" style="223" customWidth="1"/>
    <col min="15" max="15" width="20.7109375" style="87" customWidth="1"/>
    <col min="16" max="16" width="22.7109375" style="14" hidden="1" customWidth="1"/>
    <col min="17" max="17" width="19.140625" style="14" hidden="1" customWidth="1"/>
    <col min="18" max="18" width="20.7109375" style="135" hidden="1" customWidth="1"/>
    <col min="19" max="19" width="22.5703125" style="14" hidden="1" customWidth="1"/>
    <col min="20" max="21" width="0" style="14" hidden="1" customWidth="1"/>
    <col min="22" max="22" width="9.140625" style="14"/>
    <col min="23" max="23" width="19.28515625" style="361" customWidth="1"/>
    <col min="24" max="24" width="22.5703125" style="14" customWidth="1"/>
    <col min="25" max="25" width="13.5703125" style="14" customWidth="1"/>
    <col min="26" max="26" width="19.5703125" style="14" customWidth="1"/>
    <col min="27" max="16384" width="9.140625" style="14"/>
  </cols>
  <sheetData>
    <row r="1" spans="1:26" s="612" customFormat="1" ht="33" customHeight="1">
      <c r="A1" s="891" t="s">
        <v>291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R1" s="613"/>
      <c r="S1" s="614"/>
      <c r="T1" s="614"/>
      <c r="U1" s="615"/>
      <c r="W1" s="616"/>
    </row>
    <row r="2" spans="1:26" s="612" customFormat="1" ht="33" customHeight="1">
      <c r="A2" s="891" t="s">
        <v>127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R2" s="613"/>
      <c r="S2" s="614"/>
      <c r="T2" s="614"/>
      <c r="U2" s="615"/>
      <c r="W2" s="616"/>
    </row>
    <row r="3" spans="1:26" s="612" customFormat="1" ht="33" customHeight="1">
      <c r="A3" s="891" t="str">
        <f>+[5]รายละเอียดงบลงทุน!A2</f>
        <v>ข้อมูลสะสมตั้งแต่วันที่ 1 ตุลาคม 2567 ถึงวันที่ 15 มกราคม 2568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R3" s="613"/>
      <c r="S3" s="614"/>
      <c r="T3" s="614"/>
      <c r="U3" s="615"/>
      <c r="W3" s="616"/>
    </row>
    <row r="4" spans="1:26" s="11" customFormat="1" ht="27" customHeight="1">
      <c r="A4" s="895" t="s">
        <v>25</v>
      </c>
      <c r="B4" s="897" t="s">
        <v>77</v>
      </c>
      <c r="C4" s="897" t="s">
        <v>78</v>
      </c>
      <c r="D4" s="895" t="s">
        <v>3</v>
      </c>
      <c r="E4" s="901" t="s">
        <v>128</v>
      </c>
      <c r="F4" s="892" t="s">
        <v>493</v>
      </c>
      <c r="G4" s="901"/>
      <c r="H4" s="908" t="s">
        <v>494</v>
      </c>
      <c r="I4" s="911" t="s">
        <v>128</v>
      </c>
      <c r="J4" s="914" t="s">
        <v>9</v>
      </c>
      <c r="K4" s="915"/>
      <c r="L4" s="918" t="s">
        <v>137</v>
      </c>
      <c r="M4" s="904" t="s">
        <v>176</v>
      </c>
      <c r="N4" s="905"/>
      <c r="O4" s="895" t="s">
        <v>4</v>
      </c>
      <c r="Q4" s="131"/>
      <c r="R4" s="131"/>
      <c r="W4" s="361"/>
    </row>
    <row r="5" spans="1:26" s="11" customFormat="1" ht="27" customHeight="1">
      <c r="A5" s="896"/>
      <c r="B5" s="898"/>
      <c r="C5" s="898"/>
      <c r="D5" s="896"/>
      <c r="E5" s="902"/>
      <c r="F5" s="893"/>
      <c r="G5" s="902"/>
      <c r="H5" s="909"/>
      <c r="I5" s="912"/>
      <c r="J5" s="916"/>
      <c r="K5" s="917"/>
      <c r="L5" s="919"/>
      <c r="M5" s="906"/>
      <c r="N5" s="907"/>
      <c r="O5" s="896"/>
      <c r="R5" s="131"/>
      <c r="W5" s="361"/>
    </row>
    <row r="6" spans="1:26" s="11" customFormat="1" ht="27" customHeight="1">
      <c r="A6" s="896"/>
      <c r="B6" s="899"/>
      <c r="C6" s="899"/>
      <c r="D6" s="900"/>
      <c r="E6" s="903"/>
      <c r="F6" s="894"/>
      <c r="G6" s="903"/>
      <c r="H6" s="910"/>
      <c r="I6" s="913"/>
      <c r="J6" s="184" t="s">
        <v>113</v>
      </c>
      <c r="K6" s="184" t="s">
        <v>7</v>
      </c>
      <c r="L6" s="218" t="s">
        <v>113</v>
      </c>
      <c r="M6" s="96" t="s">
        <v>113</v>
      </c>
      <c r="N6" s="96" t="s">
        <v>7</v>
      </c>
      <c r="O6" s="900"/>
      <c r="R6" s="131"/>
      <c r="W6" s="361"/>
    </row>
    <row r="7" spans="1:26" s="12" customFormat="1" ht="27" customHeight="1" thickBot="1">
      <c r="A7" s="219"/>
      <c r="B7" s="83"/>
      <c r="C7" s="84"/>
      <c r="D7" s="362">
        <f>SUM(D8:D9)</f>
        <v>2</v>
      </c>
      <c r="E7" s="220">
        <f>SUM(E8:E9)</f>
        <v>273800</v>
      </c>
      <c r="F7" s="220">
        <f>SUM(F8:F10)</f>
        <v>0</v>
      </c>
      <c r="G7" s="220"/>
      <c r="H7" s="617">
        <f>SUM(H8:H9)</f>
        <v>0</v>
      </c>
      <c r="I7" s="220">
        <f>SUM(I8:I9)</f>
        <v>273800</v>
      </c>
      <c r="J7" s="220">
        <f>SUM(J8:J9)</f>
        <v>273800</v>
      </c>
      <c r="K7" s="388">
        <f>+J7*100/I7</f>
        <v>100</v>
      </c>
      <c r="L7" s="220">
        <f>SUM(L8:L9)</f>
        <v>0</v>
      </c>
      <c r="M7" s="220">
        <f>SUM(M8:M9)</f>
        <v>273800</v>
      </c>
      <c r="N7" s="388">
        <f>M7/I7*100</f>
        <v>100</v>
      </c>
      <c r="O7" s="220">
        <f>SUM(O8:O9)</f>
        <v>0</v>
      </c>
      <c r="P7" s="82"/>
      <c r="Q7" s="13"/>
      <c r="R7" s="132"/>
      <c r="W7" s="361"/>
    </row>
    <row r="8" spans="1:26" s="371" customFormat="1" ht="27" customHeight="1" thickTop="1">
      <c r="A8" s="364">
        <v>1</v>
      </c>
      <c r="B8" s="364">
        <v>118</v>
      </c>
      <c r="C8" s="365" t="s">
        <v>83</v>
      </c>
      <c r="D8" s="364">
        <f>+[5]สรุปงบขุดจังหวัด!C10</f>
        <v>1</v>
      </c>
      <c r="E8" s="366">
        <f>+[5]รายละเอียดงบลงทุน!F20</f>
        <v>263000</v>
      </c>
      <c r="F8" s="366"/>
      <c r="G8" s="366"/>
      <c r="H8" s="618"/>
      <c r="I8" s="366">
        <f>SUM(E8:H8)</f>
        <v>263000</v>
      </c>
      <c r="J8" s="366">
        <f>+[5]รายละเอียดงบลงทุน!L20</f>
        <v>263000</v>
      </c>
      <c r="K8" s="390">
        <f>+J8*100/I8</f>
        <v>100</v>
      </c>
      <c r="L8" s="366">
        <f>+[5]รายละเอียดงบลงทุน!N20</f>
        <v>0</v>
      </c>
      <c r="M8" s="366">
        <f>+J8+L8</f>
        <v>263000</v>
      </c>
      <c r="N8" s="390">
        <f>+M8*100/I8</f>
        <v>100</v>
      </c>
      <c r="O8" s="367">
        <f>+I8-M8</f>
        <v>0</v>
      </c>
      <c r="P8" s="368"/>
      <c r="Q8" s="369"/>
      <c r="R8" s="370"/>
      <c r="S8" s="368"/>
      <c r="W8" s="372"/>
    </row>
    <row r="9" spans="1:26" s="371" customFormat="1" ht="27" customHeight="1">
      <c r="A9" s="373">
        <v>2</v>
      </c>
      <c r="B9" s="373">
        <v>120</v>
      </c>
      <c r="C9" s="374" t="s">
        <v>85</v>
      </c>
      <c r="D9" s="373">
        <v>1</v>
      </c>
      <c r="E9" s="136">
        <f>+[5]รายละเอียดงบลงทุน!F22</f>
        <v>10800</v>
      </c>
      <c r="F9" s="136"/>
      <c r="G9" s="136"/>
      <c r="H9" s="619"/>
      <c r="I9" s="366">
        <f>SUM(E9:H9)</f>
        <v>10800</v>
      </c>
      <c r="J9" s="136">
        <f>+[5]รายละเอียดงบลงทุน!L22</f>
        <v>10800</v>
      </c>
      <c r="K9" s="389">
        <f>+J9*100/I9</f>
        <v>100</v>
      </c>
      <c r="L9" s="136">
        <f>+[5]รายละเอียดงบลงทุน!N22</f>
        <v>0</v>
      </c>
      <c r="M9" s="366">
        <f>+J9+L9</f>
        <v>10800</v>
      </c>
      <c r="N9" s="390">
        <f>+M9*100/I9</f>
        <v>100</v>
      </c>
      <c r="O9" s="367">
        <f>+I9-M9</f>
        <v>0</v>
      </c>
      <c r="P9" s="368">
        <v>1004189.1599999999</v>
      </c>
      <c r="Q9" s="369">
        <f t="shared" ref="Q9" si="0">I9-P9</f>
        <v>-993389.15999999992</v>
      </c>
      <c r="R9" s="370">
        <v>1004189.1599999999</v>
      </c>
      <c r="S9" s="368">
        <f t="shared" ref="S9" si="1">Q9-R9</f>
        <v>-1997578.3199999998</v>
      </c>
      <c r="W9" s="372"/>
      <c r="X9" s="368"/>
      <c r="Y9" s="368"/>
      <c r="Z9" s="368"/>
    </row>
    <row r="10" spans="1:26" s="380" customFormat="1" ht="27" customHeight="1">
      <c r="A10" s="378"/>
      <c r="B10" s="378"/>
      <c r="C10" s="379"/>
      <c r="D10" s="378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367">
        <f t="shared" ref="O10" si="2">I10-M10</f>
        <v>0</v>
      </c>
      <c r="R10" s="381"/>
      <c r="W10" s="382"/>
    </row>
    <row r="11" spans="1:26">
      <c r="A11" s="85"/>
      <c r="B11" s="85"/>
      <c r="C11" s="86"/>
      <c r="D11" s="85"/>
      <c r="E11" s="221"/>
      <c r="F11" s="221"/>
      <c r="G11" s="221"/>
      <c r="H11" s="621"/>
      <c r="I11" s="221"/>
      <c r="J11" s="221"/>
      <c r="K11" s="221"/>
      <c r="L11" s="221"/>
      <c r="M11" s="221"/>
      <c r="N11" s="221"/>
      <c r="O11" s="85"/>
      <c r="R11" s="134"/>
    </row>
    <row r="19" spans="23:23">
      <c r="W19" s="383"/>
    </row>
    <row r="24" spans="23:23">
      <c r="W24" s="383"/>
    </row>
    <row r="25" spans="23:23">
      <c r="W25" s="383"/>
    </row>
    <row r="26" spans="23:23">
      <c r="W26" s="383"/>
    </row>
    <row r="32" spans="23:23">
      <c r="W32" s="383"/>
    </row>
    <row r="33" spans="10:23">
      <c r="W33" s="383"/>
    </row>
    <row r="34" spans="10:23">
      <c r="W34" s="383"/>
    </row>
    <row r="35" spans="10:23">
      <c r="W35" s="383"/>
    </row>
    <row r="36" spans="10:23">
      <c r="W36" s="383"/>
    </row>
    <row r="37" spans="10:23">
      <c r="W37" s="383"/>
    </row>
    <row r="38" spans="10:23">
      <c r="W38" s="383"/>
    </row>
    <row r="41" spans="10:23">
      <c r="J41" s="222" t="s">
        <v>186</v>
      </c>
    </row>
    <row r="45" spans="10:23">
      <c r="W45" s="384"/>
    </row>
    <row r="46" spans="10:23">
      <c r="W46" s="384"/>
    </row>
    <row r="47" spans="10:23">
      <c r="W47" s="385"/>
    </row>
    <row r="48" spans="10:23">
      <c r="W48" s="386"/>
    </row>
    <row r="49" spans="23:23">
      <c r="W49" s="383"/>
    </row>
    <row r="50" spans="23:23">
      <c r="W50" s="383"/>
    </row>
    <row r="51" spans="23:23">
      <c r="W51" s="383"/>
    </row>
    <row r="52" spans="23:23">
      <c r="W52" s="383"/>
    </row>
    <row r="53" spans="23:23">
      <c r="W53" s="383"/>
    </row>
    <row r="54" spans="23:23">
      <c r="W54" s="383"/>
    </row>
    <row r="55" spans="23:23">
      <c r="W55" s="383"/>
    </row>
    <row r="56" spans="23:23">
      <c r="W56" s="383"/>
    </row>
    <row r="57" spans="23:23">
      <c r="W57" s="383"/>
    </row>
    <row r="58" spans="23:23">
      <c r="W58" s="383"/>
    </row>
    <row r="59" spans="23:23">
      <c r="W59" s="383"/>
    </row>
    <row r="60" spans="23:23">
      <c r="W60" s="383"/>
    </row>
    <row r="61" spans="23:23">
      <c r="W61" s="383"/>
    </row>
    <row r="62" spans="23:23">
      <c r="W62" s="383"/>
    </row>
    <row r="63" spans="23:23">
      <c r="W63" s="383"/>
    </row>
    <row r="64" spans="23:23">
      <c r="W64" s="383"/>
    </row>
    <row r="65" spans="23:23">
      <c r="W65" s="383"/>
    </row>
    <row r="66" spans="23:23">
      <c r="W66" s="383"/>
    </row>
    <row r="67" spans="23:23">
      <c r="W67" s="383"/>
    </row>
    <row r="68" spans="23:23">
      <c r="W68" s="383"/>
    </row>
    <row r="69" spans="23:23">
      <c r="W69" s="383"/>
    </row>
    <row r="70" spans="23:23">
      <c r="W70" s="383"/>
    </row>
    <row r="71" spans="23:23">
      <c r="W71" s="383"/>
    </row>
    <row r="72" spans="23:23">
      <c r="W72" s="383"/>
    </row>
    <row r="73" spans="23:23">
      <c r="W73" s="383"/>
    </row>
    <row r="74" spans="23:23">
      <c r="W74" s="383"/>
    </row>
    <row r="75" spans="23:23">
      <c r="W75" s="383"/>
    </row>
    <row r="76" spans="23:23">
      <c r="W76" s="383"/>
    </row>
    <row r="77" spans="23:23">
      <c r="W77" s="383"/>
    </row>
    <row r="78" spans="23:23">
      <c r="W78" s="383"/>
    </row>
    <row r="79" spans="23:23">
      <c r="W79" s="383"/>
    </row>
    <row r="80" spans="23:23">
      <c r="W80" s="383"/>
    </row>
    <row r="81" spans="23:23">
      <c r="W81" s="383"/>
    </row>
    <row r="82" spans="23:23">
      <c r="W82" s="383"/>
    </row>
    <row r="83" spans="23:23">
      <c r="W83" s="383"/>
    </row>
    <row r="84" spans="23:23">
      <c r="W84" s="383"/>
    </row>
    <row r="85" spans="23:23">
      <c r="W85" s="383"/>
    </row>
    <row r="86" spans="23:23">
      <c r="W86" s="383"/>
    </row>
    <row r="87" spans="23:23">
      <c r="W87" s="383"/>
    </row>
    <row r="88" spans="23:23">
      <c r="W88" s="383"/>
    </row>
    <row r="89" spans="23:23">
      <c r="W89" s="383"/>
    </row>
    <row r="90" spans="23:23">
      <c r="W90" s="383"/>
    </row>
    <row r="91" spans="23:23">
      <c r="W91" s="383"/>
    </row>
    <row r="92" spans="23:23">
      <c r="W92" s="383"/>
    </row>
    <row r="93" spans="23:23">
      <c r="W93" s="383"/>
    </row>
    <row r="94" spans="23:23">
      <c r="W94" s="383"/>
    </row>
    <row r="95" spans="23:23">
      <c r="W95" s="383"/>
    </row>
    <row r="96" spans="23:23">
      <c r="W96" s="383"/>
    </row>
    <row r="97" spans="23:23">
      <c r="W97" s="383"/>
    </row>
    <row r="98" spans="23:23">
      <c r="W98" s="383"/>
    </row>
    <row r="99" spans="23:23">
      <c r="W99" s="383"/>
    </row>
    <row r="100" spans="23:23">
      <c r="W100" s="383"/>
    </row>
    <row r="101" spans="23:23">
      <c r="W101" s="383"/>
    </row>
    <row r="102" spans="23:23">
      <c r="W102" s="383"/>
    </row>
    <row r="103" spans="23:23">
      <c r="W103" s="383"/>
    </row>
    <row r="104" spans="23:23">
      <c r="W104" s="383"/>
    </row>
    <row r="105" spans="23:23">
      <c r="W105" s="383"/>
    </row>
    <row r="106" spans="23:23">
      <c r="W106" s="383"/>
    </row>
    <row r="107" spans="23:23">
      <c r="W107" s="387"/>
    </row>
  </sheetData>
  <sortState xmlns:xlrd2="http://schemas.microsoft.com/office/spreadsheetml/2017/richdata2" ref="B9:H19">
    <sortCondition descending="1" ref="G9:G19"/>
  </sortState>
  <mergeCells count="16">
    <mergeCell ref="A4:A6"/>
    <mergeCell ref="B4:B6"/>
    <mergeCell ref="C4:C6"/>
    <mergeCell ref="D4:D6"/>
    <mergeCell ref="A1:O1"/>
    <mergeCell ref="A2:O2"/>
    <mergeCell ref="A3:O3"/>
    <mergeCell ref="E4:E6"/>
    <mergeCell ref="F4:F6"/>
    <mergeCell ref="M4:N5"/>
    <mergeCell ref="O4:O6"/>
    <mergeCell ref="G4:G6"/>
    <mergeCell ref="H4:H6"/>
    <mergeCell ref="I4:I6"/>
    <mergeCell ref="J4:K5"/>
    <mergeCell ref="L4:L5"/>
  </mergeCells>
  <pageMargins left="0.15748031496062992" right="0.15748031496062992" top="0.55118110236220474" bottom="0.35433070866141736" header="0.23622047244094491" footer="0.15748031496062992"/>
  <pageSetup paperSize="9" scale="72" orientation="landscape" r:id="rId1"/>
  <headerFooter>
    <oddHeader>&amp;R&amp;P</oddHeader>
  </headerFooter>
  <colBreaks count="1" manualBreakCount="1">
    <brk id="15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16</vt:i4>
      </vt:variant>
    </vt:vector>
  </HeadingPairs>
  <TitlesOfParts>
    <vt:vector size="35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งบลงทุน-ส่วนกลาง </vt:lpstr>
      <vt:lpstr>งบลงทุน-ศพช.</vt:lpstr>
      <vt:lpstr>งบลงทุน-จังหวัด</vt:lpstr>
      <vt:lpstr>งบเบิกแทน</vt:lpstr>
      <vt:lpstr>สรุปเงินกัน</vt:lpstr>
      <vt:lpstr>รายละเอียดเงินกัน</vt:lpstr>
      <vt:lpstr>Sheet13 </vt:lpstr>
      <vt:lpstr>Sheet14 </vt:lpstr>
      <vt:lpstr>Sheet15 </vt:lpstr>
      <vt:lpstr>Sheet16</vt:lpstr>
      <vt:lpstr>Sheet17</vt:lpstr>
      <vt:lpstr>Sheet18 </vt:lpstr>
      <vt:lpstr>ภาพรวม!nat</vt:lpstr>
      <vt:lpstr>งบเบิกแทน!Print_Area</vt:lpstr>
      <vt:lpstr>'งบลงทุน-ศพช.'!Print_Area</vt:lpstr>
      <vt:lpstr>'งบลงทุน-ส่วนกลาง '!Print_Area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ส่วนกลาง!Print_Area</vt:lpstr>
      <vt:lpstr>งบเบิกแทน!Print_Titles</vt:lpstr>
      <vt:lpstr>'งบลงทุน-จังหวัด'!Print_Titles</vt:lpstr>
      <vt:lpstr>'งบลงทุน-ศพช.'!Print_Titles</vt:lpstr>
      <vt:lpstr>'จังหวัด '!Print_Titles</vt:lpstr>
      <vt:lpstr>ภาพรวม!Print_Titles</vt:lpstr>
      <vt:lpstr>รายละเอียดงบลงทุน!Print_Titles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acer veriton</cp:lastModifiedBy>
  <cp:lastPrinted>2025-01-06T04:11:57Z</cp:lastPrinted>
  <dcterms:created xsi:type="dcterms:W3CDTF">2006-10-11T22:10:00Z</dcterms:created>
  <dcterms:modified xsi:type="dcterms:W3CDTF">2025-01-20T02:29:12Z</dcterms:modified>
</cp:coreProperties>
</file>